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57-001 HERRENSTUECK/h. Carbone/2023 LBC Forêt dégradée/V2 - Août2023/"/>
    </mc:Choice>
  </mc:AlternateContent>
  <xr:revisionPtr revIDLastSave="58" documentId="11_CFA31D505B6D18AE5511AF3C7B64090AAF248EBE" xr6:coauthVersionLast="47" xr6:coauthVersionMax="47" xr10:uidLastSave="{FA5790FD-8FCF-4141-9809-E42C6962E517}"/>
  <bookViews>
    <workbookView xWindow="2780" yWindow="520" windowWidth="26020" windowHeight="158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externalReferences>
    <externalReference r:id="rId8"/>
  </externalReference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C5" i="2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EB7" i="2"/>
  <c r="HI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G10" i="2" l="1"/>
  <c r="EA10" i="2"/>
  <c r="HH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H20" i="2"/>
  <c r="EW20" i="2"/>
  <c r="HG20" i="2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HI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FR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G28" i="2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EX29" i="2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A33" i="2"/>
  <c r="HG33" i="2"/>
  <c r="EW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X38" i="2"/>
  <c r="FS38" i="2"/>
  <c r="HI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HH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FS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C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EB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EA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B112" i="2"/>
  <c r="HI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FS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C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A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B144" i="2"/>
  <c r="FR144" i="2"/>
  <c r="EX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FR146" i="2"/>
  <c r="HG146" i="2"/>
  <c r="HI146" i="2"/>
  <c r="EA146" i="2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HG155" i="2" l="1"/>
  <c r="DI154" i="2"/>
  <c r="AC154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X156" i="2" l="1"/>
  <c r="EB156" i="2"/>
  <c r="DH156" i="2"/>
  <c r="FS156" i="2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CN156" i="2"/>
  <c r="EA157" i="2"/>
  <c r="ED157" i="2" s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G158" i="2" l="1"/>
  <c r="EV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D158" i="2"/>
  <c r="HH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DG160" i="2"/>
  <c r="FS160" i="2"/>
  <c r="EC160" i="2"/>
  <c r="HG160" i="2"/>
  <c r="HH160" i="2"/>
  <c r="EY159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A161" i="2"/>
  <c r="EX161" i="2"/>
  <c r="HG161" i="2"/>
  <c r="HH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D161" i="2"/>
  <c r="DI161" i="2"/>
  <c r="EC162" i="2"/>
  <c r="EY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HG163" i="2"/>
  <c r="EB163" i="2"/>
  <c r="ED162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A164" i="2" l="1"/>
  <c r="DI163" i="2"/>
  <c r="FR164" i="2"/>
  <c r="EY163" i="2"/>
  <c r="ED163" i="2"/>
  <c r="DH164" i="2"/>
  <c r="HH164" i="2"/>
  <c r="HG164" i="2"/>
  <c r="EV164" i="2"/>
  <c r="FS164" i="2"/>
  <c r="EX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G165" i="2"/>
  <c r="HH165" i="2"/>
  <c r="EX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EC166" i="2"/>
  <c r="CN165" i="2"/>
  <c r="FS166" i="2"/>
  <c r="HI166" i="2"/>
  <c r="HJ166" i="2" s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Y166" i="2"/>
  <c r="DG167" i="2"/>
  <c r="EA167" i="2"/>
  <c r="EB167" i="2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B168" i="2"/>
  <c r="EC168" i="2"/>
  <c r="EV168" i="2"/>
  <c r="EW168" i="2"/>
  <c r="HH168" i="2"/>
  <c r="FS168" i="2"/>
  <c r="EX168" i="2"/>
  <c r="EY168" i="2" s="1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D171" i="2" s="1"/>
  <c r="EX171" i="2"/>
  <c r="DH171" i="2"/>
  <c r="EW171" i="2"/>
  <c r="EY171" i="2" s="1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A175" i="2" l="1"/>
  <c r="EW175" i="2"/>
  <c r="ED174" i="2"/>
  <c r="EB175" i="2"/>
  <c r="A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Y175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HG178" i="2"/>
  <c r="EB178" i="2"/>
  <c r="EA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V179" i="2"/>
  <c r="DF179" i="2"/>
  <c r="EA179" i="2"/>
  <c r="ED179" i="2" s="1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DG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EW185" i="2"/>
  <c r="EB185" i="2"/>
  <c r="EY184" i="2"/>
  <c r="ED184" i="2"/>
  <c r="HH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HG186" i="2"/>
  <c r="HH186" i="2"/>
  <c r="ED185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Y188" i="2" s="1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V189" i="2"/>
  <c r="HH189" i="2"/>
  <c r="EC189" i="2"/>
  <c r="FS189" i="2"/>
  <c r="HI189" i="2"/>
  <c r="HJ189" i="2" s="1"/>
  <c r="EX189" i="2"/>
  <c r="EY189" i="2" s="1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H190" i="2" l="1"/>
  <c r="HG190" i="2"/>
  <c r="EB190" i="2"/>
  <c r="ED189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G191" i="2" l="1"/>
  <c r="HH191" i="2"/>
  <c r="HI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V192" i="2" l="1"/>
  <c r="HH192" i="2"/>
  <c r="EB192" i="2"/>
  <c r="EC192" i="2"/>
  <c r="EW192" i="2"/>
  <c r="EY192" i="2" s="1"/>
  <c r="EA192" i="2"/>
  <c r="HI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EA193" i="2" l="1"/>
  <c r="DI192" i="2"/>
  <c r="EX193" i="2"/>
  <c r="FQ193" i="2"/>
  <c r="HI193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CN193" i="2"/>
  <c r="HG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HI195" i="2"/>
  <c r="EB195" i="2"/>
  <c r="DH195" i="2"/>
  <c r="EX195" i="2"/>
  <c r="A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FS197" i="2"/>
  <c r="EC197" i="2"/>
  <c r="AA197" i="2"/>
  <c r="EY196" i="2"/>
  <c r="EA197" i="2"/>
  <c r="EW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W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HH199" i="2" l="1"/>
  <c r="FS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DG200" i="2"/>
  <c r="DI200" i="2" s="1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FS201" i="2" l="1"/>
  <c r="EA201" i="2"/>
  <c r="HJ200" i="2"/>
  <c r="HH201" i="2"/>
  <c r="HG201" i="2"/>
  <c r="HI201" i="2"/>
  <c r="EX201" i="2"/>
  <c r="AI5" i="2"/>
  <c r="EW201" i="2"/>
  <c r="EC201" i="2"/>
  <c r="ED201" i="2" s="1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HI202" i="2"/>
  <c r="EW202" i="2"/>
  <c r="FR202" i="2"/>
  <c r="FZ6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109" i="2" a="1"/>
  <c r="FY109" i="2" s="1"/>
  <c r="FY50" i="2" a="1"/>
  <c r="FY50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129" i="2" a="1"/>
  <c r="CS129" i="2" s="1"/>
  <c r="DN137" i="2" a="1"/>
  <c r="DN137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AH90" i="2" a="1"/>
  <c r="AH90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AX200" i="2"/>
  <c r="GT184" i="2" l="1" a="1"/>
  <c r="GT184" i="2" s="1"/>
  <c r="HG203" i="2"/>
  <c r="FY79" i="2" a="1"/>
  <c r="FY79" i="2" s="1"/>
  <c r="FY71" i="2" a="1"/>
  <c r="FY71" i="2" s="1"/>
  <c r="FY32" i="2" a="1"/>
  <c r="FY32" i="2" s="1"/>
  <c r="FY22" i="2" a="1"/>
  <c r="FY22" i="2" s="1"/>
  <c r="FY90" i="2" a="1"/>
  <c r="FY90" i="2" s="1"/>
  <c r="FY57" i="2" a="1"/>
  <c r="FY57" i="2" s="1"/>
  <c r="FD21" i="2" a="1"/>
  <c r="FD21" i="2" s="1"/>
  <c r="EY202" i="2"/>
  <c r="DN186" i="2" a="1"/>
  <c r="DN186" i="2" s="1"/>
  <c r="CS77" i="2" a="1"/>
  <c r="CS77" i="2" s="1"/>
  <c r="CS52" i="2" a="1"/>
  <c r="CS52" i="2" s="1"/>
  <c r="AH166" i="2" a="1"/>
  <c r="AH166" i="2" s="1"/>
  <c r="AH19" i="2" a="1"/>
  <c r="AH1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DI203" i="2"/>
  <c r="ED203" i="2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J12" i="2" l="1"/>
  <c r="FJ135" i="2"/>
  <c r="FJ109" i="2"/>
  <c r="FJ154" i="2"/>
  <c r="FJ8" i="2"/>
  <c r="FJ171" i="2"/>
  <c r="FE84" i="2"/>
  <c r="FF83" i="2"/>
  <c r="FG83" i="2" s="1"/>
  <c r="FH83" i="2" s="1"/>
  <c r="FI83" i="2" s="1"/>
  <c r="FJ11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J21" i="2" l="1"/>
  <c r="FJ75" i="2"/>
  <c r="GZ145" i="2"/>
  <c r="GZ173" i="2"/>
  <c r="GZ99" i="2"/>
  <c r="GZ184" i="2"/>
  <c r="GZ97" i="2"/>
  <c r="GZ24" i="2"/>
  <c r="GZ94" i="2"/>
  <c r="GZ132" i="2"/>
  <c r="GZ85" i="2"/>
  <c r="GZ200" i="2"/>
  <c r="GZ136" i="2"/>
  <c r="GZ76" i="2"/>
  <c r="GZ96" i="2"/>
  <c r="GZ181" i="2"/>
  <c r="GZ139" i="2"/>
  <c r="GZ172" i="2"/>
  <c r="GZ123" i="2"/>
  <c r="GZ130" i="2"/>
  <c r="GZ6" i="2"/>
  <c r="GZ70" i="2"/>
  <c r="GZ158" i="2"/>
  <c r="GZ86" i="2"/>
  <c r="GZ52" i="2"/>
  <c r="GZ27" i="2"/>
  <c r="GZ122" i="2"/>
  <c r="GZ195" i="2"/>
  <c r="GZ167" i="2"/>
  <c r="GZ20" i="2"/>
  <c r="GZ193" i="2"/>
  <c r="GZ103" i="2"/>
  <c r="GZ92" i="2"/>
  <c r="GZ148" i="2"/>
  <c r="GZ151" i="2"/>
  <c r="GZ47" i="2"/>
  <c r="GZ25" i="2"/>
  <c r="GZ115" i="2"/>
  <c r="GZ203" i="2"/>
  <c r="GZ120" i="2"/>
  <c r="GZ21" i="2"/>
  <c r="GZ5" i="2"/>
  <c r="GZ90" i="2"/>
  <c r="GZ67" i="2"/>
  <c r="GZ7" i="2"/>
  <c r="GZ83" i="2"/>
  <c r="GZ33" i="2"/>
  <c r="GZ66" i="2"/>
  <c r="GZ15" i="2"/>
  <c r="GZ89" i="2"/>
  <c r="GZ161" i="2"/>
  <c r="GZ64" i="2"/>
  <c r="GZ61" i="2"/>
  <c r="GZ189" i="2"/>
  <c r="GZ71" i="2"/>
  <c r="GZ95" i="2"/>
  <c r="GZ190" i="2"/>
  <c r="GZ194" i="2"/>
  <c r="GZ169" i="2"/>
  <c r="GZ17" i="2"/>
  <c r="GZ198" i="2"/>
  <c r="GZ107" i="2"/>
  <c r="GZ124" i="2"/>
  <c r="GZ73" i="2"/>
  <c r="GZ40" i="2"/>
  <c r="GZ126" i="2"/>
  <c r="GZ100" i="2"/>
  <c r="GZ101" i="2"/>
  <c r="GZ19" i="2"/>
  <c r="GZ135" i="2"/>
  <c r="GZ4" i="2"/>
  <c r="GZ157" i="2"/>
  <c r="GZ63" i="2"/>
  <c r="GZ30" i="2"/>
  <c r="GZ196" i="2"/>
  <c r="GZ98" i="2"/>
  <c r="GZ149" i="2"/>
  <c r="GZ65" i="2"/>
  <c r="GZ162" i="2"/>
  <c r="GZ29" i="2"/>
  <c r="GZ74" i="2"/>
  <c r="GZ175" i="2"/>
  <c r="GZ106" i="2"/>
  <c r="GZ133" i="2"/>
  <c r="GZ183" i="2"/>
  <c r="GZ38" i="2"/>
  <c r="GZ37" i="2"/>
  <c r="GZ163" i="2"/>
  <c r="GZ125" i="2"/>
  <c r="GZ10" i="2"/>
  <c r="GZ178" i="2"/>
  <c r="GZ192" i="2"/>
  <c r="GZ137" i="2"/>
  <c r="GZ8" i="2"/>
  <c r="GZ144" i="2"/>
  <c r="GZ11" i="2"/>
  <c r="GZ152" i="2"/>
  <c r="GZ141" i="2"/>
  <c r="GZ201" i="2"/>
  <c r="GZ147" i="2"/>
  <c r="GZ110" i="2"/>
  <c r="GZ93" i="2"/>
  <c r="GZ56" i="2"/>
  <c r="GZ87" i="2"/>
  <c r="GZ43" i="2"/>
  <c r="GZ202" i="2"/>
  <c r="GZ176" i="2"/>
  <c r="GZ48" i="2"/>
  <c r="GZ39" i="2"/>
  <c r="GZ153" i="2"/>
  <c r="GZ77" i="2"/>
  <c r="GZ28" i="2"/>
  <c r="GZ23" i="2"/>
  <c r="GZ191" i="2"/>
  <c r="GZ54" i="2"/>
  <c r="GZ154" i="2"/>
  <c r="GZ119" i="2"/>
  <c r="GZ84" i="2"/>
  <c r="GZ69" i="2"/>
  <c r="GZ58" i="2"/>
  <c r="GZ18" i="2"/>
  <c r="GZ185" i="2"/>
  <c r="GZ140" i="2"/>
  <c r="GZ121" i="2"/>
  <c r="GZ42" i="2"/>
  <c r="GZ171" i="2"/>
  <c r="GZ134" i="2"/>
  <c r="GZ128" i="2"/>
  <c r="GZ112" i="2"/>
  <c r="GZ50" i="2"/>
  <c r="GZ81" i="2"/>
  <c r="GZ82" i="2"/>
  <c r="GZ117" i="2"/>
  <c r="GZ79" i="2"/>
  <c r="GZ114" i="2"/>
  <c r="GZ116" i="2"/>
  <c r="GZ160" i="2"/>
  <c r="GZ41" i="2"/>
  <c r="GZ164" i="2"/>
  <c r="GZ180" i="2"/>
  <c r="GZ60" i="2"/>
  <c r="GZ138" i="2"/>
  <c r="GZ131" i="2"/>
  <c r="GZ22" i="2"/>
  <c r="GZ188" i="2"/>
  <c r="GZ177" i="2"/>
  <c r="GZ174" i="2"/>
  <c r="GZ146" i="2"/>
  <c r="GZ35" i="2"/>
  <c r="GZ88" i="2"/>
  <c r="GZ108" i="2"/>
  <c r="GZ186" i="2"/>
  <c r="GZ34" i="2"/>
  <c r="GZ68" i="2"/>
  <c r="GZ62" i="2"/>
  <c r="GZ159" i="2"/>
  <c r="GZ165" i="2"/>
  <c r="GZ16" i="2"/>
  <c r="GZ13" i="2"/>
  <c r="GZ182" i="2"/>
  <c r="GZ102" i="2"/>
  <c r="GZ46" i="2"/>
  <c r="GZ105" i="2"/>
  <c r="GZ59" i="2"/>
  <c r="GZ127" i="2"/>
  <c r="GZ36" i="2"/>
  <c r="GZ44" i="2"/>
  <c r="GZ14" i="2"/>
  <c r="GZ199" i="2"/>
  <c r="GZ75" i="2"/>
  <c r="GZ57" i="2"/>
  <c r="GZ129" i="2"/>
  <c r="GZ32" i="2"/>
  <c r="GZ91" i="2"/>
  <c r="GZ78" i="2"/>
  <c r="GZ55" i="2"/>
  <c r="GZ12" i="2"/>
  <c r="GZ179" i="2"/>
  <c r="GZ80" i="2"/>
  <c r="GZ197" i="2"/>
  <c r="GZ53" i="2"/>
  <c r="GZ142" i="2"/>
  <c r="GZ111" i="2"/>
  <c r="GZ45" i="2"/>
  <c r="GZ26" i="2"/>
  <c r="GZ49" i="2"/>
  <c r="GZ109" i="2"/>
  <c r="GZ104" i="2"/>
  <c r="GZ150" i="2"/>
  <c r="GZ156" i="2"/>
  <c r="GZ170" i="2"/>
  <c r="GZ155" i="2"/>
  <c r="GZ51" i="2"/>
  <c r="GZ118" i="2"/>
  <c r="GZ143" i="2"/>
  <c r="GZ72" i="2"/>
  <c r="GZ113" i="2"/>
  <c r="GZ168" i="2"/>
  <c r="GZ166" i="2"/>
  <c r="GZ31" i="2"/>
  <c r="GZ9" i="2"/>
  <c r="GZ187" i="2"/>
  <c r="GZ3" i="2"/>
  <c r="C15" i="4" s="1"/>
  <c r="E15" i="4" s="1"/>
  <c r="F15" i="4" s="1"/>
  <c r="G15" i="4" s="1"/>
  <c r="L15" i="4" s="1"/>
  <c r="FJ76" i="2"/>
  <c r="FJ155" i="2"/>
  <c r="FJ149" i="2"/>
  <c r="FJ14" i="2"/>
  <c r="FJ36" i="2"/>
  <c r="FJ144" i="2"/>
  <c r="FJ157" i="2"/>
  <c r="FJ152" i="2"/>
  <c r="FJ160" i="2"/>
  <c r="FJ60" i="2"/>
  <c r="FJ194" i="2"/>
  <c r="FJ130" i="2"/>
  <c r="FJ87" i="2"/>
  <c r="FJ27" i="2"/>
  <c r="FJ174" i="2"/>
  <c r="FJ111" i="2"/>
  <c r="FJ105" i="2"/>
  <c r="FJ94" i="2"/>
  <c r="FJ47" i="2"/>
  <c r="FJ141" i="2"/>
  <c r="FJ159" i="2"/>
  <c r="FJ37" i="2"/>
  <c r="FJ136" i="2"/>
  <c r="FJ61" i="2"/>
  <c r="FJ150" i="2"/>
  <c r="FJ56" i="2"/>
  <c r="FJ163" i="2"/>
  <c r="FJ190" i="2"/>
  <c r="FJ182" i="2"/>
  <c r="FJ102" i="2"/>
  <c r="FJ23" i="2"/>
  <c r="FJ35" i="2"/>
  <c r="FJ125" i="2"/>
  <c r="FJ122" i="2"/>
  <c r="FJ55" i="2"/>
  <c r="FJ199" i="2"/>
  <c r="FJ92" i="2"/>
  <c r="FJ73" i="2"/>
  <c r="FJ46" i="2"/>
  <c r="FJ138" i="2"/>
  <c r="FJ153" i="2"/>
  <c r="FJ43" i="2"/>
  <c r="FJ173" i="2"/>
  <c r="FJ117" i="2"/>
  <c r="FJ123" i="2"/>
  <c r="FJ131" i="2"/>
  <c r="FJ25" i="2"/>
  <c r="FJ200" i="2"/>
  <c r="FJ28" i="2"/>
  <c r="FJ39" i="2"/>
  <c r="FJ107" i="2"/>
  <c r="FJ91" i="2"/>
  <c r="FJ63" i="2"/>
  <c r="FJ15" i="2"/>
  <c r="FJ34" i="2"/>
  <c r="FJ137" i="2"/>
  <c r="FJ93" i="2"/>
  <c r="FJ82" i="2"/>
  <c r="FJ101" i="2"/>
  <c r="FJ50" i="2"/>
  <c r="FJ96" i="2"/>
  <c r="FJ108" i="2"/>
  <c r="FJ29" i="2"/>
  <c r="FJ19" i="2"/>
  <c r="FJ45" i="2"/>
  <c r="FJ147" i="2"/>
  <c r="FJ89" i="2"/>
  <c r="FJ9" i="2"/>
  <c r="FJ156" i="2"/>
  <c r="FJ41" i="2"/>
  <c r="FJ104" i="2"/>
  <c r="FJ202" i="2"/>
  <c r="FJ158" i="2"/>
  <c r="FJ140" i="2"/>
  <c r="FJ86" i="2"/>
  <c r="FJ3" i="2"/>
  <c r="C13" i="4" s="1"/>
  <c r="E13" i="4" s="1"/>
  <c r="F13" i="4" s="1"/>
  <c r="G13" i="4" s="1"/>
  <c r="L13" i="4" s="1"/>
  <c r="FJ189" i="2"/>
  <c r="FJ62" i="2"/>
  <c r="FJ83" i="2"/>
  <c r="FJ22" i="2"/>
  <c r="FJ175" i="2"/>
  <c r="FJ49" i="2"/>
  <c r="FJ118" i="2"/>
  <c r="FJ192" i="2"/>
  <c r="FJ162" i="2"/>
  <c r="FJ74" i="2"/>
  <c r="FJ126" i="2"/>
  <c r="FJ67" i="2"/>
  <c r="FJ40" i="2"/>
  <c r="FJ143" i="2"/>
  <c r="FJ98" i="2"/>
  <c r="FJ7" i="2"/>
  <c r="FJ113" i="2"/>
  <c r="FJ42" i="2"/>
  <c r="FJ127" i="2"/>
  <c r="FJ139" i="2"/>
  <c r="FJ184" i="2"/>
  <c r="FJ5" i="2"/>
  <c r="FJ169" i="2"/>
  <c r="FJ110" i="2"/>
  <c r="FJ195" i="2"/>
  <c r="FJ121" i="2"/>
  <c r="FJ128" i="2"/>
  <c r="FJ97" i="2"/>
  <c r="FJ124" i="2"/>
  <c r="FJ24" i="2"/>
  <c r="FJ4" i="2"/>
  <c r="FJ31" i="2"/>
  <c r="FJ166" i="2"/>
  <c r="FJ129" i="2"/>
  <c r="FJ53" i="2"/>
  <c r="FJ115" i="2"/>
  <c r="FJ201" i="2"/>
  <c r="FJ30" i="2"/>
  <c r="FJ80" i="2"/>
  <c r="FJ81" i="2"/>
  <c r="FJ134" i="2"/>
  <c r="FJ180" i="2"/>
  <c r="FJ193" i="2"/>
  <c r="FJ103" i="2"/>
  <c r="FJ54" i="2"/>
  <c r="FJ172" i="2"/>
  <c r="FJ78" i="2"/>
  <c r="FJ185" i="2"/>
  <c r="FJ165" i="2"/>
  <c r="FJ13" i="2"/>
  <c r="FJ99" i="2"/>
  <c r="FJ151" i="2"/>
  <c r="FJ72" i="2"/>
  <c r="FJ186" i="2"/>
  <c r="FJ70" i="2"/>
  <c r="FJ161" i="2"/>
  <c r="FJ90" i="2"/>
  <c r="FJ179" i="2"/>
  <c r="FJ196" i="2"/>
  <c r="FJ132" i="2"/>
  <c r="FJ58" i="2"/>
  <c r="FJ52" i="2"/>
  <c r="FJ187" i="2"/>
  <c r="FJ44" i="2"/>
  <c r="FJ88" i="2"/>
  <c r="FJ79" i="2"/>
  <c r="FJ10" i="2"/>
  <c r="FJ178" i="2"/>
  <c r="FJ203" i="2"/>
  <c r="FJ32" i="2"/>
  <c r="FJ177" i="2"/>
  <c r="FJ59" i="2"/>
  <c r="FJ48" i="2"/>
  <c r="FJ198" i="2"/>
  <c r="FJ168" i="2"/>
  <c r="FJ71" i="2"/>
  <c r="FJ18" i="2"/>
  <c r="FJ120" i="2"/>
  <c r="FJ106" i="2"/>
  <c r="FJ77" i="2"/>
  <c r="FJ164" i="2"/>
  <c r="FJ26" i="2"/>
  <c r="FJ181" i="2"/>
  <c r="FJ38" i="2"/>
  <c r="FJ20" i="2"/>
  <c r="FJ133" i="2"/>
  <c r="FJ119" i="2"/>
  <c r="FJ170" i="2"/>
  <c r="FJ145" i="2"/>
  <c r="FJ57" i="2"/>
  <c r="FJ142" i="2"/>
  <c r="FJ6" i="2"/>
  <c r="FJ95" i="2"/>
  <c r="FJ116" i="2"/>
  <c r="FJ114" i="2"/>
  <c r="FJ16" i="2"/>
  <c r="FJ17" i="2"/>
  <c r="FJ33" i="2"/>
  <c r="FJ66" i="2"/>
  <c r="FJ188" i="2"/>
  <c r="FJ64" i="2"/>
  <c r="FJ84" i="2"/>
  <c r="FJ100" i="2"/>
  <c r="FJ176" i="2"/>
  <c r="FJ51" i="2"/>
  <c r="FJ65" i="2"/>
  <c r="FJ148" i="2"/>
  <c r="FJ112" i="2"/>
  <c r="FJ167" i="2"/>
  <c r="FJ191" i="2"/>
  <c r="FJ68" i="2"/>
  <c r="FJ69" i="2"/>
  <c r="FJ146" i="2"/>
  <c r="FJ197" i="2"/>
  <c r="FJ183" i="2"/>
  <c r="FJ85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D130" i="2" l="1"/>
  <c r="CD60" i="2"/>
  <c r="CD189" i="2"/>
  <c r="CD121" i="2"/>
  <c r="CD159" i="2"/>
  <c r="CD18" i="2"/>
  <c r="CD166" i="2"/>
  <c r="CD69" i="2"/>
  <c r="CD84" i="2"/>
  <c r="CD119" i="2"/>
  <c r="CD7" i="2"/>
  <c r="CD172" i="2"/>
  <c r="CD63" i="2"/>
  <c r="CD13" i="2"/>
  <c r="CD120" i="2"/>
  <c r="CD112" i="2"/>
  <c r="CD10" i="2"/>
  <c r="CD128" i="2"/>
  <c r="CD155" i="2"/>
  <c r="CD72" i="2"/>
  <c r="CD55" i="2"/>
  <c r="CD126" i="2"/>
  <c r="CD82" i="2"/>
  <c r="CD76" i="2"/>
  <c r="CD177" i="2"/>
  <c r="CD151" i="2"/>
  <c r="CD67" i="2"/>
  <c r="CD43" i="2"/>
  <c r="CD203" i="2"/>
  <c r="CD75" i="2"/>
  <c r="CD17" i="2"/>
  <c r="CD122" i="2"/>
  <c r="CD175" i="2"/>
  <c r="CD152" i="2"/>
  <c r="CD85" i="2"/>
  <c r="CD109" i="2"/>
  <c r="CD44" i="2"/>
  <c r="CD148" i="2"/>
  <c r="CD118" i="2"/>
  <c r="CD186" i="2"/>
  <c r="CD16" i="2"/>
  <c r="CD89" i="2"/>
  <c r="CD141" i="2"/>
  <c r="CD181" i="2"/>
  <c r="CD61" i="2"/>
  <c r="CD27" i="2"/>
  <c r="CD8" i="2"/>
  <c r="CD88" i="2"/>
  <c r="CD87" i="2"/>
  <c r="CD136" i="2"/>
  <c r="CD145" i="2"/>
  <c r="CD150" i="2"/>
  <c r="CD97" i="2"/>
  <c r="CD168" i="2"/>
  <c r="CD47" i="2"/>
  <c r="CD34" i="2"/>
  <c r="CD200" i="2"/>
  <c r="CD19" i="2"/>
  <c r="CD29" i="2"/>
  <c r="CD110" i="2"/>
  <c r="CD91" i="2"/>
  <c r="CD195" i="2"/>
  <c r="CD35" i="2"/>
  <c r="CD161" i="2"/>
  <c r="CD99" i="2"/>
  <c r="CD201" i="2"/>
  <c r="CD38" i="2"/>
  <c r="CD179" i="2"/>
  <c r="CD49" i="2"/>
  <c r="CD51" i="2"/>
  <c r="CD143" i="2"/>
  <c r="CD173" i="2"/>
  <c r="CD6" i="2"/>
  <c r="CD86" i="2"/>
  <c r="CD65" i="2"/>
  <c r="CD162" i="2"/>
  <c r="CD80" i="2"/>
  <c r="CD156" i="2"/>
  <c r="CD185" i="2"/>
  <c r="CD137" i="2"/>
  <c r="CD198" i="2"/>
  <c r="CD90" i="2"/>
  <c r="CD191" i="2"/>
  <c r="CD147" i="2"/>
  <c r="CD71" i="2"/>
  <c r="CD21" i="2"/>
  <c r="CD68" i="2"/>
  <c r="CD50" i="2"/>
  <c r="CD184" i="2"/>
  <c r="CD196" i="2"/>
  <c r="CD132" i="2"/>
  <c r="CD180" i="2"/>
  <c r="CD163" i="2"/>
  <c r="CD79" i="2"/>
  <c r="CD134" i="2"/>
  <c r="CD9" i="2"/>
  <c r="CD105" i="2"/>
  <c r="CD5" i="2"/>
  <c r="CD37" i="2"/>
  <c r="CD28" i="2"/>
  <c r="CD30" i="2"/>
  <c r="CD174" i="2"/>
  <c r="CD12" i="2"/>
  <c r="CD96" i="2"/>
  <c r="CD3" i="2"/>
  <c r="C9" i="4" s="1"/>
  <c r="E9" i="4" s="1"/>
  <c r="F9" i="4" s="1"/>
  <c r="G9" i="4" s="1"/>
  <c r="L9" i="4" s="1"/>
  <c r="CD14" i="2"/>
  <c r="CD170" i="2"/>
  <c r="CD66" i="2"/>
  <c r="CD52" i="2"/>
  <c r="CD202" i="2"/>
  <c r="CD117" i="2"/>
  <c r="CD46" i="2"/>
  <c r="CD62" i="2"/>
  <c r="CD129" i="2"/>
  <c r="CD33" i="2"/>
  <c r="CD178" i="2"/>
  <c r="CD39" i="2"/>
  <c r="CD40" i="2"/>
  <c r="CD73" i="2"/>
  <c r="CD92" i="2"/>
  <c r="CD142" i="2"/>
  <c r="CD98" i="2"/>
  <c r="CD154" i="2"/>
  <c r="CD54" i="2"/>
  <c r="CD124" i="2"/>
  <c r="CD192" i="2"/>
  <c r="CD164" i="2"/>
  <c r="CD158" i="2"/>
  <c r="CD183" i="2"/>
  <c r="CD58" i="2"/>
  <c r="CD20" i="2"/>
  <c r="CD74" i="2"/>
  <c r="CD146" i="2"/>
  <c r="CD101" i="2"/>
  <c r="CD48" i="2"/>
  <c r="CD56" i="2"/>
  <c r="CD93" i="2"/>
  <c r="CD113" i="2"/>
  <c r="CD95" i="2"/>
  <c r="CD59" i="2"/>
  <c r="CD78" i="2"/>
  <c r="CD45" i="2"/>
  <c r="CD81" i="2"/>
  <c r="CD104" i="2"/>
  <c r="CD149" i="2"/>
  <c r="CD153" i="2"/>
  <c r="CD197" i="2"/>
  <c r="CD188" i="2"/>
  <c r="CD133" i="2"/>
  <c r="CD193" i="2"/>
  <c r="CD165" i="2"/>
  <c r="CD77" i="2"/>
  <c r="CD26" i="2"/>
  <c r="CD22" i="2"/>
  <c r="CD187" i="2"/>
  <c r="CD167" i="2"/>
  <c r="CD83" i="2"/>
  <c r="CD160" i="2"/>
  <c r="CD176" i="2"/>
  <c r="CD108" i="2"/>
  <c r="CD36" i="2"/>
  <c r="CD42" i="2"/>
  <c r="CD11" i="2"/>
  <c r="CD23" i="2"/>
  <c r="CD182" i="2"/>
  <c r="CD53" i="2"/>
  <c r="CD31" i="2"/>
  <c r="CD107" i="2"/>
  <c r="CD140" i="2"/>
  <c r="CD138" i="2"/>
  <c r="CD106" i="2"/>
  <c r="CD171" i="2"/>
  <c r="CD127" i="2"/>
  <c r="CD125" i="2"/>
  <c r="CD157" i="2"/>
  <c r="CD144" i="2"/>
  <c r="CD135" i="2"/>
  <c r="CD4" i="2"/>
  <c r="CD103" i="2"/>
  <c r="CD131" i="2"/>
  <c r="CD169" i="2"/>
  <c r="CD25" i="2"/>
  <c r="CD64" i="2"/>
  <c r="CD194" i="2"/>
  <c r="CD57" i="2"/>
  <c r="CD102" i="2"/>
  <c r="CD100" i="2"/>
  <c r="CD32" i="2"/>
  <c r="CD94" i="2"/>
  <c r="CD123" i="2"/>
  <c r="CD190" i="2"/>
  <c r="CD41" i="2"/>
  <c r="CD70" i="2"/>
  <c r="CD111" i="2"/>
  <c r="CD24" i="2"/>
  <c r="CD139" i="2"/>
  <c r="CD15" i="2"/>
  <c r="CD115" i="2"/>
  <c r="CD114" i="2"/>
  <c r="CD199" i="2"/>
  <c r="CD116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EO110" i="2" l="1"/>
  <c r="EO35" i="2"/>
  <c r="EO145" i="2"/>
  <c r="EO170" i="2"/>
  <c r="EO77" i="2"/>
  <c r="EO44" i="2"/>
  <c r="EO108" i="2"/>
  <c r="EO155" i="2"/>
  <c r="EO6" i="2"/>
  <c r="EO142" i="2"/>
  <c r="EO105" i="2"/>
  <c r="EO72" i="2"/>
  <c r="EO86" i="2"/>
  <c r="EO150" i="2"/>
  <c r="EO76" i="2"/>
  <c r="EO31" i="2"/>
  <c r="EO43" i="2"/>
  <c r="EO91" i="2"/>
  <c r="EO114" i="2"/>
  <c r="EO199" i="2"/>
  <c r="EO82" i="2"/>
  <c r="EO119" i="2"/>
  <c r="EO39" i="2"/>
  <c r="EO36" i="2"/>
  <c r="EO33" i="2"/>
  <c r="EO21" i="2"/>
  <c r="EO19" i="2"/>
  <c r="EO116" i="2"/>
  <c r="EO121" i="2"/>
  <c r="EO112" i="2"/>
  <c r="EO166" i="2"/>
  <c r="EO139" i="2"/>
  <c r="EO73" i="2"/>
  <c r="EO56" i="2"/>
  <c r="EO138" i="2"/>
  <c r="EO64" i="2"/>
  <c r="EO113" i="2"/>
  <c r="EO48" i="2"/>
  <c r="EO184" i="2"/>
  <c r="EO7" i="2"/>
  <c r="EO101" i="2"/>
  <c r="EO126" i="2"/>
  <c r="EO42" i="2"/>
  <c r="EO120" i="2"/>
  <c r="EO103" i="2"/>
  <c r="EO156" i="2"/>
  <c r="EO97" i="2"/>
  <c r="EO182" i="2"/>
  <c r="EO186" i="2"/>
  <c r="EO10" i="2"/>
  <c r="EO13" i="2"/>
  <c r="EO188" i="2"/>
  <c r="EO8" i="2"/>
  <c r="EO16" i="2"/>
  <c r="EO160" i="2"/>
  <c r="EO167" i="2"/>
  <c r="EO144" i="2"/>
  <c r="EO30" i="2"/>
  <c r="EO151" i="2"/>
  <c r="EO173" i="2"/>
  <c r="EO146" i="2"/>
  <c r="EO85" i="2"/>
  <c r="EO12" i="2"/>
  <c r="EO124" i="2"/>
  <c r="EO27" i="2"/>
  <c r="EO93" i="2"/>
  <c r="EO65" i="2"/>
  <c r="EO134" i="2"/>
  <c r="EO63" i="2"/>
  <c r="EO128" i="2"/>
  <c r="EO34" i="2"/>
  <c r="EO118" i="2"/>
  <c r="EO38" i="2"/>
  <c r="EO53" i="2"/>
  <c r="EO90" i="2"/>
  <c r="EO201" i="2"/>
  <c r="EO149" i="2"/>
  <c r="EO196" i="2"/>
  <c r="EO169" i="2"/>
  <c r="EO107" i="2"/>
  <c r="EO190" i="2"/>
  <c r="EO32" i="2"/>
  <c r="EO61" i="2"/>
  <c r="EO25" i="2"/>
  <c r="EO83" i="2"/>
  <c r="EO115" i="2"/>
  <c r="EO123" i="2"/>
  <c r="EO171" i="2"/>
  <c r="EO198" i="2"/>
  <c r="EO117" i="2"/>
  <c r="EO158" i="2"/>
  <c r="EO58" i="2"/>
  <c r="EO147" i="2"/>
  <c r="EO95" i="2"/>
  <c r="EO98" i="2"/>
  <c r="EO111" i="2"/>
  <c r="EO165" i="2"/>
  <c r="EO179" i="2"/>
  <c r="EO40" i="2"/>
  <c r="EO15" i="2"/>
  <c r="EO181" i="2"/>
  <c r="EO71" i="2"/>
  <c r="EO136" i="2"/>
  <c r="EO125" i="2"/>
  <c r="EO50" i="2"/>
  <c r="EO60" i="2"/>
  <c r="EO88" i="2"/>
  <c r="EO187" i="2"/>
  <c r="EO132" i="2"/>
  <c r="EO66" i="2"/>
  <c r="EO18" i="2"/>
  <c r="EO189" i="2"/>
  <c r="EO20" i="2"/>
  <c r="EO52" i="2"/>
  <c r="EO148" i="2"/>
  <c r="EO202" i="2"/>
  <c r="EO195" i="2"/>
  <c r="EO92" i="2"/>
  <c r="EO70" i="2"/>
  <c r="EO3" i="2"/>
  <c r="C12" i="4" s="1"/>
  <c r="E12" i="4" s="1"/>
  <c r="F12" i="4" s="1"/>
  <c r="G12" i="4" s="1"/>
  <c r="L12" i="4" s="1"/>
  <c r="EO17" i="2"/>
  <c r="EO74" i="2"/>
  <c r="EO200" i="2"/>
  <c r="EO23" i="2"/>
  <c r="EO47" i="2"/>
  <c r="EO67" i="2"/>
  <c r="EO193" i="2"/>
  <c r="EO89" i="2"/>
  <c r="EO96" i="2"/>
  <c r="EO28" i="2"/>
  <c r="EO24" i="2"/>
  <c r="EO191" i="2"/>
  <c r="EO45" i="2"/>
  <c r="EO59" i="2"/>
  <c r="EO54" i="2"/>
  <c r="EO104" i="2"/>
  <c r="EO84" i="2"/>
  <c r="EO69" i="2"/>
  <c r="EO5" i="2"/>
  <c r="EO180" i="2"/>
  <c r="EO141" i="2"/>
  <c r="EO183" i="2"/>
  <c r="EO137" i="2"/>
  <c r="EO109" i="2"/>
  <c r="EO122" i="2"/>
  <c r="EO143" i="2"/>
  <c r="EO162" i="2"/>
  <c r="EO29" i="2"/>
  <c r="EO168" i="2"/>
  <c r="EO106" i="2"/>
  <c r="EO9" i="2"/>
  <c r="EO174" i="2"/>
  <c r="EO99" i="2"/>
  <c r="EO81" i="2"/>
  <c r="EO41" i="2"/>
  <c r="EO22" i="2"/>
  <c r="EO197" i="2"/>
  <c r="EO172" i="2"/>
  <c r="EO157" i="2"/>
  <c r="EO80" i="2"/>
  <c r="EO26" i="2"/>
  <c r="EO133" i="2"/>
  <c r="EO178" i="2"/>
  <c r="EO192" i="2"/>
  <c r="EO153" i="2"/>
  <c r="EO102" i="2"/>
  <c r="EO163" i="2"/>
  <c r="EO78" i="2"/>
  <c r="EO4" i="2"/>
  <c r="EO100" i="2"/>
  <c r="EO55" i="2"/>
  <c r="EO161" i="2"/>
  <c r="EO176" i="2"/>
  <c r="EO194" i="2"/>
  <c r="EO11" i="2"/>
  <c r="EO79" i="2"/>
  <c r="EO87" i="2"/>
  <c r="EO57" i="2"/>
  <c r="EO159" i="2"/>
  <c r="EO175" i="2"/>
  <c r="EO140" i="2"/>
  <c r="EO68" i="2"/>
  <c r="EO94" i="2"/>
  <c r="EO127" i="2"/>
  <c r="EO185" i="2"/>
  <c r="EO164" i="2"/>
  <c r="EO37" i="2"/>
  <c r="EO62" i="2"/>
  <c r="EO130" i="2"/>
  <c r="EO129" i="2"/>
  <c r="EO14" i="2"/>
  <c r="EO135" i="2"/>
  <c r="EO51" i="2"/>
  <c r="EO154" i="2"/>
  <c r="EO131" i="2"/>
  <c r="EO49" i="2"/>
  <c r="EO75" i="2"/>
  <c r="EO177" i="2"/>
  <c r="EO152" i="2"/>
  <c r="EO46" i="2"/>
  <c r="EO203" i="2"/>
  <c r="DT127" i="2"/>
  <c r="DT23" i="2"/>
  <c r="DT197" i="2"/>
  <c r="DT178" i="2"/>
  <c r="DT33" i="2"/>
  <c r="DT16" i="2"/>
  <c r="DT138" i="2"/>
  <c r="DT184" i="2"/>
  <c r="DT9" i="2"/>
  <c r="DT77" i="2"/>
  <c r="DT145" i="2"/>
  <c r="DT186" i="2"/>
  <c r="DT182" i="2"/>
  <c r="DT20" i="2"/>
  <c r="DT175" i="2"/>
  <c r="DT30" i="2"/>
  <c r="DT200" i="2"/>
  <c r="DT134" i="2"/>
  <c r="DT38" i="2"/>
  <c r="DT176" i="2"/>
  <c r="DT107" i="2"/>
  <c r="DT56" i="2"/>
  <c r="DT11" i="2"/>
  <c r="DT5" i="2"/>
  <c r="DT97" i="2"/>
  <c r="DT116" i="2"/>
  <c r="DT189" i="2"/>
  <c r="DT188" i="2"/>
  <c r="DT83" i="2"/>
  <c r="DT166" i="2"/>
  <c r="DT133" i="2"/>
  <c r="DT19" i="2"/>
  <c r="DT129" i="2"/>
  <c r="DT12" i="2"/>
  <c r="DT58" i="2"/>
  <c r="DT137" i="2"/>
  <c r="DT13" i="2"/>
  <c r="DT57" i="2"/>
  <c r="DT26" i="2"/>
  <c r="DT196" i="2"/>
  <c r="DT157" i="2"/>
  <c r="DT143" i="2"/>
  <c r="DT50" i="2"/>
  <c r="DT52" i="2"/>
  <c r="DT203" i="2"/>
  <c r="DT120" i="2"/>
  <c r="DT85" i="2"/>
  <c r="DT64" i="2"/>
  <c r="DT37" i="2"/>
  <c r="DT69" i="2"/>
  <c r="DT17" i="2"/>
  <c r="DT146" i="2"/>
  <c r="DT55" i="2"/>
  <c r="DT192" i="2"/>
  <c r="DT109" i="2"/>
  <c r="DT177" i="2"/>
  <c r="DT148" i="2"/>
  <c r="DT47" i="2"/>
  <c r="DT169" i="2"/>
  <c r="DT181" i="2"/>
  <c r="DT168" i="2"/>
  <c r="DT8" i="2"/>
  <c r="DT122" i="2"/>
  <c r="DT101" i="2"/>
  <c r="DT74" i="2"/>
  <c r="DT167" i="2"/>
  <c r="DT95" i="2"/>
  <c r="DT60" i="2"/>
  <c r="DT151" i="2"/>
  <c r="DT199" i="2"/>
  <c r="DT15" i="2"/>
  <c r="DT81" i="2"/>
  <c r="DT118" i="2"/>
  <c r="DT104" i="2"/>
  <c r="DT48" i="2"/>
  <c r="DT170" i="2"/>
  <c r="DT155" i="2"/>
  <c r="DT172" i="2"/>
  <c r="DT46" i="2"/>
  <c r="DT25" i="2"/>
  <c r="DT40" i="2"/>
  <c r="DT59" i="2"/>
  <c r="DT66" i="2"/>
  <c r="DT131" i="2"/>
  <c r="DT18" i="2"/>
  <c r="DT54" i="2"/>
  <c r="DT108" i="2"/>
  <c r="DT87" i="2"/>
  <c r="DT103" i="2"/>
  <c r="DT71" i="2"/>
  <c r="DT117" i="2"/>
  <c r="DT94" i="2"/>
  <c r="DT89" i="2"/>
  <c r="DT113" i="2"/>
  <c r="DT92" i="2"/>
  <c r="DT98" i="2"/>
  <c r="DT180" i="2"/>
  <c r="DT130" i="2"/>
  <c r="DT194" i="2"/>
  <c r="DT141" i="2"/>
  <c r="DT21" i="2"/>
  <c r="DT136" i="2"/>
  <c r="DT124" i="2"/>
  <c r="DT78" i="2"/>
  <c r="DT51" i="2"/>
  <c r="DT100" i="2"/>
  <c r="DT161" i="2"/>
  <c r="DT41" i="2"/>
  <c r="DT49" i="2"/>
  <c r="DT187" i="2"/>
  <c r="DT24" i="2"/>
  <c r="DT88" i="2"/>
  <c r="DT114" i="2"/>
  <c r="DT7" i="2"/>
  <c r="DT102" i="2"/>
  <c r="DT142" i="2"/>
  <c r="DT173" i="2"/>
  <c r="DT70" i="2"/>
  <c r="DT144" i="2"/>
  <c r="DT53" i="2"/>
  <c r="DT195" i="2"/>
  <c r="DT111" i="2"/>
  <c r="DT61" i="2"/>
  <c r="DT90" i="2"/>
  <c r="DT152" i="2"/>
  <c r="DT202" i="2"/>
  <c r="DT139" i="2"/>
  <c r="DT44" i="2"/>
  <c r="DT193" i="2"/>
  <c r="DT160" i="2"/>
  <c r="DT62" i="2"/>
  <c r="DT121" i="2"/>
  <c r="DT106" i="2"/>
  <c r="DT72" i="2"/>
  <c r="DT4" i="2"/>
  <c r="DT31" i="2"/>
  <c r="DT43" i="2"/>
  <c r="DT73" i="2"/>
  <c r="DT34" i="2"/>
  <c r="DT171" i="2"/>
  <c r="DT112" i="2"/>
  <c r="DT126" i="2"/>
  <c r="DT27" i="2"/>
  <c r="DT125" i="2"/>
  <c r="DT76" i="2"/>
  <c r="DT42" i="2"/>
  <c r="DT147" i="2"/>
  <c r="DT191" i="2"/>
  <c r="DT35" i="2"/>
  <c r="DT183" i="2"/>
  <c r="DT140" i="2"/>
  <c r="DT86" i="2"/>
  <c r="DT156" i="2"/>
  <c r="DT45" i="2"/>
  <c r="DT93" i="2"/>
  <c r="DT159" i="2"/>
  <c r="DT163" i="2"/>
  <c r="DT162" i="2"/>
  <c r="DT179" i="2"/>
  <c r="DT10" i="2"/>
  <c r="DT185" i="2"/>
  <c r="DT36" i="2"/>
  <c r="DT3" i="2"/>
  <c r="C11" i="4" s="1"/>
  <c r="E11" i="4" s="1"/>
  <c r="F11" i="4" s="1"/>
  <c r="G11" i="4" s="1"/>
  <c r="L11" i="4" s="1"/>
  <c r="DT174" i="2"/>
  <c r="DT164" i="2"/>
  <c r="DT135" i="2"/>
  <c r="DT99" i="2"/>
  <c r="DT82" i="2"/>
  <c r="DT14" i="2"/>
  <c r="DT105" i="2"/>
  <c r="DT6" i="2"/>
  <c r="DT158" i="2"/>
  <c r="DT198" i="2"/>
  <c r="DT68" i="2"/>
  <c r="DT96" i="2"/>
  <c r="DT190" i="2"/>
  <c r="DT65" i="2"/>
  <c r="DT32" i="2"/>
  <c r="DT149" i="2"/>
  <c r="DT28" i="2"/>
  <c r="DT80" i="2"/>
  <c r="DT123" i="2"/>
  <c r="DT150" i="2"/>
  <c r="DT75" i="2"/>
  <c r="DT39" i="2"/>
  <c r="DT29" i="2"/>
  <c r="DT128" i="2"/>
  <c r="DT22" i="2"/>
  <c r="DT67" i="2"/>
  <c r="DT132" i="2"/>
  <c r="DT165" i="2"/>
  <c r="DT119" i="2"/>
  <c r="DT110" i="2"/>
  <c r="DT153" i="2"/>
  <c r="DT154" i="2"/>
  <c r="DT84" i="2"/>
  <c r="DT63" i="2"/>
  <c r="DT79" i="2"/>
  <c r="DT91" i="2"/>
  <c r="DT115" i="2"/>
  <c r="DT201" i="2"/>
  <c r="FE158" i="2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<sst xmlns="http://schemas.openxmlformats.org/spreadsheetml/2006/main" count="1189" uniqueCount="325">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</sst>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99"/>
        <bgColor rgb="FF000000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32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21" borderId="1" xfId="0" applyFont="1" applyFill="1" applyBorder="1" applyAlignment="1" applyProtection="1">
      <alignment horizontal="center"/>
      <protection locked="0" hidden="1"/>
    </xf>
    <xf numFmtId="0" fontId="33" fillId="0" borderId="6" xfId="0" applyFont="1" applyBorder="1"/>
    <xf numFmtId="0" fontId="32" fillId="21" borderId="6" xfId="0" applyFont="1" applyFill="1" applyBorder="1" applyAlignment="1" applyProtection="1">
      <alignment horizontal="center"/>
      <protection locked="0" hidden="1"/>
    </xf>
    <xf numFmtId="9" fontId="9" fillId="22" borderId="6" xfId="1" applyFont="1" applyFill="1" applyBorder="1" applyAlignment="1" applyProtection="1">
      <alignment horizontal="center"/>
      <protection locked="0" hidden="1"/>
    </xf>
    <xf numFmtId="0" fontId="32" fillId="21" borderId="10" xfId="0" applyFont="1" applyFill="1" applyBorder="1" applyAlignment="1" applyProtection="1">
      <alignment horizontal="center"/>
      <protection locked="0" hidden="1"/>
    </xf>
    <xf numFmtId="0" fontId="33" fillId="0" borderId="31" xfId="0" applyFont="1" applyBorder="1"/>
    <xf numFmtId="0" fontId="32" fillId="21" borderId="31" xfId="0" applyFont="1" applyFill="1" applyBorder="1" applyAlignment="1" applyProtection="1">
      <alignment horizontal="center"/>
      <protection locked="0" hidden="1"/>
    </xf>
    <xf numFmtId="9" fontId="9" fillId="22" borderId="10" xfId="1" applyFont="1" applyFill="1" applyBorder="1" applyAlignment="1" applyProtection="1">
      <alignment horizontal="center"/>
      <protection locked="0" hidden="1"/>
    </xf>
    <xf numFmtId="9" fontId="9" fillId="22" borderId="31" xfId="1" applyFont="1" applyFill="1" applyBorder="1" applyAlignment="1" applyProtection="1">
      <alignment horizontal="center"/>
      <protection locked="0" hidden="1"/>
    </xf>
    <xf numFmtId="0" fontId="33" fillId="0" borderId="1" xfId="0" applyFont="1" applyBorder="1"/>
    <xf numFmtId="1" fontId="33" fillId="0" borderId="6" xfId="0" applyNumberFormat="1" applyFont="1" applyBorder="1"/>
    <xf numFmtId="0" fontId="32" fillId="21" borderId="6" xfId="0" applyFont="1" applyFill="1" applyBorder="1" applyAlignment="1" applyProtection="1">
      <alignment horizontal="center"/>
      <protection locked="0"/>
    </xf>
    <xf numFmtId="0" fontId="33" fillId="0" borderId="10" xfId="0" applyFont="1" applyBorder="1"/>
    <xf numFmtId="1" fontId="33" fillId="0" borderId="31" xfId="0" applyNumberFormat="1" applyFont="1" applyBorder="1"/>
    <xf numFmtId="0" fontId="32" fillId="21" borderId="31" xfId="0" applyFont="1" applyFill="1" applyBorder="1" applyAlignment="1" applyProtection="1">
      <alignment horizontal="center"/>
      <protection locked="0"/>
    </xf>
    <xf numFmtId="9" fontId="9" fillId="22" borderId="31" xfId="1" applyFont="1" applyFill="1" applyBorder="1" applyAlignment="1" applyProtection="1">
      <alignment horizontal="center"/>
      <protection locked="0"/>
    </xf>
    <xf numFmtId="9" fontId="9" fillId="22" borderId="10" xfId="0" applyNumberFormat="1" applyFont="1" applyFill="1" applyBorder="1" applyAlignment="1" applyProtection="1">
      <alignment horizontal="center"/>
      <protection locked="0" hidden="1"/>
    </xf>
    <xf numFmtId="9" fontId="9" fillId="22" borderId="31" xfId="0" applyNumberFormat="1" applyFont="1" applyFill="1" applyBorder="1" applyAlignment="1" applyProtection="1">
      <alignment horizontal="center"/>
      <protection locked="0" hidden="1"/>
    </xf>
    <xf numFmtId="168" fontId="33" fillId="22" borderId="1" xfId="0" applyNumberFormat="1" applyFont="1" applyFill="1" applyBorder="1" applyAlignment="1" applyProtection="1">
      <alignment horizontal="center"/>
      <protection locked="0"/>
    </xf>
    <xf numFmtId="168" fontId="33" fillId="22" borderId="10" xfId="0" applyNumberFormat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5">
    <cellStyle name="Lien hypertexte" xfId="2" builtinId="8"/>
    <cellStyle name="Normal" xfId="0" builtinId="0"/>
    <cellStyle name="Normal 2" xfId="4" xr:uid="{244A505A-5525-374C-9D4A-33311C4116BB}"/>
    <cellStyle name="Pourcentage" xfId="1" builtinId="5"/>
    <cellStyle name="Pourcentage 2" xfId="3" xr:uid="{CF728959-7C65-6D41-B639-CDA922AF94DC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1.8872166199460507</c:v>
                </c:pt>
                <c:pt idx="2">
                  <c:v>2.2964597670016897</c:v>
                </c:pt>
                <c:pt idx="3">
                  <c:v>2.7947887476451427</c:v>
                </c:pt>
                <c:pt idx="4">
                  <c:v>3.4016664353083708</c:v>
                </c:pt>
                <c:pt idx="5">
                  <c:v>4.1408222331583096</c:v>
                </c:pt>
                <c:pt idx="6">
                  <c:v>5.0411903008954377</c:v>
                </c:pt>
                <c:pt idx="7">
                  <c:v>6.1380547009993505</c:v>
                </c:pt>
                <c:pt idx="8">
                  <c:v>7.4744472208053194</c:v>
                </c:pt>
                <c:pt idx="9">
                  <c:v>9.1028537696068188</c:v>
                </c:pt>
                <c:pt idx="10">
                  <c:v>11.087297646119426</c:v>
                </c:pt>
                <c:pt idx="11">
                  <c:v>13.505883122712893</c:v>
                </c:pt>
                <c:pt idx="12">
                  <c:v>16.453901312282458</c:v>
                </c:pt>
                <c:pt idx="13">
                  <c:v>20.047622921795863</c:v>
                </c:pt>
                <c:pt idx="14">
                  <c:v>24.428930171147528</c:v>
                </c:pt>
                <c:pt idx="15">
                  <c:v>29.770973989542124</c:v>
                </c:pt>
                <c:pt idx="16">
                  <c:v>36.28508396740807</c:v>
                </c:pt>
                <c:pt idx="17">
                  <c:v>44.229209119664233</c:v>
                </c:pt>
                <c:pt idx="18">
                  <c:v>53.918229361138849</c:v>
                </c:pt>
                <c:pt idx="19">
                  <c:v>65.736553221372674</c:v>
                </c:pt>
                <c:pt idx="20">
                  <c:v>80.153509810179131</c:v>
                </c:pt>
                <c:pt idx="21">
                  <c:v>89.391965719110203</c:v>
                </c:pt>
                <c:pt idx="22">
                  <c:v>102.54887213283676</c:v>
                </c:pt>
                <c:pt idx="23">
                  <c:v>115.66397937972845</c:v>
                </c:pt>
                <c:pt idx="24">
                  <c:v>128.74270297836009</c:v>
                </c:pt>
                <c:pt idx="25">
                  <c:v>141.78926461478019</c:v>
                </c:pt>
                <c:pt idx="26">
                  <c:v>154.80704360145447</c:v>
                </c:pt>
                <c:pt idx="27">
                  <c:v>167.79880331835713</c:v>
                </c:pt>
                <c:pt idx="28">
                  <c:v>180.76684356318125</c:v>
                </c:pt>
                <c:pt idx="29">
                  <c:v>193.71310674706146</c:v>
                </c:pt>
                <c:pt idx="30">
                  <c:v>206.63925413557971</c:v>
                </c:pt>
                <c:pt idx="31">
                  <c:v>204.44316393691588</c:v>
                </c:pt>
                <c:pt idx="32">
                  <c:v>217.74075246919756</c:v>
                </c:pt>
                <c:pt idx="33">
                  <c:v>231.01967692884918</c:v>
                </c:pt>
                <c:pt idx="34">
                  <c:v>244.28116165814291</c:v>
                </c:pt>
                <c:pt idx="35">
                  <c:v>257.52628712281688</c:v>
                </c:pt>
                <c:pt idx="36">
                  <c:v>270.75601350883994</c:v>
                </c:pt>
                <c:pt idx="37">
                  <c:v>283.9711994609832</c:v>
                </c:pt>
                <c:pt idx="38">
                  <c:v>297.17261714760809</c:v>
                </c:pt>
                <c:pt idx="39">
                  <c:v>310.36096450648392</c:v>
                </c:pt>
                <c:pt idx="40">
                  <c:v>323.53687529895308</c:v>
                </c:pt>
                <c:pt idx="41">
                  <c:v>308.82510968141406</c:v>
                </c:pt>
                <c:pt idx="42">
                  <c:v>320.97939105673305</c:v>
                </c:pt>
                <c:pt idx="43">
                  <c:v>333.12349285380219</c:v>
                </c:pt>
                <c:pt idx="44">
                  <c:v>345.25783856692919</c:v>
                </c:pt>
                <c:pt idx="45">
                  <c:v>357.38281948405944</c:v>
                </c:pt>
                <c:pt idx="46">
                  <c:v>369.49879816887761</c:v>
                </c:pt>
                <c:pt idx="47">
                  <c:v>381.60611146221294</c:v>
                </c:pt>
                <c:pt idx="48">
                  <c:v>393.7050730825656</c:v>
                </c:pt>
                <c:pt idx="49">
                  <c:v>405.79597589022273</c:v>
                </c:pt>
                <c:pt idx="50">
                  <c:v>417.87909386741279</c:v>
                </c:pt>
                <c:pt idx="51">
                  <c:v>396.63307293686029</c:v>
                </c:pt>
                <c:pt idx="52">
                  <c:v>407.19546723786488</c:v>
                </c:pt>
                <c:pt idx="53">
                  <c:v>417.75194279221722</c:v>
                </c:pt>
                <c:pt idx="54">
                  <c:v>428.30267028767508</c:v>
                </c:pt>
                <c:pt idx="55">
                  <c:v>438.84781131453877</c:v>
                </c:pt>
                <c:pt idx="56">
                  <c:v>449.38751906216925</c:v>
                </c:pt>
                <c:pt idx="57">
                  <c:v>459.92193894675114</c:v>
                </c:pt>
                <c:pt idx="58">
                  <c:v>470.45120917853865</c:v>
                </c:pt>
                <c:pt idx="59">
                  <c:v>480.97546127567131</c:v>
                </c:pt>
                <c:pt idx="60">
                  <c:v>491.4948205306743</c:v>
                </c:pt>
                <c:pt idx="61">
                  <c:v>466.13862825055907</c:v>
                </c:pt>
                <c:pt idx="62">
                  <c:v>475.01655378575714</c:v>
                </c:pt>
                <c:pt idx="63">
                  <c:v>483.89094931012534</c:v>
                </c:pt>
                <c:pt idx="64">
                  <c:v>492.76188870967707</c:v>
                </c:pt>
                <c:pt idx="65">
                  <c:v>501.62944299248142</c:v>
                </c:pt>
                <c:pt idx="66">
                  <c:v>510.49368045075363</c:v>
                </c:pt>
                <c:pt idx="67">
                  <c:v>519.35466681110222</c:v>
                </c:pt>
                <c:pt idx="68">
                  <c:v>528.21246537398599</c:v>
                </c:pt>
                <c:pt idx="69">
                  <c:v>537.06713714333182</c:v>
                </c:pt>
                <c:pt idx="70">
                  <c:v>545.91874094715649</c:v>
                </c:pt>
                <c:pt idx="71">
                  <c:v>520.62026032995118</c:v>
                </c:pt>
                <c:pt idx="72">
                  <c:v>528.21246537398599</c:v>
                </c:pt>
                <c:pt idx="73">
                  <c:v>535.80237321728134</c:v>
                </c:pt>
                <c:pt idx="74">
                  <c:v>543.39002099916354</c:v>
                </c:pt>
                <c:pt idx="75">
                  <c:v>550.97544473689754</c:v>
                </c:pt>
                <c:pt idx="76">
                  <c:v>558.55867937490291</c:v>
                </c:pt>
                <c:pt idx="77">
                  <c:v>566.13975883115938</c:v>
                </c:pt>
                <c:pt idx="78">
                  <c:v>573.71871604099545</c:v>
                </c:pt>
                <c:pt idx="79">
                  <c:v>581.29558299844462</c:v>
                </c:pt>
                <c:pt idx="80">
                  <c:v>588.87039079533201</c:v>
                </c:pt>
                <c:pt idx="81">
                  <c:v>565.38174692254552</c:v>
                </c:pt>
                <c:pt idx="82">
                  <c:v>572.20309282979531</c:v>
                </c:pt>
                <c:pt idx="83">
                  <c:v>579.02274052069447</c:v>
                </c:pt>
                <c:pt idx="84">
                  <c:v>585.8407128223779</c:v>
                </c:pt>
                <c:pt idx="85">
                  <c:v>592.65703198720189</c:v>
                </c:pt>
                <c:pt idx="86">
                  <c:v>599.47171971380715</c:v>
                </c:pt>
                <c:pt idx="87">
                  <c:v>606.28479716717118</c:v>
                </c:pt>
                <c:pt idx="88">
                  <c:v>613.0962849977135</c:v>
                </c:pt>
                <c:pt idx="89">
                  <c:v>619.90620335950769</c:v>
                </c:pt>
                <c:pt idx="90">
                  <c:v>626.71457192765126</c:v>
                </c:pt>
                <c:pt idx="91">
                  <c:v>599.97644708320979</c:v>
                </c:pt>
                <c:pt idx="92">
                  <c:v>603.50929199212374</c:v>
                </c:pt>
                <c:pt idx="93">
                  <c:v>607.04170727539702</c:v>
                </c:pt>
                <c:pt idx="94">
                  <c:v>610.57369578703913</c:v>
                </c:pt>
                <c:pt idx="95">
                  <c:v>614.10526034533052</c:v>
                </c:pt>
                <c:pt idx="96">
                  <c:v>617.63640373347687</c:v>
                </c:pt>
                <c:pt idx="97">
                  <c:v>621.16712870024901</c:v>
                </c:pt>
                <c:pt idx="98">
                  <c:v>624.6974379606047</c:v>
                </c:pt>
                <c:pt idx="99">
                  <c:v>628.22733419630038</c:v>
                </c:pt>
                <c:pt idx="100">
                  <c:v>631.75682005648298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2.4895363453780779</c:v>
                </c:pt>
                <c:pt idx="2">
                  <c:v>3.036323775772606</c:v>
                </c:pt>
                <c:pt idx="3">
                  <c:v>3.7036609187315874</c:v>
                </c:pt>
                <c:pt idx="4">
                  <c:v>4.5182202400928979</c:v>
                </c:pt>
                <c:pt idx="5">
                  <c:v>5.5125953647147412</c:v>
                </c:pt>
                <c:pt idx="6">
                  <c:v>6.7266196123178732</c:v>
                </c:pt>
                <c:pt idx="7">
                  <c:v>8.2089789848785806</c:v>
                </c:pt>
                <c:pt idx="8">
                  <c:v>10.019185533467782</c:v>
                </c:pt>
                <c:pt idx="9">
                  <c:v>12.229991828898131</c:v>
                </c:pt>
                <c:pt idx="10">
                  <c:v>14.930345385016949</c:v>
                </c:pt>
                <c:pt idx="11">
                  <c:v>18.229004085963499</c:v>
                </c:pt>
                <c:pt idx="12">
                  <c:v>22.258960868504307</c:v>
                </c:pt>
                <c:pt idx="13">
                  <c:v>27.18285923457783</c:v>
                </c:pt>
                <c:pt idx="14">
                  <c:v>33.199621998879799</c:v>
                </c:pt>
                <c:pt idx="15">
                  <c:v>40.552565705298015</c:v>
                </c:pt>
                <c:pt idx="16">
                  <c:v>29.769282225625521</c:v>
                </c:pt>
                <c:pt idx="17">
                  <c:v>45.913485763099821</c:v>
                </c:pt>
                <c:pt idx="18">
                  <c:v>61.90337954570947</c:v>
                </c:pt>
                <c:pt idx="19">
                  <c:v>77.78516561796242</c:v>
                </c:pt>
                <c:pt idx="20">
                  <c:v>93.584221924507901</c:v>
                </c:pt>
                <c:pt idx="21">
                  <c:v>66.501187459106305</c:v>
                </c:pt>
                <c:pt idx="22">
                  <c:v>88.676734726336974</c:v>
                </c:pt>
                <c:pt idx="23">
                  <c:v>110.71214766425702</c:v>
                </c:pt>
                <c:pt idx="24">
                  <c:v>132.63945069450935</c:v>
                </c:pt>
                <c:pt idx="25">
                  <c:v>154.47909951130922</c:v>
                </c:pt>
                <c:pt idx="26">
                  <c:v>126.38419808636627</c:v>
                </c:pt>
                <c:pt idx="27">
                  <c:v>146.86153239352601</c:v>
                </c:pt>
                <c:pt idx="28">
                  <c:v>167.27057244935503</c:v>
                </c:pt>
                <c:pt idx="29">
                  <c:v>187.62083271822999</c:v>
                </c:pt>
                <c:pt idx="30">
                  <c:v>207.91958930193462</c:v>
                </c:pt>
                <c:pt idx="31">
                  <c:v>178.31479007290758</c:v>
                </c:pt>
                <c:pt idx="32">
                  <c:v>196.91611013938669</c:v>
                </c:pt>
                <c:pt idx="33">
                  <c:v>215.476634147092</c:v>
                </c:pt>
                <c:pt idx="34">
                  <c:v>234.00037106053068</c:v>
                </c:pt>
                <c:pt idx="35">
                  <c:v>252.49064272427088</c:v>
                </c:pt>
                <c:pt idx="36">
                  <c:v>220.968822747399</c:v>
                </c:pt>
                <c:pt idx="37">
                  <c:v>237.42693059968846</c:v>
                </c:pt>
                <c:pt idx="38">
                  <c:v>253.85904094930422</c:v>
                </c:pt>
                <c:pt idx="39">
                  <c:v>270.26707351328002</c:v>
                </c:pt>
                <c:pt idx="40">
                  <c:v>286.65269579557503</c:v>
                </c:pt>
                <c:pt idx="41">
                  <c:v>254.88522992676118</c:v>
                </c:pt>
                <c:pt idx="42">
                  <c:v>270.95024442791089</c:v>
                </c:pt>
                <c:pt idx="43">
                  <c:v>286.99383541061826</c:v>
                </c:pt>
                <c:pt idx="44">
                  <c:v>303.01736905236118</c:v>
                </c:pt>
                <c:pt idx="45">
                  <c:v>319.02205522459639</c:v>
                </c:pt>
                <c:pt idx="46">
                  <c:v>295.51940832091663</c:v>
                </c:pt>
                <c:pt idx="47">
                  <c:v>309.48955460516709</c:v>
                </c:pt>
                <c:pt idx="48">
                  <c:v>323.44570313359822</c:v>
                </c:pt>
                <c:pt idx="49">
                  <c:v>337.38854301296448</c:v>
                </c:pt>
                <c:pt idx="50">
                  <c:v>351.31870173688299</c:v>
                </c:pt>
                <c:pt idx="51">
                  <c:v>333.98904268407699</c:v>
                </c:pt>
                <c:pt idx="52">
                  <c:v>345.54428327562619</c:v>
                </c:pt>
                <c:pt idx="53">
                  <c:v>357.09103922014265</c:v>
                </c:pt>
                <c:pt idx="54">
                  <c:v>368.62962362025206</c:v>
                </c:pt>
                <c:pt idx="55">
                  <c:v>380.16032837232211</c:v>
                </c:pt>
                <c:pt idx="56">
                  <c:v>367.2725575433945</c:v>
                </c:pt>
                <c:pt idx="57">
                  <c:v>376.43065146353109</c:v>
                </c:pt>
                <c:pt idx="58">
                  <c:v>385.58389424489479</c:v>
                </c:pt>
                <c:pt idx="59">
                  <c:v>394.73241734504739</c:v>
                </c:pt>
                <c:pt idx="60">
                  <c:v>403.87634562786889</c:v>
                </c:pt>
                <c:pt idx="61">
                  <c:v>391.34461771590077</c:v>
                </c:pt>
                <c:pt idx="62">
                  <c:v>399.13561558762507</c:v>
                </c:pt>
                <c:pt idx="63">
                  <c:v>406.92332134334953</c:v>
                </c:pt>
                <c:pt idx="64">
                  <c:v>414.70780691400341</c:v>
                </c:pt>
                <c:pt idx="65">
                  <c:v>422.48914130810198</c:v>
                </c:pt>
                <c:pt idx="66">
                  <c:v>410.64673363492466</c:v>
                </c:pt>
                <c:pt idx="67">
                  <c:v>417.41471198632917</c:v>
                </c:pt>
                <c:pt idx="68">
                  <c:v>424.1803252927262</c:v>
                </c:pt>
                <c:pt idx="69">
                  <c:v>430.94361662456663</c:v>
                </c:pt>
                <c:pt idx="70">
                  <c:v>437.70462758915511</c:v>
                </c:pt>
                <c:pt idx="71">
                  <c:v>426.88591810042266</c:v>
                </c:pt>
                <c:pt idx="72">
                  <c:v>432.97215749638468</c:v>
                </c:pt>
                <c:pt idx="73">
                  <c:v>439.05655970073718</c:v>
                </c:pt>
                <c:pt idx="74">
                  <c:v>445.13915378421433</c:v>
                </c:pt>
                <c:pt idx="75">
                  <c:v>451.2199679576733</c:v>
                </c:pt>
                <c:pt idx="76">
                  <c:v>441.08429055375791</c:v>
                </c:pt>
                <c:pt idx="77">
                  <c:v>446.15274566834961</c:v>
                </c:pt>
                <c:pt idx="78">
                  <c:v>451.2199679576733</c:v>
                </c:pt>
                <c:pt idx="79">
                  <c:v>456.28597323169123</c:v>
                </c:pt>
                <c:pt idx="80">
                  <c:v>461.35077692036288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368.73383823272405</c:v>
                </c:pt>
                <c:pt idx="47">
                  <c:v>390.90393569861925</c:v>
                </c:pt>
                <c:pt idx="48">
                  <c:v>413.04676405305349</c:v>
                </c:pt>
                <c:pt idx="49">
                  <c:v>435.16398965501418</c:v>
                </c:pt>
                <c:pt idx="50">
                  <c:v>457.25709576545188</c:v>
                </c:pt>
                <c:pt idx="51">
                  <c:v>412.31545034855657</c:v>
                </c:pt>
                <c:pt idx="52">
                  <c:v>434.7193453314992</c:v>
                </c:pt>
                <c:pt idx="53">
                  <c:v>457.09846370599331</c:v>
                </c:pt>
                <c:pt idx="54">
                  <c:v>479.45418811198152</c:v>
                </c:pt>
                <c:pt idx="55">
                  <c:v>501.78776183351835</c:v>
                </c:pt>
                <c:pt idx="56">
                  <c:v>524.10030854720537</c:v>
                </c:pt>
                <c:pt idx="57">
                  <c:v>546.39284853374659</c:v>
                </c:pt>
                <c:pt idx="58">
                  <c:v>568.66631210732646</c:v>
                </c:pt>
                <c:pt idx="59">
                  <c:v>491.01965211248972</c:v>
                </c:pt>
                <c:pt idx="60">
                  <c:v>512.0762360302333</c:v>
                </c:pt>
                <c:pt idx="61">
                  <c:v>533.11454122394605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596.12767732798454</c:v>
                </c:pt>
                <c:pt idx="65">
                  <c:v>617.10045361481673</c:v>
                </c:pt>
                <c:pt idx="66">
                  <c:v>638.05846086868894</c:v>
                </c:pt>
                <c:pt idx="67">
                  <c:v>572.29782173470437</c:v>
                </c:pt>
                <c:pt idx="68">
                  <c:v>588.55481451870264</c:v>
                </c:pt>
                <c:pt idx="69">
                  <c:v>604.80245799974375</c:v>
                </c:pt>
                <c:pt idx="70">
                  <c:v>621.04103855425922</c:v>
                </c:pt>
                <c:pt idx="71">
                  <c:v>637.27082637167155</c:v>
                </c:pt>
                <c:pt idx="72">
                  <c:v>653.49207676674757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141.53995794626874</c:v>
                </c:pt>
                <c:pt idx="22">
                  <c:v>150.91587256603665</c:v>
                </c:pt>
                <c:pt idx="23">
                  <c:v>160.27790884848653</c:v>
                </c:pt>
                <c:pt idx="24">
                  <c:v>169.62699271854879</c:v>
                </c:pt>
                <c:pt idx="25">
                  <c:v>178.96393954042514</c:v>
                </c:pt>
                <c:pt idx="26">
                  <c:v>188.28947252698083</c:v>
                </c:pt>
                <c:pt idx="27">
                  <c:v>197.60423730399938</c:v>
                </c:pt>
                <c:pt idx="28">
                  <c:v>206.90881357967535</c:v>
                </c:pt>
                <c:pt idx="29">
                  <c:v>216.20372460175963</c:v>
                </c:pt>
                <c:pt idx="30">
                  <c:v>225.48944490087396</c:v>
                </c:pt>
                <c:pt idx="31">
                  <c:v>191.22678192068182</c:v>
                </c:pt>
                <c:pt idx="32">
                  <c:v>201.44863583290206</c:v>
                </c:pt>
                <c:pt idx="33">
                  <c:v>211.65847739890424</c:v>
                </c:pt>
                <c:pt idx="34">
                  <c:v>221.85696824700872</c:v>
                </c:pt>
                <c:pt idx="35">
                  <c:v>232.04470414666477</c:v>
                </c:pt>
                <c:pt idx="36">
                  <c:v>242.22222423091566</c:v>
                </c:pt>
                <c:pt idx="37">
                  <c:v>252.39001858588486</c:v>
                </c:pt>
                <c:pt idx="38">
                  <c:v>262.5485345519366</c:v>
                </c:pt>
                <c:pt idx="39">
                  <c:v>272.698181997635</c:v>
                </c:pt>
                <c:pt idx="40">
                  <c:v>282.83933776674911</c:v>
                </c:pt>
                <c:pt idx="41">
                  <c:v>239.09948720478664</c:v>
                </c:pt>
                <c:pt idx="42">
                  <c:v>250.67926877807716</c:v>
                </c:pt>
                <c:pt idx="43">
                  <c:v>262.24692619519675</c:v>
                </c:pt>
                <c:pt idx="44">
                  <c:v>273.80306989453703</c:v>
                </c:pt>
                <c:pt idx="45">
                  <c:v>285.34825454721044</c:v>
                </c:pt>
                <c:pt idx="46">
                  <c:v>296.88298625047736</c:v>
                </c:pt>
                <c:pt idx="47">
                  <c:v>308.40772854397238</c:v>
                </c:pt>
                <c:pt idx="48">
                  <c:v>319.92290747907685</c:v>
                </c:pt>
                <c:pt idx="49">
                  <c:v>331.42891591987262</c:v>
                </c:pt>
                <c:pt idx="50">
                  <c:v>342.92611721533916</c:v>
                </c:pt>
                <c:pt idx="51">
                  <c:v>289.36149626663558</c:v>
                </c:pt>
                <c:pt idx="52">
                  <c:v>302.89711380319778</c:v>
                </c:pt>
                <c:pt idx="53">
                  <c:v>316.41927606814937</c:v>
                </c:pt>
                <c:pt idx="54">
                  <c:v>329.92863915898073</c:v>
                </c:pt>
                <c:pt idx="55">
                  <c:v>343.42580104652296</c:v>
                </c:pt>
                <c:pt idx="56">
                  <c:v>356.9113088550593</c:v>
                </c:pt>
                <c:pt idx="57">
                  <c:v>370.38566498431487</c:v>
                </c:pt>
                <c:pt idx="58">
                  <c:v>383.84933229384131</c:v>
                </c:pt>
                <c:pt idx="59">
                  <c:v>397.30273852191277</c:v>
                </c:pt>
                <c:pt idx="60">
                  <c:v>410.74628007457636</c:v>
                </c:pt>
                <c:pt idx="61">
                  <c:v>345.42437682332121</c:v>
                </c:pt>
                <c:pt idx="62">
                  <c:v>360.90485169292765</c:v>
                </c:pt>
                <c:pt idx="63">
                  <c:v>376.37081053726496</c:v>
                </c:pt>
                <c:pt idx="64">
                  <c:v>391.82293375011432</c:v>
                </c:pt>
                <c:pt idx="65">
                  <c:v>407.26184368889858</c:v>
                </c:pt>
                <c:pt idx="66">
                  <c:v>422.68811168338465</c:v>
                </c:pt>
                <c:pt idx="67">
                  <c:v>438.10226396786584</c:v>
                </c:pt>
                <c:pt idx="68">
                  <c:v>453.50478673498725</c:v>
                </c:pt>
                <c:pt idx="69">
                  <c:v>468.89613046728778</c:v>
                </c:pt>
                <c:pt idx="70">
                  <c:v>484.27671367046941</c:v>
                </c:pt>
                <c:pt idx="71">
                  <c:v>406.76401460432794</c:v>
                </c:pt>
                <c:pt idx="72">
                  <c:v>423.68293333202683</c:v>
                </c:pt>
                <c:pt idx="73">
                  <c:v>440.58731622566683</c:v>
                </c:pt>
                <c:pt idx="74">
                  <c:v>457.47779928386598</c:v>
                </c:pt>
                <c:pt idx="75">
                  <c:v>474.3549677300561</c:v>
                </c:pt>
                <c:pt idx="76">
                  <c:v>491.21936176570603</c:v>
                </c:pt>
                <c:pt idx="77">
                  <c:v>508.0714814925293</c:v>
                </c:pt>
                <c:pt idx="78">
                  <c:v>524.91179114784052</c:v>
                </c:pt>
                <c:pt idx="79">
                  <c:v>541.74072276829952</c:v>
                </c:pt>
                <c:pt idx="80">
                  <c:v>558.55867937490245</c:v>
                </c:pt>
                <c:pt idx="81">
                  <c:v>466.81149078498834</c:v>
                </c:pt>
                <c:pt idx="82">
                  <c:v>484.07832138643715</c:v>
                </c:pt>
                <c:pt idx="83">
                  <c:v>501.33207604940441</c:v>
                </c:pt>
                <c:pt idx="84">
                  <c:v>518.57326790936384</c:v>
                </c:pt>
                <c:pt idx="85">
                  <c:v>535.80237321728066</c:v>
                </c:pt>
                <c:pt idx="86">
                  <c:v>553.01983511602884</c:v>
                </c:pt>
                <c:pt idx="87">
                  <c:v>570.22606692225338</c:v>
                </c:pt>
                <c:pt idx="88">
                  <c:v>587.42145499171477</c:v>
                </c:pt>
                <c:pt idx="89">
                  <c:v>604.60636123185952</c:v>
                </c:pt>
                <c:pt idx="90">
                  <c:v>621.78112531404122</c:v>
                </c:pt>
                <c:pt idx="91">
                  <c:v>518.47421557137</c:v>
                </c:pt>
                <c:pt idx="92">
                  <c:v>536.79219379540177</c:v>
                </c:pt>
                <c:pt idx="93">
                  <c:v>555.09703728994884</c:v>
                </c:pt>
                <c:pt idx="94">
                  <c:v>573.38923985506744</c:v>
                </c:pt>
                <c:pt idx="95">
                  <c:v>591.66926123844587</c:v>
                </c:pt>
                <c:pt idx="96">
                  <c:v>609.93753048460724</c:v>
                </c:pt>
                <c:pt idx="97">
                  <c:v>628.19444886225506</c:v>
                </c:pt>
                <c:pt idx="98">
                  <c:v>646.44039243384543</c:v>
                </c:pt>
                <c:pt idx="99">
                  <c:v>664.67571432018474</c:v>
                </c:pt>
                <c:pt idx="100">
                  <c:v>682.90074670377828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2.4895363453780779</c:v>
                </c:pt>
                <c:pt idx="2">
                  <c:v>3.036323775772606</c:v>
                </c:pt>
                <c:pt idx="3">
                  <c:v>3.7036609187315874</c:v>
                </c:pt>
                <c:pt idx="4">
                  <c:v>4.5182202400928979</c:v>
                </c:pt>
                <c:pt idx="5">
                  <c:v>5.5125953647147412</c:v>
                </c:pt>
                <c:pt idx="6">
                  <c:v>6.7266196123178732</c:v>
                </c:pt>
                <c:pt idx="7">
                  <c:v>8.2089789848785806</c:v>
                </c:pt>
                <c:pt idx="8">
                  <c:v>10.019185533467782</c:v>
                </c:pt>
                <c:pt idx="9">
                  <c:v>12.229991828898131</c:v>
                </c:pt>
                <c:pt idx="10">
                  <c:v>14.930345385016949</c:v>
                </c:pt>
                <c:pt idx="11">
                  <c:v>18.229004085963499</c:v>
                </c:pt>
                <c:pt idx="12">
                  <c:v>22.258960868504307</c:v>
                </c:pt>
                <c:pt idx="13">
                  <c:v>27.18285923457783</c:v>
                </c:pt>
                <c:pt idx="14">
                  <c:v>33.199621998879799</c:v>
                </c:pt>
                <c:pt idx="15">
                  <c:v>40.552565705298015</c:v>
                </c:pt>
                <c:pt idx="16">
                  <c:v>29.769282225625521</c:v>
                </c:pt>
                <c:pt idx="17">
                  <c:v>45.913485763099821</c:v>
                </c:pt>
                <c:pt idx="18">
                  <c:v>61.90337954570947</c:v>
                </c:pt>
                <c:pt idx="19">
                  <c:v>77.78516561796242</c:v>
                </c:pt>
                <c:pt idx="20">
                  <c:v>93.584221924507901</c:v>
                </c:pt>
                <c:pt idx="21">
                  <c:v>66.501187459106305</c:v>
                </c:pt>
                <c:pt idx="22">
                  <c:v>88.676734726336974</c:v>
                </c:pt>
                <c:pt idx="23">
                  <c:v>110.71214766425702</c:v>
                </c:pt>
                <c:pt idx="24">
                  <c:v>132.63945069450935</c:v>
                </c:pt>
                <c:pt idx="25">
                  <c:v>154.47909951130922</c:v>
                </c:pt>
                <c:pt idx="26">
                  <c:v>126.38419808636627</c:v>
                </c:pt>
                <c:pt idx="27">
                  <c:v>146.86153239352601</c:v>
                </c:pt>
                <c:pt idx="28">
                  <c:v>167.27057244935503</c:v>
                </c:pt>
                <c:pt idx="29">
                  <c:v>187.62083271822999</c:v>
                </c:pt>
                <c:pt idx="30">
                  <c:v>207.91958930193462</c:v>
                </c:pt>
                <c:pt idx="31">
                  <c:v>178.31479007290758</c:v>
                </c:pt>
                <c:pt idx="32">
                  <c:v>196.91611013938669</c:v>
                </c:pt>
                <c:pt idx="33">
                  <c:v>215.476634147092</c:v>
                </c:pt>
                <c:pt idx="34">
                  <c:v>234.00037106053068</c:v>
                </c:pt>
                <c:pt idx="35">
                  <c:v>252.49064272427088</c:v>
                </c:pt>
                <c:pt idx="36">
                  <c:v>220.968822747399</c:v>
                </c:pt>
                <c:pt idx="37">
                  <c:v>237.42693059968846</c:v>
                </c:pt>
                <c:pt idx="38">
                  <c:v>253.85904094930422</c:v>
                </c:pt>
                <c:pt idx="39">
                  <c:v>270.26707351328002</c:v>
                </c:pt>
                <c:pt idx="40">
                  <c:v>286.65269579557503</c:v>
                </c:pt>
                <c:pt idx="41">
                  <c:v>254.88522992676118</c:v>
                </c:pt>
                <c:pt idx="42">
                  <c:v>270.95024442791089</c:v>
                </c:pt>
                <c:pt idx="43">
                  <c:v>286.99383541061826</c:v>
                </c:pt>
                <c:pt idx="44">
                  <c:v>303.01736905236118</c:v>
                </c:pt>
                <c:pt idx="45">
                  <c:v>319.02205522459639</c:v>
                </c:pt>
                <c:pt idx="46">
                  <c:v>295.51940832091663</c:v>
                </c:pt>
                <c:pt idx="47">
                  <c:v>309.48955460516709</c:v>
                </c:pt>
                <c:pt idx="48">
                  <c:v>323.44570313359822</c:v>
                </c:pt>
                <c:pt idx="49">
                  <c:v>337.38854301296448</c:v>
                </c:pt>
                <c:pt idx="50">
                  <c:v>351.31870173688299</c:v>
                </c:pt>
                <c:pt idx="51">
                  <c:v>333.98904268407699</c:v>
                </c:pt>
                <c:pt idx="52">
                  <c:v>345.54428327562619</c:v>
                </c:pt>
                <c:pt idx="53">
                  <c:v>357.09103922014265</c:v>
                </c:pt>
                <c:pt idx="54">
                  <c:v>368.62962362025206</c:v>
                </c:pt>
                <c:pt idx="55">
                  <c:v>380.16032837232211</c:v>
                </c:pt>
                <c:pt idx="56">
                  <c:v>367.2725575433945</c:v>
                </c:pt>
                <c:pt idx="57">
                  <c:v>376.43065146353109</c:v>
                </c:pt>
                <c:pt idx="58">
                  <c:v>385.58389424489479</c:v>
                </c:pt>
                <c:pt idx="59">
                  <c:v>394.73241734504739</c:v>
                </c:pt>
                <c:pt idx="60">
                  <c:v>403.87634562786889</c:v>
                </c:pt>
                <c:pt idx="61">
                  <c:v>391.34461771590077</c:v>
                </c:pt>
                <c:pt idx="62">
                  <c:v>399.13561558762507</c:v>
                </c:pt>
                <c:pt idx="63">
                  <c:v>406.92332134334953</c:v>
                </c:pt>
                <c:pt idx="64">
                  <c:v>414.70780691400341</c:v>
                </c:pt>
                <c:pt idx="65">
                  <c:v>422.48914130810198</c:v>
                </c:pt>
                <c:pt idx="66">
                  <c:v>410.64673363492466</c:v>
                </c:pt>
                <c:pt idx="67">
                  <c:v>417.41471198632917</c:v>
                </c:pt>
                <c:pt idx="68">
                  <c:v>424.1803252927262</c:v>
                </c:pt>
                <c:pt idx="69">
                  <c:v>430.94361662456663</c:v>
                </c:pt>
                <c:pt idx="70">
                  <c:v>437.70462758915511</c:v>
                </c:pt>
                <c:pt idx="71">
                  <c:v>426.88591810042266</c:v>
                </c:pt>
                <c:pt idx="72">
                  <c:v>432.97215749638468</c:v>
                </c:pt>
                <c:pt idx="73">
                  <c:v>439.05655970073718</c:v>
                </c:pt>
                <c:pt idx="74">
                  <c:v>445.13915378421433</c:v>
                </c:pt>
                <c:pt idx="75">
                  <c:v>451.2199679576733</c:v>
                </c:pt>
                <c:pt idx="76">
                  <c:v>441.08429055375791</c:v>
                </c:pt>
                <c:pt idx="77">
                  <c:v>446.15274566834961</c:v>
                </c:pt>
                <c:pt idx="78">
                  <c:v>451.2199679576733</c:v>
                </c:pt>
                <c:pt idx="79">
                  <c:v>456.28597323169123</c:v>
                </c:pt>
                <c:pt idx="80">
                  <c:v>461.35077692036288</c:v>
                </c:pt>
                <c:pt idx="81">
                  <c:v>1.3765621991510601E-12</c:v>
                </c:pt>
                <c:pt idx="82">
                  <c:v>1.3765621991510601E-12</c:v>
                </c:pt>
                <c:pt idx="83">
                  <c:v>1.3765621991510601E-12</c:v>
                </c:pt>
                <c:pt idx="84">
                  <c:v>1.3765621991510601E-12</c:v>
                </c:pt>
                <c:pt idx="85">
                  <c:v>1.3765621991510601E-12</c:v>
                </c:pt>
                <c:pt idx="86">
                  <c:v>1.3765621991510601E-12</c:v>
                </c:pt>
                <c:pt idx="87">
                  <c:v>1.3765621991510601E-12</c:v>
                </c:pt>
                <c:pt idx="88">
                  <c:v>1.3765621991510601E-12</c:v>
                </c:pt>
                <c:pt idx="89">
                  <c:v>1.3765621991510601E-12</c:v>
                </c:pt>
                <c:pt idx="90">
                  <c:v>1.3765621991510601E-12</c:v>
                </c:pt>
                <c:pt idx="91">
                  <c:v>1.3765621991510601E-12</c:v>
                </c:pt>
                <c:pt idx="92">
                  <c:v>1.3765621991510601E-12</c:v>
                </c:pt>
                <c:pt idx="93">
                  <c:v>1.3765621991510601E-12</c:v>
                </c:pt>
                <c:pt idx="94">
                  <c:v>1.3765621991510601E-12</c:v>
                </c:pt>
                <c:pt idx="95">
                  <c:v>1.3765621991510601E-12</c:v>
                </c:pt>
                <c:pt idx="96">
                  <c:v>1.3765621991510601E-12</c:v>
                </c:pt>
                <c:pt idx="97">
                  <c:v>1.3765621991510601E-12</c:v>
                </c:pt>
                <c:pt idx="98">
                  <c:v>1.3765621991510601E-12</c:v>
                </c:pt>
                <c:pt idx="99">
                  <c:v>1.3765621991510601E-12</c:v>
                </c:pt>
                <c:pt idx="100">
                  <c:v>1.3765621991510601E-12</c:v>
                </c:pt>
                <c:pt idx="101">
                  <c:v>1.3765621991510601E-12</c:v>
                </c:pt>
                <c:pt idx="102">
                  <c:v>1.3765621991510601E-12</c:v>
                </c:pt>
                <c:pt idx="103">
                  <c:v>1.3765621991510601E-12</c:v>
                </c:pt>
                <c:pt idx="104">
                  <c:v>1.3765621991510601E-12</c:v>
                </c:pt>
                <c:pt idx="105">
                  <c:v>1.3765621991510601E-12</c:v>
                </c:pt>
                <c:pt idx="106">
                  <c:v>1.3765621991510601E-12</c:v>
                </c:pt>
                <c:pt idx="107">
                  <c:v>1.3765621991510601E-12</c:v>
                </c:pt>
                <c:pt idx="108">
                  <c:v>1.3765621991510601E-12</c:v>
                </c:pt>
                <c:pt idx="109">
                  <c:v>1.3765621991510601E-12</c:v>
                </c:pt>
                <c:pt idx="110">
                  <c:v>1.3765621991510601E-12</c:v>
                </c:pt>
                <c:pt idx="111">
                  <c:v>1.3765621991510601E-12</c:v>
                </c:pt>
                <c:pt idx="112">
                  <c:v>1.3765621991510601E-12</c:v>
                </c:pt>
                <c:pt idx="113">
                  <c:v>1.3765621991510601E-12</c:v>
                </c:pt>
                <c:pt idx="114">
                  <c:v>1.3765621991510601E-12</c:v>
                </c:pt>
                <c:pt idx="115">
                  <c:v>1.3765621991510601E-12</c:v>
                </c:pt>
                <c:pt idx="116">
                  <c:v>1.3765621991510601E-12</c:v>
                </c:pt>
                <c:pt idx="117">
                  <c:v>1.3765621991510601E-12</c:v>
                </c:pt>
                <c:pt idx="118">
                  <c:v>1.3765621991510601E-12</c:v>
                </c:pt>
                <c:pt idx="119">
                  <c:v>1.3765621991510601E-12</c:v>
                </c:pt>
                <c:pt idx="120">
                  <c:v>1.3765621991510601E-12</c:v>
                </c:pt>
                <c:pt idx="121">
                  <c:v>1.3765621991510601E-12</c:v>
                </c:pt>
                <c:pt idx="122">
                  <c:v>1.3765621991510601E-12</c:v>
                </c:pt>
                <c:pt idx="123">
                  <c:v>1.3765621991510601E-12</c:v>
                </c:pt>
                <c:pt idx="124">
                  <c:v>1.3765621991510601E-12</c:v>
                </c:pt>
                <c:pt idx="125">
                  <c:v>1.3765621991510601E-12</c:v>
                </c:pt>
                <c:pt idx="126">
                  <c:v>1.3765621991510601E-12</c:v>
                </c:pt>
                <c:pt idx="127">
                  <c:v>1.3765621991510601E-12</c:v>
                </c:pt>
                <c:pt idx="128">
                  <c:v>1.3765621991510601E-12</c:v>
                </c:pt>
                <c:pt idx="129">
                  <c:v>1.3765621991510601E-12</c:v>
                </c:pt>
                <c:pt idx="130">
                  <c:v>1.3765621991510601E-12</c:v>
                </c:pt>
                <c:pt idx="131">
                  <c:v>1.3765621991510601E-12</c:v>
                </c:pt>
                <c:pt idx="132">
                  <c:v>1.3765621991510601E-12</c:v>
                </c:pt>
                <c:pt idx="133">
                  <c:v>1.3765621991510601E-12</c:v>
                </c:pt>
                <c:pt idx="134">
                  <c:v>1.3765621991510601E-12</c:v>
                </c:pt>
                <c:pt idx="135">
                  <c:v>1.3765621991510601E-12</c:v>
                </c:pt>
                <c:pt idx="136">
                  <c:v>1.3765621991510601E-12</c:v>
                </c:pt>
                <c:pt idx="137">
                  <c:v>1.3765621991510601E-12</c:v>
                </c:pt>
                <c:pt idx="138">
                  <c:v>1.3765621991510601E-12</c:v>
                </c:pt>
                <c:pt idx="139">
                  <c:v>1.3765621991510601E-12</c:v>
                </c:pt>
                <c:pt idx="140">
                  <c:v>1.3765621991510601E-12</c:v>
                </c:pt>
                <c:pt idx="141">
                  <c:v>1.3765621991510601E-12</c:v>
                </c:pt>
                <c:pt idx="142">
                  <c:v>1.3765621991510601E-12</c:v>
                </c:pt>
                <c:pt idx="143">
                  <c:v>1.3765621991510601E-12</c:v>
                </c:pt>
                <c:pt idx="144">
                  <c:v>1.3765621991510601E-12</c:v>
                </c:pt>
                <c:pt idx="145">
                  <c:v>1.3765621991510601E-12</c:v>
                </c:pt>
                <c:pt idx="146">
                  <c:v>1.3765621991510601E-12</c:v>
                </c:pt>
                <c:pt idx="147">
                  <c:v>1.3765621991510601E-12</c:v>
                </c:pt>
                <c:pt idx="148">
                  <c:v>1.3765621991510601E-12</c:v>
                </c:pt>
                <c:pt idx="149">
                  <c:v>1.3765621991510601E-12</c:v>
                </c:pt>
                <c:pt idx="150">
                  <c:v>1.3765621991510601E-12</c:v>
                </c:pt>
                <c:pt idx="151">
                  <c:v>1.3765621991510601E-12</c:v>
                </c:pt>
                <c:pt idx="152">
                  <c:v>1.3765621991510601E-12</c:v>
                </c:pt>
                <c:pt idx="153">
                  <c:v>1.3765621991510601E-12</c:v>
                </c:pt>
                <c:pt idx="154">
                  <c:v>1.3765621991510601E-12</c:v>
                </c:pt>
                <c:pt idx="155">
                  <c:v>1.3765621991510601E-12</c:v>
                </c:pt>
                <c:pt idx="156">
                  <c:v>1.3765621991510601E-12</c:v>
                </c:pt>
                <c:pt idx="157">
                  <c:v>1.3765621991510601E-12</c:v>
                </c:pt>
                <c:pt idx="158">
                  <c:v>1.3765621991510601E-12</c:v>
                </c:pt>
                <c:pt idx="159">
                  <c:v>1.3765621991510601E-12</c:v>
                </c:pt>
                <c:pt idx="160">
                  <c:v>1.3765621991510601E-12</c:v>
                </c:pt>
                <c:pt idx="161">
                  <c:v>1.3765621991510601E-12</c:v>
                </c:pt>
                <c:pt idx="162">
                  <c:v>1.3765621991510601E-12</c:v>
                </c:pt>
                <c:pt idx="163">
                  <c:v>1.3765621991510601E-12</c:v>
                </c:pt>
                <c:pt idx="164">
                  <c:v>1.3765621991510601E-12</c:v>
                </c:pt>
                <c:pt idx="165">
                  <c:v>1.3765621991510601E-12</c:v>
                </c:pt>
                <c:pt idx="166">
                  <c:v>1.3765621991510601E-12</c:v>
                </c:pt>
                <c:pt idx="167">
                  <c:v>1.3765621991510601E-12</c:v>
                </c:pt>
                <c:pt idx="168">
                  <c:v>1.3765621991510601E-12</c:v>
                </c:pt>
                <c:pt idx="169">
                  <c:v>1.3765621991510601E-12</c:v>
                </c:pt>
                <c:pt idx="170">
                  <c:v>1.3765621991510601E-12</c:v>
                </c:pt>
                <c:pt idx="171">
                  <c:v>1.3765621991510601E-12</c:v>
                </c:pt>
                <c:pt idx="172">
                  <c:v>1.3765621991510601E-12</c:v>
                </c:pt>
                <c:pt idx="173">
                  <c:v>1.3765621991510601E-12</c:v>
                </c:pt>
                <c:pt idx="174">
                  <c:v>1.3765621991510601E-12</c:v>
                </c:pt>
                <c:pt idx="175">
                  <c:v>1.3765621991510601E-12</c:v>
                </c:pt>
                <c:pt idx="176">
                  <c:v>1.3765621991510601E-12</c:v>
                </c:pt>
                <c:pt idx="177">
                  <c:v>1.3765621991510601E-12</c:v>
                </c:pt>
                <c:pt idx="178">
                  <c:v>1.3765621991510601E-12</c:v>
                </c:pt>
                <c:pt idx="179">
                  <c:v>1.3765621991510601E-12</c:v>
                </c:pt>
                <c:pt idx="180">
                  <c:v>1.3765621991510601E-12</c:v>
                </c:pt>
                <c:pt idx="181">
                  <c:v>1.3765621991510601E-12</c:v>
                </c:pt>
                <c:pt idx="182">
                  <c:v>1.3765621991510601E-12</c:v>
                </c:pt>
                <c:pt idx="183">
                  <c:v>1.3765621991510601E-12</c:v>
                </c:pt>
                <c:pt idx="184">
                  <c:v>1.3765621991510601E-12</c:v>
                </c:pt>
                <c:pt idx="185">
                  <c:v>1.3765621991510601E-12</c:v>
                </c:pt>
                <c:pt idx="186">
                  <c:v>1.3765621991510601E-12</c:v>
                </c:pt>
                <c:pt idx="187">
                  <c:v>1.3765621991510601E-12</c:v>
                </c:pt>
                <c:pt idx="188">
                  <c:v>1.3765621991510601E-12</c:v>
                </c:pt>
                <c:pt idx="189">
                  <c:v>1.3765621991510601E-12</c:v>
                </c:pt>
                <c:pt idx="190">
                  <c:v>1.3765621991510601E-12</c:v>
                </c:pt>
                <c:pt idx="191">
                  <c:v>1.3765621991510601E-12</c:v>
                </c:pt>
                <c:pt idx="192">
                  <c:v>1.3765621991510601E-12</c:v>
                </c:pt>
                <c:pt idx="193">
                  <c:v>1.3765621991510601E-12</c:v>
                </c:pt>
                <c:pt idx="194">
                  <c:v>1.3765621991510601E-12</c:v>
                </c:pt>
                <c:pt idx="195">
                  <c:v>1.3765621991510601E-12</c:v>
                </c:pt>
                <c:pt idx="196">
                  <c:v>1.3765621991510601E-12</c:v>
                </c:pt>
                <c:pt idx="197">
                  <c:v>1.3765621991510601E-12</c:v>
                </c:pt>
                <c:pt idx="198">
                  <c:v>1.3765621991510601E-12</c:v>
                </c:pt>
                <c:pt idx="199">
                  <c:v>1.3765621991510601E-12</c:v>
                </c:pt>
                <c:pt idx="200">
                  <c:v>1.3765621991510601E-12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6.6997860972548038</c:v>
                </c:pt>
                <c:pt idx="2">
                  <c:v>13.097538383622366</c:v>
                </c:pt>
                <c:pt idx="3">
                  <c:v>19.397748910222237</c:v>
                </c:pt>
                <c:pt idx="4">
                  <c:v>25.637832426554898</c:v>
                </c:pt>
                <c:pt idx="5">
                  <c:v>31.834746523630582</c:v>
                </c:pt>
                <c:pt idx="6">
                  <c:v>37.998164519360706</c:v>
                </c:pt>
                <c:pt idx="7">
                  <c:v>44.134322427778478</c:v>
                </c:pt>
                <c:pt idx="8">
                  <c:v>50.247563878855722</c:v>
                </c:pt>
                <c:pt idx="9">
                  <c:v>56.341081495877127</c:v>
                </c:pt>
                <c:pt idx="10">
                  <c:v>62.417316809028286</c:v>
                </c:pt>
                <c:pt idx="11">
                  <c:v>68.478194785492434</c:v>
                </c:pt>
                <c:pt idx="12">
                  <c:v>74.525270323913048</c:v>
                </c:pt>
                <c:pt idx="13">
                  <c:v>80.559824395346126</c:v>
                </c:pt>
                <c:pt idx="14">
                  <c:v>86.582929703393233</c:v>
                </c:pt>
                <c:pt idx="15">
                  <c:v>92.595497024791982</c:v>
                </c:pt>
                <c:pt idx="16">
                  <c:v>98.598308829135718</c:v>
                </c:pt>
                <c:pt idx="17">
                  <c:v>104.59204424915316</c:v>
                </c:pt>
                <c:pt idx="18">
                  <c:v>110.57729800611047</c:v>
                </c:pt>
                <c:pt idx="19">
                  <c:v>116.55459500899632</c:v>
                </c:pt>
                <c:pt idx="20">
                  <c:v>122.52440179251424</c:v>
                </c:pt>
                <c:pt idx="21">
                  <c:v>128.48713560246634</c:v>
                </c:pt>
                <c:pt idx="22">
                  <c:v>134.44317170155583</c:v>
                </c:pt>
                <c:pt idx="23">
                  <c:v>140.39284930931262</c:v>
                </c:pt>
                <c:pt idx="24">
                  <c:v>146.33647647983977</c:v>
                </c:pt>
                <c:pt idx="25">
                  <c:v>152.27433414369443</c:v>
                </c:pt>
                <c:pt idx="26">
                  <c:v>158.20667948486386</c:v>
                </c:pt>
                <c:pt idx="27">
                  <c:v>164.1337487835936</c:v>
                </c:pt>
                <c:pt idx="28">
                  <c:v>170.05575982621656</c:v>
                </c:pt>
                <c:pt idx="29">
                  <c:v>175.97291396104652</c:v>
                </c:pt>
                <c:pt idx="30">
                  <c:v>181.88539786273327</c:v>
                </c:pt>
                <c:pt idx="31">
                  <c:v>187.79338505476224</c:v>
                </c:pt>
                <c:pt idx="32">
                  <c:v>193.69703722998369</c:v>
                </c:pt>
                <c:pt idx="33">
                  <c:v>199.59650540143889</c:v>
                </c:pt>
                <c:pt idx="34">
                  <c:v>205.49193090977312</c:v>
                </c:pt>
                <c:pt idx="35">
                  <c:v>211.38344630879848</c:v>
                </c:pt>
                <c:pt idx="36">
                  <c:v>217.27117614700566</c:v>
                </c:pt>
                <c:pt idx="37">
                  <c:v>223.15523765979904</c:v>
                </c:pt>
                <c:pt idx="38">
                  <c:v>229.03574138479192</c:v>
                </c:pt>
                <c:pt idx="39">
                  <c:v>234.9127917105111</c:v>
                </c:pt>
                <c:pt idx="40">
                  <c:v>240.78648736724048</c:v>
                </c:pt>
                <c:pt idx="41">
                  <c:v>246.65692186739997</c:v>
                </c:pt>
                <c:pt idx="42">
                  <c:v>252.52418390174861</c:v>
                </c:pt>
                <c:pt idx="43">
                  <c:v>200.43149844135633</c:v>
                </c:pt>
                <c:pt idx="44">
                  <c:v>213.93699051541526</c:v>
                </c:pt>
                <c:pt idx="45">
                  <c:v>227.42285390051089</c:v>
                </c:pt>
                <c:pt idx="46">
                  <c:v>240.89041694345076</c:v>
                </c:pt>
                <c:pt idx="47">
                  <c:v>254.34084723275001</c:v>
                </c:pt>
                <c:pt idx="48">
                  <c:v>267.77517870928637</c:v>
                </c:pt>
                <c:pt idx="49">
                  <c:v>219.22425254131755</c:v>
                </c:pt>
                <c:pt idx="50">
                  <c:v>231.79265788705015</c:v>
                </c:pt>
                <c:pt idx="51">
                  <c:v>244.34549707590796</c:v>
                </c:pt>
                <c:pt idx="52">
                  <c:v>256.88368281077419</c:v>
                </c:pt>
                <c:pt idx="53">
                  <c:v>269.40803136843112</c:v>
                </c:pt>
                <c:pt idx="54">
                  <c:v>281.91927689223098</c:v>
                </c:pt>
                <c:pt idx="55">
                  <c:v>294.41808301264047</c:v>
                </c:pt>
                <c:pt idx="56">
                  <c:v>306.90505238979614</c:v>
                </c:pt>
                <c:pt idx="57">
                  <c:v>242.98178331978389</c:v>
                </c:pt>
                <c:pt idx="58">
                  <c:v>257.42850185227354</c:v>
                </c:pt>
                <c:pt idx="59">
                  <c:v>271.85689303687468</c:v>
                </c:pt>
                <c:pt idx="60">
                  <c:v>286.26806670430182</c:v>
                </c:pt>
                <c:pt idx="61">
                  <c:v>300.66301178371663</c:v>
                </c:pt>
                <c:pt idx="62">
                  <c:v>315.04261475405968</c:v>
                </c:pt>
                <c:pt idx="63">
                  <c:v>329.40767454828807</c:v>
                </c:pt>
                <c:pt idx="64">
                  <c:v>343.75891472050535</c:v>
                </c:pt>
                <c:pt idx="65">
                  <c:v>267.23084470420918</c:v>
                </c:pt>
                <c:pt idx="66">
                  <c:v>279.74431949620583</c:v>
                </c:pt>
                <c:pt idx="67">
                  <c:v>292.24524409564179</c:v>
                </c:pt>
                <c:pt idx="68">
                  <c:v>304.73423115701871</c:v>
                </c:pt>
                <c:pt idx="69">
                  <c:v>317.21183899833085</c:v>
                </c:pt>
                <c:pt idx="70">
                  <c:v>329.6785784135397</c:v>
                </c:pt>
                <c:pt idx="71">
                  <c:v>342.13491840023556</c:v>
                </c:pt>
                <c:pt idx="72">
                  <c:v>354.58129100924572</c:v>
                </c:pt>
                <c:pt idx="73">
                  <c:v>296.04747717569848</c:v>
                </c:pt>
                <c:pt idx="74">
                  <c:v>306.90505238979614</c:v>
                </c:pt>
                <c:pt idx="75">
                  <c:v>317.75409361194505</c:v>
                </c:pt>
                <c:pt idx="76">
                  <c:v>328.59493342700091</c:v>
                </c:pt>
                <c:pt idx="77">
                  <c:v>339.42788067295515</c:v>
                </c:pt>
                <c:pt idx="78">
                  <c:v>350.25322285655176</c:v>
                </c:pt>
                <c:pt idx="79">
                  <c:v>361.07122825453939</c:v>
                </c:pt>
                <c:pt idx="80">
                  <c:v>371.88214774985948</c:v>
                </c:pt>
                <c:pt idx="81">
                  <c:v>382.68621644309741</c:v>
                </c:pt>
                <c:pt idx="82">
                  <c:v>325.70482687762802</c:v>
                </c:pt>
                <c:pt idx="83">
                  <c:v>335.81775704779619</c:v>
                </c:pt>
                <c:pt idx="84">
                  <c:v>345.92398101265053</c:v>
                </c:pt>
                <c:pt idx="85">
                  <c:v>356.02372241468356</c:v>
                </c:pt>
                <c:pt idx="86">
                  <c:v>366.11719116596186</c:v>
                </c:pt>
                <c:pt idx="87">
                  <c:v>376.20458465456113</c:v>
                </c:pt>
                <c:pt idx="88">
                  <c:v>386.28608881480568</c:v>
                </c:pt>
                <c:pt idx="89">
                  <c:v>396.36187907991547</c:v>
                </c:pt>
                <c:pt idx="90">
                  <c:v>406.43212123270069</c:v>
                </c:pt>
                <c:pt idx="91">
                  <c:v>351.87638506710238</c:v>
                </c:pt>
                <c:pt idx="92">
                  <c:v>362.15263507179503</c:v>
                </c:pt>
                <c:pt idx="93">
                  <c:v>372.42251200019501</c:v>
                </c:pt>
                <c:pt idx="94">
                  <c:v>382.68621644309718</c:v>
                </c:pt>
                <c:pt idx="95">
                  <c:v>392.94393734930151</c:v>
                </c:pt>
                <c:pt idx="96">
                  <c:v>403.19585299411045</c:v>
                </c:pt>
                <c:pt idx="97">
                  <c:v>413.44213184415986</c:v>
                </c:pt>
                <c:pt idx="98">
                  <c:v>423.68293333202678</c:v>
                </c:pt>
                <c:pt idx="99">
                  <c:v>433.91840855202554</c:v>
                </c:pt>
                <c:pt idx="100">
                  <c:v>444.14870088691924</c:v>
                </c:pt>
                <c:pt idx="101">
                  <c:v>454.37394657387154</c:v>
                </c:pt>
                <c:pt idx="102">
                  <c:v>464.59427521679351</c:v>
                </c:pt>
                <c:pt idx="103">
                  <c:v>386.10611256795556</c:v>
                </c:pt>
                <c:pt idx="104">
                  <c:v>396.00212592142566</c:v>
                </c:pt>
                <c:pt idx="105">
                  <c:v>405.89278200614257</c:v>
                </c:pt>
                <c:pt idx="106">
                  <c:v>415.77822981932314</c:v>
                </c:pt>
                <c:pt idx="107">
                  <c:v>425.65861069261609</c:v>
                </c:pt>
                <c:pt idx="108">
                  <c:v>435.53405885908927</c:v>
                </c:pt>
                <c:pt idx="109">
                  <c:v>445.40470196610204</c:v>
                </c:pt>
                <c:pt idx="110">
                  <c:v>455.2706615403377</c:v>
                </c:pt>
                <c:pt idx="111">
                  <c:v>465.13205341042038</c:v>
                </c:pt>
                <c:pt idx="112">
                  <c:v>474.98898809181838</c:v>
                </c:pt>
                <c:pt idx="113">
                  <c:v>484.84157113813313</c:v>
                </c:pt>
                <c:pt idx="114">
                  <c:v>494.68990346234324</c:v>
                </c:pt>
                <c:pt idx="115">
                  <c:v>425.11980920401083</c:v>
                </c:pt>
                <c:pt idx="116">
                  <c:v>435.17503659472953</c:v>
                </c:pt>
                <c:pt idx="117">
                  <c:v>445.22527789057045</c:v>
                </c:pt>
                <c:pt idx="118">
                  <c:v>455.2706615403377</c:v>
                </c:pt>
                <c:pt idx="119">
                  <c:v>465.31130986080166</c:v>
                </c:pt>
                <c:pt idx="120">
                  <c:v>475.34733945827867</c:v>
                </c:pt>
                <c:pt idx="121">
                  <c:v>485.37886161275105</c:v>
                </c:pt>
                <c:pt idx="122">
                  <c:v>495.40598262857651</c:v>
                </c:pt>
                <c:pt idx="123">
                  <c:v>505.42880415532323</c:v>
                </c:pt>
                <c:pt idx="124">
                  <c:v>515.44742348183274</c:v>
                </c:pt>
                <c:pt idx="125">
                  <c:v>525.46193380622901</c:v>
                </c:pt>
                <c:pt idx="126">
                  <c:v>535.47242448427392</c:v>
                </c:pt>
                <c:pt idx="127">
                  <c:v>463.87721696856289</c:v>
                </c:pt>
                <c:pt idx="128">
                  <c:v>473.91389945026441</c:v>
                </c:pt>
                <c:pt idx="129">
                  <c:v>483.94605890429222</c:v>
                </c:pt>
                <c:pt idx="130">
                  <c:v>493.97380232550273</c:v>
                </c:pt>
                <c:pt idx="131">
                  <c:v>503.99723200983732</c:v>
                </c:pt>
                <c:pt idx="132">
                  <c:v>514.01644585203348</c:v>
                </c:pt>
                <c:pt idx="133">
                  <c:v>524.03153761891701</c:v>
                </c:pt>
                <c:pt idx="134">
                  <c:v>534.04259720071548</c:v>
                </c:pt>
                <c:pt idx="135">
                  <c:v>544.04971084254646</c:v>
                </c:pt>
                <c:pt idx="136">
                  <c:v>554.05296135799176</c:v>
                </c:pt>
                <c:pt idx="137">
                  <c:v>564.05242832644456</c:v>
                </c:pt>
                <c:pt idx="138">
                  <c:v>574.04818827573615</c:v>
                </c:pt>
                <c:pt idx="139">
                  <c:v>500.84747006717635</c:v>
                </c:pt>
                <c:pt idx="140">
                  <c:v>511.29735638985153</c:v>
                </c:pt>
                <c:pt idx="141">
                  <c:v>521.74273246270184</c:v>
                </c:pt>
                <c:pt idx="142">
                  <c:v>532.18370131230654</c:v>
                </c:pt>
                <c:pt idx="143">
                  <c:v>542.62036159297747</c:v>
                </c:pt>
                <c:pt idx="144">
                  <c:v>553.05280785462651</c:v>
                </c:pt>
                <c:pt idx="145">
                  <c:v>563.48113078937661</c:v>
                </c:pt>
                <c:pt idx="146">
                  <c:v>573.90541745896667</c:v>
                </c:pt>
                <c:pt idx="147">
                  <c:v>584.32575150478135</c:v>
                </c:pt>
                <c:pt idx="148">
                  <c:v>594.74221334211904</c:v>
                </c:pt>
                <c:pt idx="149">
                  <c:v>605.15488034014766</c:v>
                </c:pt>
                <c:pt idx="150">
                  <c:v>615.56382698883351</c:v>
                </c:pt>
                <c:pt idx="151">
                  <c:v>625.96912505399405</c:v>
                </c:pt>
                <c:pt idx="152">
                  <c:v>636.37084372151037</c:v>
                </c:pt>
                <c:pt idx="153">
                  <c:v>646.76904973162038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6.4008147276317713</c:v>
                </c:pt>
                <c:pt idx="2">
                  <c:v>12.511946716854245</c:v>
                </c:pt>
                <c:pt idx="3">
                  <c:v>18.529525722734345</c:v>
                </c:pt>
                <c:pt idx="4">
                  <c:v>24.489436492944403</c:v>
                </c:pt>
                <c:pt idx="5">
                  <c:v>30.407943171509331</c:v>
                </c:pt>
                <c:pt idx="6">
                  <c:v>36.294323505227922</c:v>
                </c:pt>
                <c:pt idx="7">
                  <c:v>42.154558498732058</c:v>
                </c:pt>
                <c:pt idx="8">
                  <c:v>47.992814157877746</c:v>
                </c:pt>
                <c:pt idx="9">
                  <c:v>53.812152549965013</c:v>
                </c:pt>
                <c:pt idx="10">
                  <c:v>59.614915363654461</c:v>
                </c:pt>
                <c:pt idx="11">
                  <c:v>65.402948848421758</c:v>
                </c:pt>
                <c:pt idx="12">
                  <c:v>71.177744318420352</c:v>
                </c:pt>
                <c:pt idx="13">
                  <c:v>76.940530361940517</c:v>
                </c:pt>
                <c:pt idx="14">
                  <c:v>82.692335816501739</c:v>
                </c:pt>
                <c:pt idx="15">
                  <c:v>88.43403421443692</c:v>
                </c:pt>
                <c:pt idx="16">
                  <c:v>94.16637602780041</c:v>
                </c:pt>
                <c:pt idx="17">
                  <c:v>99.890012617537479</c:v>
                </c:pt>
                <c:pt idx="18">
                  <c:v>105.60551438497004</c:v>
                </c:pt>
                <c:pt idx="19">
                  <c:v>111.31338477397679</c:v>
                </c:pt>
                <c:pt idx="20">
                  <c:v>117.01407124125171</c:v>
                </c:pt>
                <c:pt idx="21">
                  <c:v>122.70797397015896</c:v>
                </c:pt>
                <c:pt idx="22">
                  <c:v>128.39545287777929</c:v>
                </c:pt>
                <c:pt idx="23">
                  <c:v>134.07683331193397</c:v>
                </c:pt>
                <c:pt idx="24">
                  <c:v>139.75241072946582</c:v>
                </c:pt>
                <c:pt idx="25">
                  <c:v>145.42245457283499</c:v>
                </c:pt>
                <c:pt idx="26">
                  <c:v>151.08721150900081</c:v>
                </c:pt>
                <c:pt idx="27">
                  <c:v>156.74690815599766</c:v>
                </c:pt>
                <c:pt idx="28">
                  <c:v>162.40175339421916</c:v>
                </c:pt>
                <c:pt idx="29">
                  <c:v>168.05194033823992</c:v>
                </c:pt>
                <c:pt idx="30">
                  <c:v>173.69764802902091</c:v>
                </c:pt>
                <c:pt idx="31">
                  <c:v>179.33904289414951</c:v>
                </c:pt>
                <c:pt idx="32">
                  <c:v>184.97628001436814</c:v>
                </c:pt>
                <c:pt idx="33">
                  <c:v>190.6095042273399</c:v>
                </c:pt>
                <c:pt idx="34">
                  <c:v>196.23885109386507</c:v>
                </c:pt>
                <c:pt idx="35">
                  <c:v>201.86444774723134</c:v>
                </c:pt>
                <c:pt idx="36">
                  <c:v>207.48641364276611</c:v>
                </c:pt>
                <c:pt idx="37">
                  <c:v>213.10486122176508</c:v>
                </c:pt>
                <c:pt idx="38">
                  <c:v>218.7198965016253</c:v>
                </c:pt>
                <c:pt idx="39">
                  <c:v>224.33161960211226</c:v>
                </c:pt>
                <c:pt idx="40">
                  <c:v>229.94012521613138</c:v>
                </c:pt>
                <c:pt idx="41">
                  <c:v>235.54550303209763</c:v>
                </c:pt>
                <c:pt idx="42">
                  <c:v>241.14783811393798</c:v>
                </c:pt>
                <c:pt idx="43">
                  <c:v>191.40681249772285</c:v>
                </c:pt>
                <c:pt idx="44">
                  <c:v>204.3027304607468</c:v>
                </c:pt>
                <c:pt idx="45">
                  <c:v>217.17982241103536</c:v>
                </c:pt>
                <c:pt idx="46">
                  <c:v>230.03936237529322</c:v>
                </c:pt>
                <c:pt idx="47">
                  <c:v>242.88247019582346</c:v>
                </c:pt>
                <c:pt idx="48">
                  <c:v>255.71013753254616</c:v>
                </c:pt>
                <c:pt idx="49">
                  <c:v>209.35132741737064</c:v>
                </c:pt>
                <c:pt idx="50">
                  <c:v>221.35235015777684</c:v>
                </c:pt>
                <c:pt idx="51">
                  <c:v>233.3384432883598</c:v>
                </c:pt>
                <c:pt idx="52">
                  <c:v>245.31048218883188</c:v>
                </c:pt>
                <c:pt idx="53">
                  <c:v>257.2692497559587</c:v>
                </c:pt>
                <c:pt idx="54">
                  <c:v>269.21545011175891</c:v>
                </c:pt>
                <c:pt idx="55">
                  <c:v>281.1497197488502</c:v>
                </c:pt>
                <c:pt idx="56">
                  <c:v>293.07263668278034</c:v>
                </c:pt>
                <c:pt idx="57">
                  <c:v>232.03630270552131</c:v>
                </c:pt>
                <c:pt idx="58">
                  <c:v>245.83069921461302</c:v>
                </c:pt>
                <c:pt idx="59">
                  <c:v>259.60751783628712</c:v>
                </c:pt>
                <c:pt idx="60">
                  <c:v>273.36782301693626</c:v>
                </c:pt>
                <c:pt idx="61">
                  <c:v>287.11256324542956</c:v>
                </c:pt>
                <c:pt idx="62">
                  <c:v>300.84258874991298</c:v>
                </c:pt>
                <c:pt idx="63">
                  <c:v>314.55866579256775</c:v>
                </c:pt>
                <c:pt idx="64">
                  <c:v>328.26148833919052</c:v>
                </c:pt>
                <c:pt idx="65">
                  <c:v>255.19038570858649</c:v>
                </c:pt>
                <c:pt idx="66">
                  <c:v>267.13872417109076</c:v>
                </c:pt>
                <c:pt idx="67">
                  <c:v>279.07502565621871</c:v>
                </c:pt>
                <c:pt idx="68">
                  <c:v>290.99987776518356</c:v>
                </c:pt>
                <c:pt idx="69">
                  <c:v>302.91381598467478</c:v>
                </c:pt>
                <c:pt idx="70">
                  <c:v>314.81733022074985</c:v>
                </c:pt>
                <c:pt idx="71">
                  <c:v>326.71087029227471</c:v>
                </c:pt>
                <c:pt idx="72">
                  <c:v>338.59485058221645</c:v>
                </c:pt>
                <c:pt idx="73">
                  <c:v>282.70551490450038</c:v>
                </c:pt>
                <c:pt idx="74">
                  <c:v>293.07263668278034</c:v>
                </c:pt>
                <c:pt idx="75">
                  <c:v>303.43157344975288</c:v>
                </c:pt>
                <c:pt idx="76">
                  <c:v>313.78264418987732</c:v>
                </c:pt>
                <c:pt idx="77">
                  <c:v>324.12614511182926</c:v>
                </c:pt>
                <c:pt idx="78">
                  <c:v>334.46235196533502</c:v>
                </c:pt>
                <c:pt idx="79">
                  <c:v>344.79152205649939</c:v>
                </c:pt>
                <c:pt idx="80">
                  <c:v>355.11389600890431</c:v>
                </c:pt>
                <c:pt idx="81">
                  <c:v>365.42969930916388</c:v>
                </c:pt>
                <c:pt idx="82">
                  <c:v>311.02311066425125</c:v>
                </c:pt>
                <c:pt idx="83">
                  <c:v>320.67913514282071</c:v>
                </c:pt>
                <c:pt idx="84">
                  <c:v>330.32872765301573</c:v>
                </c:pt>
                <c:pt idx="85">
                  <c:v>339.97210269191356</c:v>
                </c:pt>
                <c:pt idx="86">
                  <c:v>349.60946158764392</c:v>
                </c:pt>
                <c:pt idx="87">
                  <c:v>359.24099365648931</c:v>
                </c:pt>
                <c:pt idx="88">
                  <c:v>368.86687722935966</c:v>
                </c:pt>
                <c:pt idx="89">
                  <c:v>378.48728056548151</c:v>
                </c:pt>
                <c:pt idx="90">
                  <c:v>388.10236266830702</c:v>
                </c:pt>
                <c:pt idx="91">
                  <c:v>336.01217001179123</c:v>
                </c:pt>
                <c:pt idx="92">
                  <c:v>345.82406144357356</c:v>
                </c:pt>
                <c:pt idx="93">
                  <c:v>355.62984041335352</c:v>
                </c:pt>
                <c:pt idx="94">
                  <c:v>365.42969930916371</c:v>
                </c:pt>
                <c:pt idx="95">
                  <c:v>375.22381935311847</c:v>
                </c:pt>
                <c:pt idx="96">
                  <c:v>385.01237153030598</c:v>
                </c:pt>
                <c:pt idx="97">
                  <c:v>394.79551741825406</c:v>
                </c:pt>
                <c:pt idx="98">
                  <c:v>404.5734099298611</c:v>
                </c:pt>
                <c:pt idx="99">
                  <c:v>414.34619398074</c:v>
                </c:pt>
                <c:pt idx="100">
                  <c:v>424.11400709030028</c:v>
                </c:pt>
                <c:pt idx="101">
                  <c:v>433.87697992455782</c:v>
                </c:pt>
                <c:pt idx="102">
                  <c:v>443.63523678752887</c:v>
                </c:pt>
                <c:pt idx="103">
                  <c:v>368.69503499470255</c:v>
                </c:pt>
                <c:pt idx="104">
                  <c:v>378.14378727996041</c:v>
                </c:pt>
                <c:pt idx="105">
                  <c:v>387.58740137132469</c:v>
                </c:pt>
                <c:pt idx="106">
                  <c:v>397.02602017306691</c:v>
                </c:pt>
                <c:pt idx="107">
                  <c:v>406.45977923735921</c:v>
                </c:pt>
                <c:pt idx="108">
                  <c:v>415.88880730807415</c:v>
                </c:pt>
                <c:pt idx="109">
                  <c:v>425.31322681268654</c:v>
                </c:pt>
                <c:pt idx="110">
                  <c:v>434.73315430828762</c:v>
                </c:pt>
                <c:pt idx="111">
                  <c:v>444.14870088691947</c:v>
                </c:pt>
                <c:pt idx="112">
                  <c:v>453.5599725447405</c:v>
                </c:pt>
                <c:pt idx="113">
                  <c:v>462.96707051894737</c:v>
                </c:pt>
                <c:pt idx="114">
                  <c:v>472.37009159588257</c:v>
                </c:pt>
                <c:pt idx="115">
                  <c:v>405.94533368860476</c:v>
                </c:pt>
                <c:pt idx="116">
                  <c:v>415.54601502822015</c:v>
                </c:pt>
                <c:pt idx="117">
                  <c:v>425.14191416939929</c:v>
                </c:pt>
                <c:pt idx="118">
                  <c:v>434.73315430828762</c:v>
                </c:pt>
                <c:pt idx="119">
                  <c:v>444.31985275975393</c:v>
                </c:pt>
                <c:pt idx="120">
                  <c:v>453.90212136173153</c:v>
                </c:pt>
                <c:pt idx="121">
                  <c:v>463.48006684362866</c:v>
                </c:pt>
                <c:pt idx="122">
                  <c:v>473.05379116269745</c:v>
                </c:pt>
                <c:pt idx="123">
                  <c:v>482.6233918117494</c:v>
                </c:pt>
                <c:pt idx="124">
                  <c:v>492.18896210119175</c:v>
                </c:pt>
                <c:pt idx="125">
                  <c:v>501.75059141799693</c:v>
                </c:pt>
                <c:pt idx="126">
                  <c:v>511.3083654639002</c:v>
                </c:pt>
                <c:pt idx="127">
                  <c:v>442.95059817632949</c:v>
                </c:pt>
                <c:pt idx="128">
                  <c:v>452.53349296412858</c:v>
                </c:pt>
                <c:pt idx="129">
                  <c:v>462.11204968448214</c:v>
                </c:pt>
                <c:pt idx="130">
                  <c:v>471.68637095690497</c:v>
                </c:pt>
                <c:pt idx="131">
                  <c:v>481.25655489414868</c:v>
                </c:pt>
                <c:pt idx="132">
                  <c:v>490.82269538774034</c:v>
                </c:pt>
                <c:pt idx="133">
                  <c:v>500.3848823700975</c:v>
                </c:pt>
                <c:pt idx="134">
                  <c:v>509.94320205556568</c:v>
                </c:pt>
                <c:pt idx="135">
                  <c:v>519.4977371624401</c:v>
                </c:pt>
                <c:pt idx="136">
                  <c:v>529.04856711780519</c:v>
                </c:pt>
                <c:pt idx="137">
                  <c:v>538.59576824681301</c:v>
                </c:pt>
                <c:pt idx="138">
                  <c:v>548.1394139478416</c:v>
                </c:pt>
                <c:pt idx="139">
                  <c:v>478.24922285252023</c:v>
                </c:pt>
                <c:pt idx="140">
                  <c:v>488.22656615238952</c:v>
                </c:pt>
                <c:pt idx="141">
                  <c:v>498.19958364013718</c:v>
                </c:pt>
                <c:pt idx="142">
                  <c:v>508.16837412927606</c:v>
                </c:pt>
                <c:pt idx="143">
                  <c:v>518.13303223984519</c:v>
                </c:pt>
                <c:pt idx="144">
                  <c:v>528.09364865532609</c:v>
                </c:pt>
                <c:pt idx="145">
                  <c:v>538.05031035916716</c:v>
                </c:pt>
                <c:pt idx="146">
                  <c:v>548.00310085289141</c:v>
                </c:pt>
                <c:pt idx="147">
                  <c:v>557.95210035753439</c:v>
                </c:pt>
                <c:pt idx="148">
                  <c:v>567.89738599997099</c:v>
                </c:pt>
                <c:pt idx="149">
                  <c:v>577.83903198551081</c:v>
                </c:pt>
                <c:pt idx="150">
                  <c:v>587.77710975800073</c:v>
                </c:pt>
                <c:pt idx="151">
                  <c:v>597.7116881485382</c:v>
                </c:pt>
                <c:pt idx="152">
                  <c:v>607.64283351378481</c:v>
                </c:pt>
                <c:pt idx="153">
                  <c:v>617.57060986476915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2.4425019273131094</c:v>
                </c:pt>
                <c:pt idx="2">
                  <c:v>2.978923530072608</c:v>
                </c:pt>
                <c:pt idx="3">
                  <c:v>3.6336021226968236</c:v>
                </c:pt>
                <c:pt idx="4">
                  <c:v>4.4327013606071271</c:v>
                </c:pt>
                <c:pt idx="5">
                  <c:v>5.4081927888514825</c:v>
                </c:pt>
                <c:pt idx="6">
                  <c:v>6.5991490898448992</c:v>
                </c:pt>
                <c:pt idx="7">
                  <c:v>8.0533261220473609</c:v>
                </c:pt>
                <c:pt idx="8">
                  <c:v>9.8290984073278</c:v>
                </c:pt>
                <c:pt idx="9">
                  <c:v>11.997827235607275</c:v>
                </c:pt>
                <c:pt idx="10">
                  <c:v>14.646758329873199</c:v>
                </c:pt>
                <c:pt idx="11">
                  <c:v>17.882567788278546</c:v>
                </c:pt>
                <c:pt idx="12">
                  <c:v>21.835701694284577</c:v>
                </c:pt>
                <c:pt idx="13">
                  <c:v>26.665687465743968</c:v>
                </c:pt>
                <c:pt idx="14">
                  <c:v>32.56763505413484</c:v>
                </c:pt>
                <c:pt idx="15">
                  <c:v>39.780195166606241</c:v>
                </c:pt>
                <c:pt idx="16">
                  <c:v>29.202762068015947</c:v>
                </c:pt>
                <c:pt idx="17">
                  <c:v>45.038722913958459</c:v>
                </c:pt>
                <c:pt idx="18">
                  <c:v>60.723050570603313</c:v>
                </c:pt>
                <c:pt idx="19">
                  <c:v>76.301145689172856</c:v>
                </c:pt>
                <c:pt idx="20">
                  <c:v>91.797946023526876</c:v>
                </c:pt>
                <c:pt idx="21">
                  <c:v>65.232956660322557</c:v>
                </c:pt>
                <c:pt idx="22">
                  <c:v>86.984359160257554</c:v>
                </c:pt>
                <c:pt idx="23">
                  <c:v>108.59805801791737</c:v>
                </c:pt>
                <c:pt idx="24">
                  <c:v>130.10552217830411</c:v>
                </c:pt>
                <c:pt idx="25">
                  <c:v>151.52685252328277</c:v>
                </c:pt>
                <c:pt idx="26">
                  <c:v>123.97005543664545</c:v>
                </c:pt>
                <c:pt idx="27">
                  <c:v>144.05520916362818</c:v>
                </c:pt>
                <c:pt idx="28">
                  <c:v>164.07325323089393</c:v>
                </c:pt>
                <c:pt idx="29">
                  <c:v>184.03353707055842</c:v>
                </c:pt>
                <c:pt idx="30">
                  <c:v>203.94321057745546</c:v>
                </c:pt>
                <c:pt idx="31">
                  <c:v>174.90584046860872</c:v>
                </c:pt>
                <c:pt idx="32">
                  <c:v>193.15065517554149</c:v>
                </c:pt>
                <c:pt idx="33">
                  <c:v>211.35538144796087</c:v>
                </c:pt>
                <c:pt idx="34">
                  <c:v>229.52395871325157</c:v>
                </c:pt>
                <c:pt idx="35">
                  <c:v>247.65965119723435</c:v>
                </c:pt>
                <c:pt idx="36">
                  <c:v>216.74227383360713</c:v>
                </c:pt>
                <c:pt idx="37">
                  <c:v>232.88481320255315</c:v>
                </c:pt>
                <c:pt idx="38">
                  <c:v>249.00180600610136</c:v>
                </c:pt>
                <c:pt idx="39">
                  <c:v>265.09513866301126</c:v>
                </c:pt>
                <c:pt idx="40">
                  <c:v>281.16644975370656</c:v>
                </c:pt>
                <c:pt idx="41">
                  <c:v>250.00831432407423</c:v>
                </c:pt>
                <c:pt idx="42">
                  <c:v>265.76520570407024</c:v>
                </c:pt>
                <c:pt idx="43">
                  <c:v>281.50104516527972</c:v>
                </c:pt>
                <c:pt idx="44">
                  <c:v>297.21717518827546</c:v>
                </c:pt>
                <c:pt idx="45">
                  <c:v>312.91478465880101</c:v>
                </c:pt>
                <c:pt idx="46">
                  <c:v>289.86306359345838</c:v>
                </c:pt>
                <c:pt idx="47">
                  <c:v>303.56518508642898</c:v>
                </c:pt>
                <c:pt idx="48">
                  <c:v>317.25355162035771</c:v>
                </c:pt>
                <c:pt idx="49">
                  <c:v>330.92884034916182</c:v>
                </c:pt>
                <c:pt idx="50">
                  <c:v>344.59166788232613</c:v>
                </c:pt>
                <c:pt idx="51">
                  <c:v>327.59457571710396</c:v>
                </c:pt>
                <c:pt idx="52">
                  <c:v>338.92806802551445</c:v>
                </c:pt>
                <c:pt idx="53">
                  <c:v>350.2532228565517</c:v>
                </c:pt>
                <c:pt idx="54">
                  <c:v>361.57034788194909</c:v>
                </c:pt>
                <c:pt idx="55">
                  <c:v>372.87972993501256</c:v>
                </c:pt>
                <c:pt idx="56">
                  <c:v>360.23932866053065</c:v>
                </c:pt>
                <c:pt idx="57">
                  <c:v>369.22164276821007</c:v>
                </c:pt>
                <c:pt idx="58">
                  <c:v>378.19918988209514</c:v>
                </c:pt>
                <c:pt idx="59">
                  <c:v>387.17209917956257</c:v>
                </c:pt>
                <c:pt idx="60">
                  <c:v>396.14049335867753</c:v>
                </c:pt>
                <c:pt idx="61">
                  <c:v>383.84933229384143</c:v>
                </c:pt>
                <c:pt idx="62">
                  <c:v>391.49077118249079</c:v>
                </c:pt>
                <c:pt idx="63">
                  <c:v>399.12897505823383</c:v>
                </c:pt>
                <c:pt idx="64">
                  <c:v>406.764014604328</c:v>
                </c:pt>
                <c:pt idx="65">
                  <c:v>414.39595763230818</c:v>
                </c:pt>
                <c:pt idx="66">
                  <c:v>402.78090627015825</c:v>
                </c:pt>
                <c:pt idx="67">
                  <c:v>409.4189513224465</c:v>
                </c:pt>
                <c:pt idx="68">
                  <c:v>416.05467235239661</c:v>
                </c:pt>
                <c:pt idx="69">
                  <c:v>422.68811168338488</c:v>
                </c:pt>
                <c:pt idx="70">
                  <c:v>429.31931020102024</c:v>
                </c:pt>
                <c:pt idx="71">
                  <c:v>418.70831956765045</c:v>
                </c:pt>
                <c:pt idx="72">
                  <c:v>424.67770470015267</c:v>
                </c:pt>
                <c:pt idx="73">
                  <c:v>430.64528450788242</c:v>
                </c:pt>
                <c:pt idx="74">
                  <c:v>436.61108755732994</c:v>
                </c:pt>
                <c:pt idx="75">
                  <c:v>442.57514157002379</c:v>
                </c:pt>
                <c:pt idx="76">
                  <c:v>432.63408155595897</c:v>
                </c:pt>
                <c:pt idx="77">
                  <c:v>437.60521728369713</c:v>
                </c:pt>
                <c:pt idx="78">
                  <c:v>442.57514157002379</c:v>
                </c:pt>
                <c:pt idx="79">
                  <c:v>447.54386995067097</c:v>
                </c:pt>
                <c:pt idx="80">
                  <c:v>452.51141758795939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1.8287374524569875</c:v>
                </c:pt>
                <c:pt idx="2">
                  <c:v>2.3536693793882866</c:v>
                </c:pt>
                <c:pt idx="3">
                  <c:v>3.0298921672634527</c:v>
                </c:pt>
                <c:pt idx="4">
                  <c:v>3.9011757579060791</c:v>
                </c:pt>
                <c:pt idx="5">
                  <c:v>5.0239982547116968</c:v>
                </c:pt>
                <c:pt idx="6">
                  <c:v>6.4712477828472066</c:v>
                </c:pt>
                <c:pt idx="7">
                  <c:v>8.3370059687604243</c:v>
                </c:pt>
                <c:pt idx="8">
                  <c:v>10.742729947757679</c:v>
                </c:pt>
                <c:pt idx="9">
                  <c:v>13.845242895843187</c:v>
                </c:pt>
                <c:pt idx="10">
                  <c:v>17.847063575172051</c:v>
                </c:pt>
                <c:pt idx="11">
                  <c:v>23.009761366474208</c:v>
                </c:pt>
                <c:pt idx="12">
                  <c:v>29.671225211446551</c:v>
                </c:pt>
                <c:pt idx="13">
                  <c:v>38.267996375293023</c:v>
                </c:pt>
                <c:pt idx="14">
                  <c:v>49.364153550569711</c:v>
                </c:pt>
                <c:pt idx="15">
                  <c:v>63.688677348104626</c:v>
                </c:pt>
                <c:pt idx="16">
                  <c:v>82.183789194490132</c:v>
                </c:pt>
                <c:pt idx="17">
                  <c:v>106.06749535927253</c:v>
                </c:pt>
                <c:pt idx="18">
                  <c:v>136.91451988778243</c:v>
                </c:pt>
                <c:pt idx="19">
                  <c:v>134.53232120499612</c:v>
                </c:pt>
                <c:pt idx="20">
                  <c:v>155.93775882820458</c:v>
                </c:pt>
                <c:pt idx="21">
                  <c:v>177.27333024872806</c:v>
                </c:pt>
                <c:pt idx="22">
                  <c:v>165.4282275996666</c:v>
                </c:pt>
                <c:pt idx="23">
                  <c:v>184.37139305479852</c:v>
                </c:pt>
                <c:pt idx="24">
                  <c:v>203.26907123098991</c:v>
                </c:pt>
                <c:pt idx="25">
                  <c:v>185.75082177052457</c:v>
                </c:pt>
                <c:pt idx="26">
                  <c:v>202.48250987830696</c:v>
                </c:pt>
                <c:pt idx="27">
                  <c:v>219.18219050817319</c:v>
                </c:pt>
                <c:pt idx="28">
                  <c:v>235.85264599138495</c:v>
                </c:pt>
                <c:pt idx="29">
                  <c:v>252.49623292752941</c:v>
                </c:pt>
                <c:pt idx="30">
                  <c:v>269.11497170292415</c:v>
                </c:pt>
                <c:pt idx="31">
                  <c:v>221.92985534732983</c:v>
                </c:pt>
                <c:pt idx="32">
                  <c:v>237.02834341277006</c:v>
                </c:pt>
                <c:pt idx="33">
                  <c:v>252.10491192133932</c:v>
                </c:pt>
                <c:pt idx="34">
                  <c:v>267.16105648727694</c:v>
                </c:pt>
                <c:pt idx="35">
                  <c:v>282.19809031512602</c:v>
                </c:pt>
                <c:pt idx="36">
                  <c:v>297.21717518827546</c:v>
                </c:pt>
                <c:pt idx="37">
                  <c:v>238.00798964906201</c:v>
                </c:pt>
                <c:pt idx="38">
                  <c:v>251.51790458784345</c:v>
                </c:pt>
                <c:pt idx="39">
                  <c:v>265.0113775990103</c:v>
                </c:pt>
                <c:pt idx="40">
                  <c:v>278.48936400091264</c:v>
                </c:pt>
                <c:pt idx="41">
                  <c:v>291.95271905336477</c:v>
                </c:pt>
                <c:pt idx="42">
                  <c:v>305.40221266685126</c:v>
                </c:pt>
                <c:pt idx="43">
                  <c:v>239.3793400626445</c:v>
                </c:pt>
                <c:pt idx="44">
                  <c:v>251.9092462564619</c:v>
                </c:pt>
                <c:pt idx="45">
                  <c:v>264.42503341914323</c:v>
                </c:pt>
                <c:pt idx="46">
                  <c:v>276.92746425152382</c:v>
                </c:pt>
                <c:pt idx="47">
                  <c:v>289.41722692891392</c:v>
                </c:pt>
                <c:pt idx="48">
                  <c:v>301.89494535388923</c:v>
                </c:pt>
                <c:pt idx="49">
                  <c:v>237.12631218485038</c:v>
                </c:pt>
                <c:pt idx="50">
                  <c:v>248.58240031089704</c:v>
                </c:pt>
                <c:pt idx="51">
                  <c:v>260.02651186681561</c:v>
                </c:pt>
                <c:pt idx="52">
                  <c:v>271.45924852820451</c:v>
                </c:pt>
                <c:pt idx="53">
                  <c:v>282.88115712017401</c:v>
                </c:pt>
                <c:pt idx="54">
                  <c:v>294.29273667816204</c:v>
                </c:pt>
                <c:pt idx="55">
                  <c:v>305.69444435550452</c:v>
                </c:pt>
                <c:pt idx="56">
                  <c:v>317.08670040299359</c:v>
                </c:pt>
                <c:pt idx="57">
                  <c:v>328.46989239499595</c:v>
                </c:pt>
                <c:pt idx="58">
                  <c:v>339.84437883882828</c:v>
                </c:pt>
                <c:pt idx="59">
                  <c:v>351.21049227545086</c:v>
                </c:pt>
                <c:pt idx="60">
                  <c:v>362.56854195764794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rintempsdesterresfr.sharepoint.com/Users/camillep/Downloads/Document_8_Tableur_RE_reboisement_%5bHerrenstueck%5dV2-2023-08-22.xlsx" TargetMode="External"/><Relationship Id="rId1" Type="http://schemas.openxmlformats.org/officeDocument/2006/relationships/externalLinkPath" Target="/Users/camillep/Downloads/Document_8_Tableur_RE_reboisement_%5bHerrenstueck%5dV2-2023-08-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cueil"/>
      <sheetName val="Données projet"/>
      <sheetName val="Scénario référence"/>
      <sheetName val="Calculateur"/>
      <sheetName val="Paramètres"/>
      <sheetName val="REE"/>
      <sheetName val="VAN"/>
    </sheetNames>
    <sheetDataSet>
      <sheetData sheetId="0"/>
      <sheetData sheetId="1"/>
      <sheetData sheetId="2"/>
      <sheetData sheetId="3">
        <row r="3">
          <cell r="Q3">
            <v>0</v>
          </cell>
          <cell r="AL3">
            <v>0</v>
          </cell>
          <cell r="BG3">
            <v>0</v>
          </cell>
          <cell r="CB3">
            <v>0</v>
          </cell>
          <cell r="CW3">
            <v>0</v>
          </cell>
          <cell r="DR3">
            <v>0</v>
          </cell>
          <cell r="EM3">
            <v>0</v>
          </cell>
          <cell r="FH3">
            <v>0</v>
          </cell>
          <cell r="GC3">
            <v>0</v>
          </cell>
          <cell r="GX3">
            <v>0</v>
          </cell>
        </row>
        <row r="4">
          <cell r="Q4">
            <v>1.8872166199460507</v>
          </cell>
          <cell r="AL4">
            <v>1.9143975374625271</v>
          </cell>
          <cell r="BG4">
            <v>2.0795372090593456</v>
          </cell>
          <cell r="CB4">
            <v>1.5630855774068424</v>
          </cell>
          <cell r="CW4">
            <v>2.4895363453780779</v>
          </cell>
          <cell r="DR4">
            <v>6.6997860972548038</v>
          </cell>
          <cell r="EM4">
            <v>6.4008147276317713</v>
          </cell>
          <cell r="FH4">
            <v>2.4425019273131094</v>
          </cell>
          <cell r="GC4">
            <v>1.8287374524569875</v>
          </cell>
          <cell r="GX4">
            <v>2.4895363453780779</v>
          </cell>
        </row>
        <row r="5">
          <cell r="Q5">
            <v>2.2964597670016897</v>
          </cell>
          <cell r="AL5">
            <v>2.3631301223601535</v>
          </cell>
          <cell r="BG5">
            <v>2.6767360435395098</v>
          </cell>
          <cell r="CB5">
            <v>1.9941405754104276</v>
          </cell>
          <cell r="CW5">
            <v>3.036323775772606</v>
          </cell>
          <cell r="DR5">
            <v>13.097538383622366</v>
          </cell>
          <cell r="EM5">
            <v>12.511946716854245</v>
          </cell>
          <cell r="FH5">
            <v>2.978923530072608</v>
          </cell>
          <cell r="GC5">
            <v>2.3536693793882866</v>
          </cell>
          <cell r="GX5">
            <v>3.036323775772606</v>
          </cell>
        </row>
        <row r="6">
          <cell r="Q6">
            <v>2.7947887476451427</v>
          </cell>
          <cell r="AL6">
            <v>2.9174548238720219</v>
          </cell>
          <cell r="BG6">
            <v>3.4461288787733699</v>
          </cell>
          <cell r="CB6">
            <v>2.5445505069102112</v>
          </cell>
          <cell r="CW6">
            <v>3.7036609187315874</v>
          </cell>
          <cell r="DR6">
            <v>19.397748910222237</v>
          </cell>
          <cell r="EM6">
            <v>18.529525722734345</v>
          </cell>
          <cell r="FH6">
            <v>3.6336021226968236</v>
          </cell>
          <cell r="GC6">
            <v>3.0298921672634527</v>
          </cell>
          <cell r="GX6">
            <v>3.7036609187315874</v>
          </cell>
        </row>
        <row r="7">
          <cell r="Q7">
            <v>3.4016664353083708</v>
          </cell>
          <cell r="AL7">
            <v>3.6023098465007668</v>
          </cell>
          <cell r="BG7">
            <v>4.4375534869622877</v>
          </cell>
          <cell r="CB7">
            <v>3.2474898112455457</v>
          </cell>
          <cell r="CW7">
            <v>4.5182202400928979</v>
          </cell>
          <cell r="DR7">
            <v>25.637832426554898</v>
          </cell>
          <cell r="EM7">
            <v>24.489436492944403</v>
          </cell>
          <cell r="FH7">
            <v>4.4327013606071271</v>
          </cell>
          <cell r="GC7">
            <v>3.9011757579060791</v>
          </cell>
          <cell r="GX7">
            <v>4.5182202400928979</v>
          </cell>
        </row>
        <row r="8">
          <cell r="Q8">
            <v>4.1408222331583096</v>
          </cell>
          <cell r="AL8">
            <v>4.4485433596983173</v>
          </cell>
          <cell r="BG8">
            <v>5.7153230288444377</v>
          </cell>
          <cell r="CB8">
            <v>4.1453866021713255</v>
          </cell>
          <cell r="CW8">
            <v>5.5125953647147412</v>
          </cell>
          <cell r="DR8">
            <v>31.834746523630582</v>
          </cell>
          <cell r="EM8">
            <v>30.407943171509331</v>
          </cell>
          <cell r="FH8">
            <v>5.4081927888514825</v>
          </cell>
          <cell r="GC8">
            <v>5.0239982547116968</v>
          </cell>
          <cell r="GX8">
            <v>5.5125953647147412</v>
          </cell>
        </row>
        <row r="9">
          <cell r="Q9">
            <v>5.0411903008954377</v>
          </cell>
          <cell r="AL9">
            <v>5.4943185233666361</v>
          </cell>
          <cell r="BG9">
            <v>7.3624441813975059</v>
          </cell>
          <cell r="CB9">
            <v>5.292512436219778</v>
          </cell>
          <cell r="CW9">
            <v>6.7266196123178732</v>
          </cell>
          <cell r="DR9">
            <v>37.998164519360706</v>
          </cell>
          <cell r="EM9">
            <v>36.294323505227922</v>
          </cell>
          <cell r="FH9">
            <v>6.5991490898448992</v>
          </cell>
          <cell r="GC9">
            <v>6.4712477828472066</v>
          </cell>
          <cell r="GX9">
            <v>6.7266196123178732</v>
          </cell>
        </row>
        <row r="10">
          <cell r="Q10">
            <v>6.1380547009993505</v>
          </cell>
          <cell r="AL10">
            <v>6.7868535221036126</v>
          </cell>
          <cell r="BG10">
            <v>9.4860681256370967</v>
          </cell>
          <cell r="CB10">
            <v>6.7582990763748976</v>
          </cell>
          <cell r="CW10">
            <v>8.2089789848785806</v>
          </cell>
          <cell r="DR10">
            <v>44.134322427778478</v>
          </cell>
          <cell r="EM10">
            <v>42.154558498732058</v>
          </cell>
          <cell r="FH10">
            <v>8.0533261220473609</v>
          </cell>
          <cell r="GC10">
            <v>8.3370059687604243</v>
          </cell>
          <cell r="GX10">
            <v>8.2089789848785806</v>
          </cell>
        </row>
        <row r="11">
          <cell r="Q11">
            <v>7.4744472208053194</v>
          </cell>
          <cell r="AL11">
            <v>8.3845767013125236</v>
          </cell>
          <cell r="BG11">
            <v>12.224535721998178</v>
          </cell>
          <cell r="CB11">
            <v>8.631586902833817</v>
          </cell>
          <cell r="CW11">
            <v>10.019185533467782</v>
          </cell>
          <cell r="DR11">
            <v>50.247563878855722</v>
          </cell>
          <cell r="EM11">
            <v>47.992814157877746</v>
          </cell>
          <cell r="FH11">
            <v>9.8290984073278</v>
          </cell>
          <cell r="GC11">
            <v>10.742729947757679</v>
          </cell>
          <cell r="GX11">
            <v>10.019185533467782</v>
          </cell>
        </row>
        <row r="12">
          <cell r="Q12">
            <v>9.1028537696068188</v>
          </cell>
          <cell r="AL12">
            <v>10.359796093769079</v>
          </cell>
          <cell r="BG12">
            <v>15.75648436384756</v>
          </cell>
          <cell r="CB12">
            <v>11.026067379669733</v>
          </cell>
          <cell r="CW12">
            <v>12.229991828898131</v>
          </cell>
          <cell r="DR12">
            <v>56.341081495877127</v>
          </cell>
          <cell r="EM12">
            <v>53.812152549965013</v>
          </cell>
          <cell r="FH12">
            <v>11.997827235607275</v>
          </cell>
          <cell r="GC12">
            <v>13.845242895843187</v>
          </cell>
          <cell r="GX12">
            <v>12.229991828898131</v>
          </cell>
        </row>
        <row r="13">
          <cell r="Q13">
            <v>11.087297646119426</v>
          </cell>
          <cell r="AL13">
            <v>12.802006431437341</v>
          </cell>
          <cell r="BG13">
            <v>20.312621425545984</v>
          </cell>
          <cell r="CB13">
            <v>14.087256081165423</v>
          </cell>
          <cell r="CW13">
            <v>14.930345385016949</v>
          </cell>
          <cell r="DR13">
            <v>62.417316809028286</v>
          </cell>
          <cell r="EM13">
            <v>59.614915363654461</v>
          </cell>
          <cell r="FH13">
            <v>14.646758329873199</v>
          </cell>
          <cell r="GC13">
            <v>17.847063575172051</v>
          </cell>
          <cell r="GX13">
            <v>14.930345385016949</v>
          </cell>
        </row>
        <row r="14">
          <cell r="Q14">
            <v>13.505883122712893</v>
          </cell>
          <cell r="AL14">
            <v>15.821986263961561</v>
          </cell>
          <cell r="BG14">
            <v>26.1909471351813</v>
          </cell>
          <cell r="CB14">
            <v>18.001427845645381</v>
          </cell>
          <cell r="CW14">
            <v>18.229004085963499</v>
          </cell>
          <cell r="DR14">
            <v>68.478194785492434</v>
          </cell>
          <cell r="EM14">
            <v>65.402948848421758</v>
          </cell>
          <cell r="FH14">
            <v>17.882567788278546</v>
          </cell>
          <cell r="GC14">
            <v>23.009761366474208</v>
          </cell>
          <cell r="GX14">
            <v>18.229004085963499</v>
          </cell>
        </row>
        <row r="15">
          <cell r="Q15">
            <v>16.453901312282458</v>
          </cell>
          <cell r="AL15">
            <v>19.556874429624859</v>
          </cell>
          <cell r="BG15">
            <v>33.776440055750776</v>
          </cell>
          <cell r="CB15">
            <v>23.00706760422047</v>
          </cell>
          <cell r="CW15">
            <v>22.258960868504307</v>
          </cell>
          <cell r="DR15">
            <v>74.525270323913048</v>
          </cell>
          <cell r="EM15">
            <v>71.177744318420352</v>
          </cell>
          <cell r="FH15">
            <v>21.835701694284577</v>
          </cell>
          <cell r="GC15">
            <v>29.671225211446551</v>
          </cell>
          <cell r="GX15">
            <v>22.258960868504307</v>
          </cell>
        </row>
        <row r="16">
          <cell r="Q16">
            <v>20.047622921795863</v>
          </cell>
          <cell r="AL16">
            <v>24.176460556140523</v>
          </cell>
          <cell r="BG16">
            <v>43.566516638901568</v>
          </cell>
          <cell r="CB16">
            <v>29.409546962764335</v>
          </cell>
          <cell r="CW16">
            <v>27.18285923457783</v>
          </cell>
          <cell r="DR16">
            <v>80.559824395346126</v>
          </cell>
          <cell r="EM16">
            <v>76.940530361940517</v>
          </cell>
          <cell r="FH16">
            <v>26.665687465743968</v>
          </cell>
          <cell r="GC16">
            <v>38.267996375293023</v>
          </cell>
          <cell r="GX16">
            <v>27.18285923457783</v>
          </cell>
        </row>
        <row r="17">
          <cell r="Q17">
            <v>24.428930171147528</v>
          </cell>
          <cell r="AL17">
            <v>29.890980629355308</v>
          </cell>
          <cell r="BG17">
            <v>56.203962590623313</v>
          </cell>
          <cell r="CB17">
            <v>37.599937503570509</v>
          </cell>
          <cell r="CW17">
            <v>33.199621998879799</v>
          </cell>
          <cell r="DR17">
            <v>86.582929703393233</v>
          </cell>
          <cell r="EM17">
            <v>82.692335816501739</v>
          </cell>
          <cell r="FH17">
            <v>32.56763505413484</v>
          </cell>
          <cell r="GC17">
            <v>49.364153550569711</v>
          </cell>
          <cell r="GX17">
            <v>33.199621998879799</v>
          </cell>
        </row>
        <row r="18">
          <cell r="Q18">
            <v>29.770973989542124</v>
          </cell>
          <cell r="AL18">
            <v>36.960778591833304</v>
          </cell>
          <cell r="BG18">
            <v>72.519534065863823</v>
          </cell>
          <cell r="CB18">
            <v>48.079129612237985</v>
          </cell>
          <cell r="CW18">
            <v>40.552565705298015</v>
          </cell>
          <cell r="DR18">
            <v>92.595497024791982</v>
          </cell>
          <cell r="EM18">
            <v>88.43403421443692</v>
          </cell>
          <cell r="FH18">
            <v>39.780195166606241</v>
          </cell>
          <cell r="GC18">
            <v>63.688677348104626</v>
          </cell>
          <cell r="GX18">
            <v>40.552565705298015</v>
          </cell>
        </row>
        <row r="19">
          <cell r="Q19">
            <v>36.28508396740807</v>
          </cell>
          <cell r="AL19">
            <v>45.70828169028141</v>
          </cell>
          <cell r="BG19">
            <v>93.587074695597963</v>
          </cell>
          <cell r="CB19">
            <v>61.488756600822086</v>
          </cell>
          <cell r="CW19">
            <v>29.769282225625521</v>
          </cell>
          <cell r="DR19">
            <v>98.598308829135718</v>
          </cell>
          <cell r="EM19">
            <v>94.16637602780041</v>
          </cell>
          <cell r="FH19">
            <v>29.202762068015947</v>
          </cell>
          <cell r="GC19">
            <v>82.183789194490132</v>
          </cell>
          <cell r="GX19">
            <v>29.769282225625521</v>
          </cell>
        </row>
        <row r="20">
          <cell r="Q20">
            <v>44.229209119664233</v>
          </cell>
          <cell r="AL20">
            <v>56.532844940434195</v>
          </cell>
          <cell r="BG20">
            <v>120.79483383419057</v>
          </cell>
          <cell r="CB20">
            <v>78.650848767435647</v>
          </cell>
          <cell r="CW20">
            <v>45.913485763099821</v>
          </cell>
          <cell r="DR20">
            <v>104.59204424915316</v>
          </cell>
          <cell r="EM20">
            <v>99.890012617537479</v>
          </cell>
          <cell r="FH20">
            <v>45.038722913958459</v>
          </cell>
          <cell r="GC20">
            <v>106.06749535927253</v>
          </cell>
          <cell r="GX20">
            <v>45.913485763099821</v>
          </cell>
        </row>
        <row r="21">
          <cell r="Q21">
            <v>53.918229361138849</v>
          </cell>
          <cell r="AL21">
            <v>69.929153660494023</v>
          </cell>
          <cell r="BG21">
            <v>155.93775882820458</v>
          </cell>
          <cell r="CB21">
            <v>100.61868749558056</v>
          </cell>
          <cell r="CW21">
            <v>61.90337954570947</v>
          </cell>
          <cell r="DR21">
            <v>110.57729800611047</v>
          </cell>
          <cell r="EM21">
            <v>105.60551438497004</v>
          </cell>
          <cell r="FH21">
            <v>60.723050570603313</v>
          </cell>
          <cell r="GC21">
            <v>136.91451988778243</v>
          </cell>
          <cell r="GX21">
            <v>61.90337954570947</v>
          </cell>
        </row>
        <row r="22">
          <cell r="Q22">
            <v>65.736553221372674</v>
          </cell>
          <cell r="AL22">
            <v>86.510038797475374</v>
          </cell>
          <cell r="BG22">
            <v>153.22371186614836</v>
          </cell>
          <cell r="CB22">
            <v>128.7420298420451</v>
          </cell>
          <cell r="CW22">
            <v>77.78516561796242</v>
          </cell>
          <cell r="DR22">
            <v>116.55459500899632</v>
          </cell>
          <cell r="EM22">
            <v>111.31338477397679</v>
          </cell>
          <cell r="FH22">
            <v>76.301145689172856</v>
          </cell>
          <cell r="GC22">
            <v>134.53232120499612</v>
          </cell>
          <cell r="GX22">
            <v>77.78516561796242</v>
          </cell>
        </row>
        <row r="23">
          <cell r="Q23">
            <v>80.153509810179131</v>
          </cell>
          <cell r="AL23">
            <v>107.03476550524589</v>
          </cell>
          <cell r="BG23">
            <v>177.61148225294494</v>
          </cell>
          <cell r="CB23">
            <v>164.75077334312192</v>
          </cell>
          <cell r="CW23">
            <v>93.584221924507901</v>
          </cell>
          <cell r="DR23">
            <v>122.52440179251424</v>
          </cell>
          <cell r="EM23">
            <v>117.01407124125171</v>
          </cell>
          <cell r="FH23">
            <v>91.797946023526876</v>
          </cell>
          <cell r="GC23">
            <v>155.93775882820458</v>
          </cell>
          <cell r="GX23">
            <v>93.584221924507901</v>
          </cell>
        </row>
        <row r="24">
          <cell r="Q24">
            <v>89.391965719110203</v>
          </cell>
          <cell r="AL24">
            <v>132.44411077759398</v>
          </cell>
          <cell r="BG24">
            <v>201.92063702336623</v>
          </cell>
          <cell r="CB24">
            <v>141.53995794626874</v>
          </cell>
          <cell r="CW24">
            <v>66.501187459106305</v>
          </cell>
          <cell r="DR24">
            <v>128.48713560246634</v>
          </cell>
          <cell r="EM24">
            <v>122.70797397015896</v>
          </cell>
          <cell r="FH24">
            <v>65.232956660322557</v>
          </cell>
          <cell r="GC24">
            <v>177.27333024872806</v>
          </cell>
          <cell r="GX24">
            <v>66.501187459106305</v>
          </cell>
        </row>
        <row r="25">
          <cell r="Q25">
            <v>102.54887213283676</v>
          </cell>
          <cell r="AL25">
            <v>163.90386287643108</v>
          </cell>
          <cell r="BG25">
            <v>188.42454454363443</v>
          </cell>
          <cell r="CB25">
            <v>150.91587256603665</v>
          </cell>
          <cell r="CW25">
            <v>88.676734726336974</v>
          </cell>
          <cell r="DR25">
            <v>134.44317170155583</v>
          </cell>
          <cell r="EM25">
            <v>128.39545287777929</v>
          </cell>
          <cell r="FH25">
            <v>86.984359160257554</v>
          </cell>
          <cell r="GC25">
            <v>165.4282275996666</v>
          </cell>
          <cell r="GX25">
            <v>88.676734726336974</v>
          </cell>
        </row>
        <row r="26">
          <cell r="Q26">
            <v>115.66397937972845</v>
          </cell>
          <cell r="AL26">
            <v>159.14039927075092</v>
          </cell>
          <cell r="BG26">
            <v>210.0081668012941</v>
          </cell>
          <cell r="CB26">
            <v>160.27790884848653</v>
          </cell>
          <cell r="CW26">
            <v>110.71214766425702</v>
          </cell>
          <cell r="DR26">
            <v>140.39284930931262</v>
          </cell>
          <cell r="EM26">
            <v>134.07683331193397</v>
          </cell>
          <cell r="FH26">
            <v>108.59805801791737</v>
          </cell>
          <cell r="GC26">
            <v>184.37139305479852</v>
          </cell>
          <cell r="GX26">
            <v>110.71214766425702</v>
          </cell>
        </row>
        <row r="27">
          <cell r="Q27">
            <v>128.74270297836009</v>
          </cell>
          <cell r="AL27">
            <v>175.15013994164235</v>
          </cell>
          <cell r="BG27">
            <v>231.54060536306486</v>
          </cell>
          <cell r="CB27">
            <v>169.62699271854879</v>
          </cell>
          <cell r="CW27">
            <v>132.63945069450935</v>
          </cell>
          <cell r="DR27">
            <v>146.33647647983977</v>
          </cell>
          <cell r="EM27">
            <v>139.75241072946582</v>
          </cell>
          <cell r="FH27">
            <v>130.10552217830411</v>
          </cell>
          <cell r="GC27">
            <v>203.26907123098991</v>
          </cell>
          <cell r="GX27">
            <v>132.63945069450935</v>
          </cell>
        </row>
        <row r="28">
          <cell r="Q28">
            <v>141.78926461478019</v>
          </cell>
          <cell r="AL28">
            <v>191.12551298630106</v>
          </cell>
          <cell r="BG28">
            <v>211.57989792897527</v>
          </cell>
          <cell r="CB28">
            <v>178.96393954042514</v>
          </cell>
          <cell r="CW28">
            <v>154.47909951130922</v>
          </cell>
          <cell r="DR28">
            <v>152.27433414369443</v>
          </cell>
          <cell r="EM28">
            <v>145.42245457283499</v>
          </cell>
          <cell r="FH28">
            <v>151.52685252328277</v>
          </cell>
          <cell r="GC28">
            <v>185.75082177052457</v>
          </cell>
          <cell r="GX28">
            <v>154.47909951130922</v>
          </cell>
        </row>
        <row r="29">
          <cell r="Q29">
            <v>154.80704360145447</v>
          </cell>
          <cell r="AL29">
            <v>186.46577828407854</v>
          </cell>
          <cell r="BG29">
            <v>230.64436776020281</v>
          </cell>
          <cell r="CB29">
            <v>188.28947252698083</v>
          </cell>
          <cell r="CW29">
            <v>126.38419808636627</v>
          </cell>
          <cell r="DR29">
            <v>158.20667948486386</v>
          </cell>
          <cell r="EM29">
            <v>151.08721150900081</v>
          </cell>
          <cell r="FH29">
            <v>123.97005543664545</v>
          </cell>
          <cell r="GC29">
            <v>202.48250987830696</v>
          </cell>
          <cell r="GX29">
            <v>126.38419808636627</v>
          </cell>
        </row>
        <row r="30">
          <cell r="Q30">
            <v>167.79880331835713</v>
          </cell>
          <cell r="AL30">
            <v>203.79715143595334</v>
          </cell>
          <cell r="BG30">
            <v>249.67282178538531</v>
          </cell>
          <cell r="CB30">
            <v>197.60423730399938</v>
          </cell>
          <cell r="CW30">
            <v>146.86153239352601</v>
          </cell>
          <cell r="DR30">
            <v>164.1337487835936</v>
          </cell>
          <cell r="EM30">
            <v>156.74690815599766</v>
          </cell>
          <cell r="FH30">
            <v>144.05520916362818</v>
          </cell>
          <cell r="GC30">
            <v>219.18219050817319</v>
          </cell>
          <cell r="GX30">
            <v>146.86153239352601</v>
          </cell>
        </row>
        <row r="31">
          <cell r="Q31">
            <v>180.76684356318125</v>
          </cell>
          <cell r="AL31">
            <v>221.09442404914515</v>
          </cell>
          <cell r="BG31">
            <v>268.6683907698814</v>
          </cell>
          <cell r="CB31">
            <v>206.90881357967535</v>
          </cell>
          <cell r="CW31">
            <v>167.27057244935503</v>
          </cell>
          <cell r="DR31">
            <v>170.05575982621656</v>
          </cell>
          <cell r="EM31">
            <v>162.40175339421916</v>
          </cell>
          <cell r="FH31">
            <v>164.07325323089393</v>
          </cell>
          <cell r="GC31">
            <v>235.85264599138495</v>
          </cell>
          <cell r="GX31">
            <v>167.27057244935503</v>
          </cell>
        </row>
        <row r="32">
          <cell r="Q32">
            <v>193.71310674706146</v>
          </cell>
          <cell r="AL32">
            <v>238.36063977122203</v>
          </cell>
          <cell r="BG32">
            <v>287.63372643257628</v>
          </cell>
          <cell r="CB32">
            <v>216.20372460175963</v>
          </cell>
          <cell r="CW32">
            <v>187.62083271822999</v>
          </cell>
          <cell r="DR32">
            <v>175.97291396104652</v>
          </cell>
          <cell r="EM32">
            <v>168.05194033823992</v>
          </cell>
          <cell r="FH32">
            <v>184.03353707055842</v>
          </cell>
          <cell r="GC32">
            <v>252.49623292752941</v>
          </cell>
          <cell r="GX32">
            <v>187.62083271822999</v>
          </cell>
        </row>
        <row r="33">
          <cell r="Q33">
            <v>206.63925413557971</v>
          </cell>
          <cell r="AL33">
            <v>255.59836496686489</v>
          </cell>
          <cell r="BG33">
            <v>306.57110217476503</v>
          </cell>
          <cell r="CB33">
            <v>225.48944490087396</v>
          </cell>
          <cell r="CW33">
            <v>207.91958930193462</v>
          </cell>
          <cell r="DR33">
            <v>181.88539786273327</v>
          </cell>
          <cell r="EM33">
            <v>173.69764802902091</v>
          </cell>
          <cell r="FH33">
            <v>203.94321057745546</v>
          </cell>
          <cell r="GC33">
            <v>269.11497170292415</v>
          </cell>
          <cell r="GX33">
            <v>207.91958930193462</v>
          </cell>
        </row>
        <row r="34">
          <cell r="Q34">
            <v>204.44316393691588</v>
          </cell>
          <cell r="AL34">
            <v>230.63316428689714</v>
          </cell>
          <cell r="BG34">
            <v>252.80368978904474</v>
          </cell>
          <cell r="CB34">
            <v>191.22678192068182</v>
          </cell>
          <cell r="CW34">
            <v>178.31479007290758</v>
          </cell>
          <cell r="DR34">
            <v>187.79338505476224</v>
          </cell>
          <cell r="EM34">
            <v>179.33904289414951</v>
          </cell>
          <cell r="FH34">
            <v>174.90584046860872</v>
          </cell>
          <cell r="GC34">
            <v>221.92985534732983</v>
          </cell>
          <cell r="GX34">
            <v>178.31479007290758</v>
          </cell>
        </row>
        <row r="35">
          <cell r="Q35">
            <v>217.74075246919756</v>
          </cell>
          <cell r="AL35">
            <v>249.42678742365072</v>
          </cell>
          <cell r="BG35">
            <v>270.00808353321963</v>
          </cell>
          <cell r="CB35">
            <v>201.44863583290206</v>
          </cell>
          <cell r="CW35">
            <v>196.91611013938669</v>
          </cell>
          <cell r="DR35">
            <v>193.69703722998369</v>
          </cell>
          <cell r="EM35">
            <v>184.97628001436814</v>
          </cell>
          <cell r="FH35">
            <v>193.15065517554149</v>
          </cell>
          <cell r="GC35">
            <v>237.02834341277006</v>
          </cell>
          <cell r="GX35">
            <v>196.91611013938669</v>
          </cell>
        </row>
        <row r="36">
          <cell r="Q36">
            <v>231.01967692884918</v>
          </cell>
          <cell r="AL36">
            <v>268.1882976169623</v>
          </cell>
          <cell r="BG36">
            <v>287.18781271272866</v>
          </cell>
          <cell r="CB36">
            <v>211.65847739890424</v>
          </cell>
          <cell r="CW36">
            <v>215.476634147092</v>
          </cell>
          <cell r="DR36">
            <v>199.59650540143889</v>
          </cell>
          <cell r="EM36">
            <v>190.6095042273399</v>
          </cell>
          <cell r="FH36">
            <v>211.35538144796087</v>
          </cell>
          <cell r="GC36">
            <v>252.10491192133932</v>
          </cell>
          <cell r="GX36">
            <v>215.476634147092</v>
          </cell>
        </row>
        <row r="37">
          <cell r="Q37">
            <v>244.28116165814291</v>
          </cell>
          <cell r="AL37">
            <v>286.92025704588701</v>
          </cell>
          <cell r="BG37">
            <v>304.34456023906205</v>
          </cell>
          <cell r="CB37">
            <v>221.85696824700872</v>
          </cell>
          <cell r="CW37">
            <v>234.00037106053068</v>
          </cell>
          <cell r="DR37">
            <v>205.49193090977312</v>
          </cell>
          <cell r="EM37">
            <v>196.23885109386507</v>
          </cell>
          <cell r="FH37">
            <v>229.52395871325157</v>
          </cell>
          <cell r="GC37">
            <v>267.16105648727694</v>
          </cell>
          <cell r="GX37">
            <v>234.00037106053068</v>
          </cell>
        </row>
        <row r="38">
          <cell r="Q38">
            <v>257.52628712281688</v>
          </cell>
          <cell r="AL38">
            <v>305.62486594574438</v>
          </cell>
          <cell r="BG38">
            <v>321.47980377066716</v>
          </cell>
          <cell r="CB38">
            <v>232.04470414666477</v>
          </cell>
          <cell r="CW38">
            <v>252.49064272427088</v>
          </cell>
          <cell r="DR38">
            <v>211.38344630879848</v>
          </cell>
          <cell r="EM38">
            <v>201.86444774723134</v>
          </cell>
          <cell r="FH38">
            <v>247.65965119723435</v>
          </cell>
          <cell r="GC38">
            <v>282.19809031512602</v>
          </cell>
          <cell r="GX38">
            <v>252.49064272427088</v>
          </cell>
        </row>
        <row r="39">
          <cell r="Q39">
            <v>270.75601350883994</v>
          </cell>
          <cell r="AL39">
            <v>271.5262211522043</v>
          </cell>
          <cell r="BG39">
            <v>338.5948505822164</v>
          </cell>
          <cell r="CB39">
            <v>242.22222423091566</v>
          </cell>
          <cell r="CW39">
            <v>220.968822747399</v>
          </cell>
          <cell r="DR39">
            <v>217.27117614700566</v>
          </cell>
          <cell r="EM39">
            <v>207.48641364276611</v>
          </cell>
          <cell r="FH39">
            <v>216.74227383360713</v>
          </cell>
          <cell r="GC39">
            <v>297.21717518827546</v>
          </cell>
          <cell r="GX39">
            <v>220.968822747399</v>
          </cell>
        </row>
        <row r="40">
          <cell r="Q40">
            <v>283.9711994609832</v>
          </cell>
          <cell r="AL40">
            <v>289.99681160231415</v>
          </cell>
          <cell r="BG40">
            <v>271.12437982914275</v>
          </cell>
          <cell r="CB40">
            <v>252.39001858588486</v>
          </cell>
          <cell r="CW40">
            <v>237.42693059968846</v>
          </cell>
          <cell r="DR40">
            <v>223.15523765979904</v>
          </cell>
          <cell r="EM40">
            <v>213.10486122176508</v>
          </cell>
          <cell r="FH40">
            <v>232.88481320255315</v>
          </cell>
          <cell r="GC40">
            <v>238.00798964906201</v>
          </cell>
          <cell r="GX40">
            <v>237.42693059968846</v>
          </cell>
        </row>
        <row r="41">
          <cell r="Q41">
            <v>297.17261714760809</v>
          </cell>
          <cell r="AL41">
            <v>308.44111949657542</v>
          </cell>
          <cell r="BG41">
            <v>286.51891307475506</v>
          </cell>
          <cell r="CB41">
            <v>262.5485345519366</v>
          </cell>
          <cell r="CW41">
            <v>253.85904094930422</v>
          </cell>
          <cell r="DR41">
            <v>229.03574138479192</v>
          </cell>
          <cell r="EM41">
            <v>218.7198965016253</v>
          </cell>
          <cell r="FH41">
            <v>249.00180600610136</v>
          </cell>
          <cell r="GC41">
            <v>251.51790458784345</v>
          </cell>
          <cell r="GX41">
            <v>253.85904094930422</v>
          </cell>
        </row>
        <row r="42">
          <cell r="Q42">
            <v>310.36096450648392</v>
          </cell>
          <cell r="AL42">
            <v>326.86093719547273</v>
          </cell>
          <cell r="BG42">
            <v>301.89494535388923</v>
          </cell>
          <cell r="CB42">
            <v>272.698181997635</v>
          </cell>
          <cell r="CW42">
            <v>270.26707351328002</v>
          </cell>
          <cell r="DR42">
            <v>234.9127917105111</v>
          </cell>
          <cell r="EM42">
            <v>224.33161960211226</v>
          </cell>
          <cell r="FH42">
            <v>265.09513866301126</v>
          </cell>
          <cell r="GC42">
            <v>265.0113775990103</v>
          </cell>
          <cell r="GX42">
            <v>270.26707351328002</v>
          </cell>
        </row>
        <row r="43">
          <cell r="Q43">
            <v>323.53687529895308</v>
          </cell>
          <cell r="AL43">
            <v>345.25783856692902</v>
          </cell>
          <cell r="BG43">
            <v>317.25355162035777</v>
          </cell>
          <cell r="CB43">
            <v>282.83933776674911</v>
          </cell>
          <cell r="CW43">
            <v>286.65269579557503</v>
          </cell>
          <cell r="DR43">
            <v>240.78648736724048</v>
          </cell>
          <cell r="EM43">
            <v>229.94012521613138</v>
          </cell>
          <cell r="FH43">
            <v>281.16644975370656</v>
          </cell>
          <cell r="GC43">
            <v>278.48936400091264</v>
          </cell>
          <cell r="GX43">
            <v>286.65269579557503</v>
          </cell>
        </row>
        <row r="44">
          <cell r="Q44">
            <v>308.82510968141406</v>
          </cell>
          <cell r="AL44">
            <v>314.07191886152788</v>
          </cell>
          <cell r="BG44">
            <v>332.59569423900763</v>
          </cell>
          <cell r="CB44">
            <v>239.09948720478664</v>
          </cell>
          <cell r="CW44">
            <v>254.88522992676118</v>
          </cell>
          <cell r="DR44">
            <v>246.65692186739997</v>
          </cell>
          <cell r="EM44">
            <v>235.54550303209763</v>
          </cell>
          <cell r="FH44">
            <v>250.00831432407423</v>
          </cell>
          <cell r="GC44">
            <v>291.95271905336477</v>
          </cell>
          <cell r="GX44">
            <v>254.88522992676118</v>
          </cell>
        </row>
        <row r="45">
          <cell r="Q45">
            <v>320.97939105673305</v>
          </cell>
          <cell r="AL45">
            <v>335.29560709579107</v>
          </cell>
          <cell r="BG45">
            <v>347.92223953697521</v>
          </cell>
          <cell r="CB45">
            <v>250.67926877807716</v>
          </cell>
          <cell r="CW45">
            <v>270.95024442791089</v>
          </cell>
          <cell r="DR45">
            <v>252.52418390174861</v>
          </cell>
          <cell r="EM45">
            <v>241.14783811393798</v>
          </cell>
          <cell r="FH45">
            <v>265.76520570407024</v>
          </cell>
          <cell r="GC45">
            <v>305.40221266685126</v>
          </cell>
          <cell r="GX45">
            <v>270.95024442791089</v>
          </cell>
        </row>
        <row r="46">
          <cell r="Q46">
            <v>333.12349285380219</v>
          </cell>
          <cell r="AL46">
            <v>356.48971133078379</v>
          </cell>
          <cell r="BG46">
            <v>272.68702100091008</v>
          </cell>
          <cell r="CB46">
            <v>262.24692619519675</v>
          </cell>
          <cell r="CW46">
            <v>286.99383541061826</v>
          </cell>
          <cell r="DR46">
            <v>200.43149844135633</v>
          </cell>
          <cell r="EM46">
            <v>191.40681249772285</v>
          </cell>
          <cell r="FH46">
            <v>281.50104516527972</v>
          </cell>
          <cell r="GC46">
            <v>239.3793400626445</v>
          </cell>
          <cell r="GX46">
            <v>286.99383541061826</v>
          </cell>
        </row>
        <row r="47">
          <cell r="Q47">
            <v>345.25783856692919</v>
          </cell>
          <cell r="AL47">
            <v>377.65623675733735</v>
          </cell>
          <cell r="BG47">
            <v>286.96485004460743</v>
          </cell>
          <cell r="CB47">
            <v>273.80306989453703</v>
          </cell>
          <cell r="CW47">
            <v>303.01736905236118</v>
          </cell>
          <cell r="DR47">
            <v>213.93699051541526</v>
          </cell>
          <cell r="EM47">
            <v>204.3027304607468</v>
          </cell>
          <cell r="FH47">
            <v>297.21717518827546</v>
          </cell>
          <cell r="GC47">
            <v>251.9092462564619</v>
          </cell>
          <cell r="GX47">
            <v>303.01736905236118</v>
          </cell>
        </row>
        <row r="48">
          <cell r="Q48">
            <v>357.38281948405944</v>
          </cell>
          <cell r="AL48">
            <v>398.79694553728103</v>
          </cell>
          <cell r="BG48">
            <v>301.22679191692959</v>
          </cell>
          <cell r="CB48">
            <v>285.34825454721044</v>
          </cell>
          <cell r="CW48">
            <v>319.02205522459639</v>
          </cell>
          <cell r="DR48">
            <v>227.42285390051089</v>
          </cell>
          <cell r="EM48">
            <v>217.17982241103536</v>
          </cell>
          <cell r="FH48">
            <v>312.91478465880101</v>
          </cell>
          <cell r="GC48">
            <v>264.42503341914323</v>
          </cell>
          <cell r="GX48">
            <v>319.02205522459639</v>
          </cell>
        </row>
        <row r="49">
          <cell r="Q49">
            <v>369.49879816887761</v>
          </cell>
          <cell r="AL49">
            <v>368.73383823272405</v>
          </cell>
          <cell r="BG49">
            <v>315.47370483249205</v>
          </cell>
          <cell r="CB49">
            <v>296.88298625047736</v>
          </cell>
          <cell r="CW49">
            <v>295.51940832091663</v>
          </cell>
          <cell r="DR49">
            <v>240.89041694345076</v>
          </cell>
          <cell r="EM49">
            <v>230.03936237529322</v>
          </cell>
          <cell r="FH49">
            <v>289.86306359345838</v>
          </cell>
          <cell r="GC49">
            <v>276.92746425152382</v>
          </cell>
          <cell r="GX49">
            <v>295.51940832091663</v>
          </cell>
        </row>
        <row r="50">
          <cell r="Q50">
            <v>381.60611146221294</v>
          </cell>
          <cell r="AL50">
            <v>390.90393569861925</v>
          </cell>
          <cell r="BG50">
            <v>329.70636314748066</v>
          </cell>
          <cell r="CB50">
            <v>308.40772854397238</v>
          </cell>
          <cell r="CW50">
            <v>309.48955460516709</v>
          </cell>
          <cell r="DR50">
            <v>254.34084723275001</v>
          </cell>
          <cell r="EM50">
            <v>242.88247019582346</v>
          </cell>
          <cell r="FH50">
            <v>303.56518508642898</v>
          </cell>
          <cell r="GC50">
            <v>289.41722692891392</v>
          </cell>
          <cell r="GX50">
            <v>309.48955460516709</v>
          </cell>
        </row>
        <row r="51">
          <cell r="Q51">
            <v>393.7050730825656</v>
          </cell>
          <cell r="AL51">
            <v>413.04676405305349</v>
          </cell>
          <cell r="BG51">
            <v>343.92546889640715</v>
          </cell>
          <cell r="CB51">
            <v>319.92290747907685</v>
          </cell>
          <cell r="CW51">
            <v>323.44570313359822</v>
          </cell>
          <cell r="DR51">
            <v>267.77517870928637</v>
          </cell>
          <cell r="EM51">
            <v>255.71013753254616</v>
          </cell>
          <cell r="FH51">
            <v>317.25355162035771</v>
          </cell>
          <cell r="GC51">
            <v>301.89494535388923</v>
          </cell>
          <cell r="GX51">
            <v>323.44570313359822</v>
          </cell>
        </row>
        <row r="52">
          <cell r="Q52">
            <v>405.79597589022273</v>
          </cell>
          <cell r="AL52">
            <v>435.16398965501418</v>
          </cell>
          <cell r="BG52">
            <v>270.11971783077774</v>
          </cell>
          <cell r="CB52">
            <v>331.42891591987262</v>
          </cell>
          <cell r="CW52">
            <v>337.38854301296448</v>
          </cell>
          <cell r="DR52">
            <v>219.22425254131755</v>
          </cell>
          <cell r="EM52">
            <v>209.35132741737064</v>
          </cell>
          <cell r="FH52">
            <v>330.92884034916182</v>
          </cell>
          <cell r="GC52">
            <v>237.12631218485038</v>
          </cell>
          <cell r="GX52">
            <v>337.38854301296448</v>
          </cell>
        </row>
        <row r="53">
          <cell r="Q53">
            <v>417.87909386741279</v>
          </cell>
          <cell r="AL53">
            <v>457.25709576545188</v>
          </cell>
          <cell r="BG53">
            <v>283.1738887162237</v>
          </cell>
          <cell r="CB53">
            <v>342.92611721533916</v>
          </cell>
          <cell r="CW53">
            <v>351.31870173688299</v>
          </cell>
          <cell r="DR53">
            <v>231.79265788705015</v>
          </cell>
          <cell r="EM53">
            <v>221.35235015777684</v>
          </cell>
          <cell r="FH53">
            <v>344.59166788232613</v>
          </cell>
          <cell r="GC53">
            <v>248.58240031089704</v>
          </cell>
          <cell r="GX53">
            <v>351.31870173688299</v>
          </cell>
        </row>
        <row r="54">
          <cell r="Q54">
            <v>396.63307293686029</v>
          </cell>
          <cell r="AL54">
            <v>412.31545034855657</v>
          </cell>
          <cell r="BG54">
            <v>296.21458319381429</v>
          </cell>
          <cell r="CB54">
            <v>289.36149626663558</v>
          </cell>
          <cell r="CW54">
            <v>333.98904268407699</v>
          </cell>
          <cell r="DR54">
            <v>244.34549707590796</v>
          </cell>
          <cell r="EM54">
            <v>233.3384432883598</v>
          </cell>
          <cell r="FH54">
            <v>327.59457571710396</v>
          </cell>
          <cell r="GC54">
            <v>260.02651186681561</v>
          </cell>
          <cell r="GX54">
            <v>333.98904268407699</v>
          </cell>
        </row>
        <row r="55">
          <cell r="Q55">
            <v>407.19546723786488</v>
          </cell>
          <cell r="AL55">
            <v>434.7193453314992</v>
          </cell>
          <cell r="BG55">
            <v>309.24247828757859</v>
          </cell>
          <cell r="CB55">
            <v>302.89711380319778</v>
          </cell>
          <cell r="CW55">
            <v>345.54428327562619</v>
          </cell>
          <cell r="DR55">
            <v>256.88368281077419</v>
          </cell>
          <cell r="EM55">
            <v>245.31048218883188</v>
          </cell>
          <cell r="FH55">
            <v>338.92806802551445</v>
          </cell>
          <cell r="GC55">
            <v>271.45924852820451</v>
          </cell>
          <cell r="GX55">
            <v>345.54428327562619</v>
          </cell>
        </row>
        <row r="56">
          <cell r="Q56">
            <v>417.75194279221722</v>
          </cell>
          <cell r="AL56">
            <v>457.09846370599331</v>
          </cell>
          <cell r="BG56">
            <v>322.25818930207646</v>
          </cell>
          <cell r="CB56">
            <v>316.41927606814937</v>
          </cell>
          <cell r="CW56">
            <v>357.09103922014265</v>
          </cell>
          <cell r="DR56">
            <v>269.40803136843112</v>
          </cell>
          <cell r="EM56">
            <v>257.2692497559587</v>
          </cell>
          <cell r="FH56">
            <v>350.2532228565517</v>
          </cell>
          <cell r="GC56">
            <v>282.88115712017401</v>
          </cell>
          <cell r="GX56">
            <v>357.09103922014265</v>
          </cell>
        </row>
        <row r="57">
          <cell r="Q57">
            <v>428.30267028767508</v>
          </cell>
          <cell r="AL57">
            <v>479.45418811198152</v>
          </cell>
          <cell r="BG57">
            <v>335.2622777674473</v>
          </cell>
          <cell r="CB57">
            <v>329.92863915898073</v>
          </cell>
          <cell r="CW57">
            <v>368.62962362025206</v>
          </cell>
          <cell r="DR57">
            <v>281.91927689223098</v>
          </cell>
          <cell r="EM57">
            <v>269.21545011175891</v>
          </cell>
          <cell r="FH57">
            <v>361.57034788194909</v>
          </cell>
          <cell r="GC57">
            <v>294.29273667816204</v>
          </cell>
          <cell r="GX57">
            <v>368.62962362025206</v>
          </cell>
        </row>
        <row r="58">
          <cell r="Q58">
            <v>438.84781131453877</v>
          </cell>
          <cell r="AL58">
            <v>501.78776183351835</v>
          </cell>
          <cell r="BG58">
            <v>348.25525808679203</v>
          </cell>
          <cell r="CB58">
            <v>343.42580104652296</v>
          </cell>
          <cell r="CW58">
            <v>380.16032837232211</v>
          </cell>
          <cell r="DR58">
            <v>294.41808301264047</v>
          </cell>
          <cell r="EM58">
            <v>281.1497197488502</v>
          </cell>
          <cell r="FH58">
            <v>372.87972993501256</v>
          </cell>
          <cell r="GC58">
            <v>305.69444435550452</v>
          </cell>
          <cell r="GX58">
            <v>380.16032837232211</v>
          </cell>
        </row>
        <row r="59">
          <cell r="Q59">
            <v>449.38751906216925</v>
          </cell>
          <cell r="AL59">
            <v>524.10030854720537</v>
          </cell>
          <cell r="BG59">
            <v>361.2376031393249</v>
          </cell>
          <cell r="CB59">
            <v>356.9113088550593</v>
          </cell>
          <cell r="CW59">
            <v>367.2725575433945</v>
          </cell>
          <cell r="DR59">
            <v>306.90505238979614</v>
          </cell>
          <cell r="EM59">
            <v>293.07263668278034</v>
          </cell>
          <cell r="FH59">
            <v>360.23932866053065</v>
          </cell>
          <cell r="GC59">
            <v>317.08670040299359</v>
          </cell>
          <cell r="GX59">
            <v>367.2725575433945</v>
          </cell>
        </row>
        <row r="60">
          <cell r="Q60">
            <v>459.92193894675114</v>
          </cell>
          <cell r="AL60">
            <v>546.39284853374659</v>
          </cell>
          <cell r="BG60">
            <v>374.20974903573409</v>
          </cell>
          <cell r="CB60">
            <v>370.38566498431487</v>
          </cell>
          <cell r="CW60">
            <v>376.43065146353109</v>
          </cell>
          <cell r="DR60">
            <v>242.98178331978389</v>
          </cell>
          <cell r="EM60">
            <v>232.03630270552131</v>
          </cell>
          <cell r="FH60">
            <v>369.22164276821007</v>
          </cell>
          <cell r="GC60">
            <v>328.46989239499595</v>
          </cell>
          <cell r="GX60">
            <v>376.43065146353109</v>
          </cell>
        </row>
        <row r="61">
          <cell r="Q61">
            <v>470.45120917853865</v>
          </cell>
          <cell r="AL61">
            <v>568.66631210732646</v>
          </cell>
          <cell r="BG61">
            <v>387.17209917956257</v>
          </cell>
          <cell r="CB61">
            <v>383.84933229384131</v>
          </cell>
          <cell r="CW61">
            <v>385.58389424489479</v>
          </cell>
          <cell r="DR61">
            <v>257.42850185227354</v>
          </cell>
          <cell r="EM61">
            <v>245.83069921461302</v>
          </cell>
          <cell r="FH61">
            <v>378.19918988209514</v>
          </cell>
          <cell r="GC61">
            <v>339.84437883882828</v>
          </cell>
          <cell r="GX61">
            <v>385.58389424489479</v>
          </cell>
        </row>
        <row r="62">
          <cell r="Q62">
            <v>480.97546127567131</v>
          </cell>
          <cell r="AL62">
            <v>491.01965211248972</v>
          </cell>
          <cell r="BG62">
            <v>400.12502775620351</v>
          </cell>
          <cell r="CB62">
            <v>397.30273852191277</v>
          </cell>
          <cell r="CW62">
            <v>394.73241734504739</v>
          </cell>
          <cell r="DR62">
            <v>271.85689303687468</v>
          </cell>
          <cell r="EM62">
            <v>259.60751783628712</v>
          </cell>
          <cell r="FH62">
            <v>387.17209917956257</v>
          </cell>
          <cell r="GC62">
            <v>351.21049227545086</v>
          </cell>
          <cell r="GX62">
            <v>394.73241734504739</v>
          </cell>
        </row>
        <row r="63">
          <cell r="Q63">
            <v>491.4948205306743</v>
          </cell>
          <cell r="AL63">
            <v>512.0762360302333</v>
          </cell>
          <cell r="BG63">
            <v>413.06888274647389</v>
          </cell>
          <cell r="CB63">
            <v>410.74628007457636</v>
          </cell>
          <cell r="CW63">
            <v>403.87634562786889</v>
          </cell>
          <cell r="DR63">
            <v>286.26806670430182</v>
          </cell>
          <cell r="EM63">
            <v>273.36782301693626</v>
          </cell>
          <cell r="FH63">
            <v>396.14049335867753</v>
          </cell>
          <cell r="GC63">
            <v>362.56854195764794</v>
          </cell>
          <cell r="GX63">
            <v>403.87634562786889</v>
          </cell>
        </row>
        <row r="64">
          <cell r="Q64">
            <v>466.13862825055907</v>
          </cell>
          <cell r="AL64">
            <v>533.11454122394605</v>
          </cell>
          <cell r="BG64" t="e">
            <v>#NUM!</v>
          </cell>
          <cell r="CB64">
            <v>345.42437682332121</v>
          </cell>
          <cell r="CW64">
            <v>391.34461771590077</v>
          </cell>
          <cell r="DR64">
            <v>300.66301178371663</v>
          </cell>
          <cell r="EM64">
            <v>287.11256324542956</v>
          </cell>
          <cell r="FH64">
            <v>383.84933229384143</v>
          </cell>
          <cell r="GC64" t="e">
            <v>#NUM!</v>
          </cell>
          <cell r="GX64">
            <v>391.34461771590077</v>
          </cell>
        </row>
        <row r="65">
          <cell r="Q65">
            <v>475.01655378575714</v>
          </cell>
          <cell r="AL65">
            <v>554.13538990317852</v>
          </cell>
          <cell r="BG65" t="e">
            <v>#NUM!</v>
          </cell>
          <cell r="CB65">
            <v>360.90485169292765</v>
          </cell>
          <cell r="CW65">
            <v>399.13561558762507</v>
          </cell>
          <cell r="DR65">
            <v>315.04261475405968</v>
          </cell>
          <cell r="EM65">
            <v>300.84258874991298</v>
          </cell>
          <cell r="FH65">
            <v>391.49077118249079</v>
          </cell>
          <cell r="GC65" t="e">
            <v>#NUM!</v>
          </cell>
          <cell r="GX65">
            <v>399.13561558762507</v>
          </cell>
        </row>
        <row r="66">
          <cell r="Q66">
            <v>483.89094931012534</v>
          </cell>
          <cell r="AL66">
            <v>575.13953686439993</v>
          </cell>
          <cell r="BG66" t="e">
            <v>#NUM!</v>
          </cell>
          <cell r="CB66">
            <v>376.37081053726496</v>
          </cell>
          <cell r="CW66">
            <v>406.92332134334953</v>
          </cell>
          <cell r="DR66">
            <v>329.40767454828807</v>
          </cell>
          <cell r="EM66">
            <v>314.55866579256775</v>
          </cell>
          <cell r="FH66">
            <v>399.12897505823383</v>
          </cell>
          <cell r="GC66" t="e">
            <v>#NUM!</v>
          </cell>
          <cell r="GX66">
            <v>406.92332134334953</v>
          </cell>
        </row>
        <row r="67">
          <cell r="Q67">
            <v>492.76188870967707</v>
          </cell>
          <cell r="AL67">
            <v>596.12767732798454</v>
          </cell>
          <cell r="BG67" t="e">
            <v>#NUM!</v>
          </cell>
          <cell r="CB67">
            <v>391.82293375011432</v>
          </cell>
          <cell r="CW67">
            <v>414.70780691400341</v>
          </cell>
          <cell r="DR67">
            <v>343.75891472050535</v>
          </cell>
          <cell r="EM67">
            <v>328.26148833919052</v>
          </cell>
          <cell r="FH67">
            <v>406.764014604328</v>
          </cell>
          <cell r="GC67" t="e">
            <v>#NUM!</v>
          </cell>
          <cell r="GX67">
            <v>414.70780691400341</v>
          </cell>
        </row>
        <row r="68">
          <cell r="Q68">
            <v>501.62944299248142</v>
          </cell>
          <cell r="AL68">
            <v>617.10045361481673</v>
          </cell>
          <cell r="BG68" t="e">
            <v>#NUM!</v>
          </cell>
          <cell r="CB68">
            <v>407.26184368889858</v>
          </cell>
          <cell r="CW68">
            <v>422.48914130810198</v>
          </cell>
          <cell r="DR68">
            <v>267.23084470420918</v>
          </cell>
          <cell r="EM68">
            <v>255.19038570858649</v>
          </cell>
          <cell r="FH68">
            <v>414.39595763230818</v>
          </cell>
          <cell r="GC68" t="e">
            <v>#NUM!</v>
          </cell>
          <cell r="GX68">
            <v>422.48914130810198</v>
          </cell>
        </row>
        <row r="69">
          <cell r="Q69">
            <v>510.49368045075363</v>
          </cell>
          <cell r="AL69">
            <v>638.05846086868894</v>
          </cell>
          <cell r="BG69" t="e">
            <v>#NUM!</v>
          </cell>
          <cell r="CB69">
            <v>422.68811168338465</v>
          </cell>
          <cell r="CW69">
            <v>410.64673363492466</v>
          </cell>
          <cell r="DR69">
            <v>279.74431949620583</v>
          </cell>
          <cell r="EM69">
            <v>267.13872417109076</v>
          </cell>
          <cell r="FH69">
            <v>402.78090627015825</v>
          </cell>
          <cell r="GC69" t="e">
            <v>#NUM!</v>
          </cell>
          <cell r="GX69">
            <v>410.64673363492466</v>
          </cell>
        </row>
        <row r="70">
          <cell r="Q70">
            <v>519.35466681110222</v>
          </cell>
          <cell r="AL70">
            <v>572.29782173470437</v>
          </cell>
          <cell r="BG70" t="e">
            <v>#NUM!</v>
          </cell>
          <cell r="CB70">
            <v>438.10226396786584</v>
          </cell>
          <cell r="CW70">
            <v>417.41471198632917</v>
          </cell>
          <cell r="DR70">
            <v>292.24524409564179</v>
          </cell>
          <cell r="EM70">
            <v>279.07502565621871</v>
          </cell>
          <cell r="FH70">
            <v>409.4189513224465</v>
          </cell>
          <cell r="GC70" t="e">
            <v>#NUM!</v>
          </cell>
          <cell r="GX70">
            <v>417.41471198632917</v>
          </cell>
        </row>
        <row r="71">
          <cell r="Q71">
            <v>528.21246537398599</v>
          </cell>
          <cell r="AL71">
            <v>588.55481451870264</v>
          </cell>
          <cell r="BG71" t="e">
            <v>#NUM!</v>
          </cell>
          <cell r="CB71">
            <v>453.50478673498725</v>
          </cell>
          <cell r="CW71">
            <v>424.1803252927262</v>
          </cell>
          <cell r="DR71">
            <v>304.73423115701871</v>
          </cell>
          <cell r="EM71">
            <v>290.99987776518356</v>
          </cell>
          <cell r="FH71">
            <v>416.05467235239661</v>
          </cell>
          <cell r="GC71" t="e">
            <v>#NUM!</v>
          </cell>
          <cell r="GX71">
            <v>424.1803252927262</v>
          </cell>
        </row>
        <row r="72">
          <cell r="Q72">
            <v>537.06713714333182</v>
          </cell>
          <cell r="AL72">
            <v>604.80245799974375</v>
          </cell>
          <cell r="BG72" t="e">
            <v>#NUM!</v>
          </cell>
          <cell r="CB72">
            <v>468.89613046728778</v>
          </cell>
          <cell r="CW72">
            <v>430.94361662456663</v>
          </cell>
          <cell r="DR72">
            <v>317.21183899833085</v>
          </cell>
          <cell r="EM72">
            <v>302.91381598467478</v>
          </cell>
          <cell r="FH72">
            <v>422.68811168338488</v>
          </cell>
          <cell r="GC72" t="e">
            <v>#NUM!</v>
          </cell>
          <cell r="GX72">
            <v>430.94361662456663</v>
          </cell>
        </row>
        <row r="73">
          <cell r="Q73">
            <v>545.91874094715649</v>
          </cell>
          <cell r="AL73">
            <v>621.04103855425922</v>
          </cell>
          <cell r="BG73" t="e">
            <v>#NUM!</v>
          </cell>
          <cell r="CB73">
            <v>484.27671367046941</v>
          </cell>
          <cell r="CW73">
            <v>437.70462758915511</v>
          </cell>
          <cell r="DR73">
            <v>329.6785784135397</v>
          </cell>
          <cell r="EM73">
            <v>314.81733022074985</v>
          </cell>
          <cell r="FH73">
            <v>429.31931020102024</v>
          </cell>
          <cell r="GC73" t="e">
            <v>#NUM!</v>
          </cell>
          <cell r="GX73">
            <v>437.70462758915511</v>
          </cell>
        </row>
        <row r="74">
          <cell r="Q74">
            <v>520.62026032995118</v>
          </cell>
          <cell r="AL74">
            <v>637.27082637167155</v>
          </cell>
          <cell r="BG74" t="e">
            <v>#NUM!</v>
          </cell>
          <cell r="CB74">
            <v>406.76401460432794</v>
          </cell>
          <cell r="CW74">
            <v>426.88591810042266</v>
          </cell>
          <cell r="DR74">
            <v>342.13491840023556</v>
          </cell>
          <cell r="EM74">
            <v>326.71087029227471</v>
          </cell>
          <cell r="FH74">
            <v>418.70831956765045</v>
          </cell>
          <cell r="GC74" t="e">
            <v>#NUM!</v>
          </cell>
          <cell r="GX74">
            <v>426.88591810042266</v>
          </cell>
        </row>
        <row r="75">
          <cell r="Q75">
            <v>528.21246537398599</v>
          </cell>
          <cell r="AL75">
            <v>653.49207676674757</v>
          </cell>
          <cell r="BG75" t="e">
            <v>#NUM!</v>
          </cell>
          <cell r="CB75">
            <v>423.68293333202683</v>
          </cell>
          <cell r="CW75">
            <v>432.97215749638468</v>
          </cell>
          <cell r="DR75">
            <v>354.58129100924572</v>
          </cell>
          <cell r="EM75">
            <v>338.59485058221645</v>
          </cell>
          <cell r="FH75">
            <v>424.67770470015267</v>
          </cell>
          <cell r="GC75" t="e">
            <v>#NUM!</v>
          </cell>
          <cell r="GX75">
            <v>432.97215749638468</v>
          </cell>
        </row>
        <row r="76">
          <cell r="Q76">
            <v>535.80237321728134</v>
          </cell>
          <cell r="AL76">
            <v>669.70503135496119</v>
          </cell>
          <cell r="BG76" t="e">
            <v>#NUM!</v>
          </cell>
          <cell r="CB76">
            <v>440.58731622566683</v>
          </cell>
          <cell r="CW76">
            <v>439.05655970073718</v>
          </cell>
          <cell r="DR76">
            <v>296.04747717569848</v>
          </cell>
          <cell r="EM76">
            <v>282.70551490450038</v>
          </cell>
          <cell r="FH76">
            <v>430.64528450788242</v>
          </cell>
          <cell r="GC76" t="e">
            <v>#NUM!</v>
          </cell>
          <cell r="GX76">
            <v>439.05655970073718</v>
          </cell>
        </row>
        <row r="77">
          <cell r="Q77">
            <v>543.39002099916354</v>
          </cell>
          <cell r="AL77">
            <v>685.90991910820378</v>
          </cell>
          <cell r="BG77" t="e">
            <v>#NUM!</v>
          </cell>
          <cell r="CB77">
            <v>457.47779928386598</v>
          </cell>
          <cell r="CW77">
            <v>445.13915378421433</v>
          </cell>
          <cell r="DR77">
            <v>306.90505238979614</v>
          </cell>
          <cell r="EM77">
            <v>293.07263668278034</v>
          </cell>
          <cell r="FH77">
            <v>436.61108755732994</v>
          </cell>
          <cell r="GC77" t="e">
            <v>#NUM!</v>
          </cell>
          <cell r="GX77">
            <v>445.13915378421433</v>
          </cell>
        </row>
        <row r="78">
          <cell r="Q78">
            <v>550.97544473689754</v>
          </cell>
          <cell r="AL78">
            <v>650.50043827916329</v>
          </cell>
          <cell r="BG78" t="e">
            <v>#NUM!</v>
          </cell>
          <cell r="CB78">
            <v>474.3549677300561</v>
          </cell>
          <cell r="CW78">
            <v>451.2199679576733</v>
          </cell>
          <cell r="DR78">
            <v>317.75409361194505</v>
          </cell>
          <cell r="EM78">
            <v>303.43157344975288</v>
          </cell>
          <cell r="FH78">
            <v>442.57514157002379</v>
          </cell>
          <cell r="GC78" t="e">
            <v>#NUM!</v>
          </cell>
          <cell r="GX78">
            <v>451.2199679576733</v>
          </cell>
        </row>
        <row r="79">
          <cell r="Q79">
            <v>558.55867937490291</v>
          </cell>
          <cell r="AL79">
            <v>661.67827996165295</v>
          </cell>
          <cell r="BG79" t="e">
            <v>#NUM!</v>
          </cell>
          <cell r="CB79">
            <v>491.21936176570603</v>
          </cell>
          <cell r="CW79">
            <v>441.08429055375791</v>
          </cell>
          <cell r="DR79">
            <v>328.59493342700091</v>
          </cell>
          <cell r="EM79">
            <v>313.78264418987732</v>
          </cell>
          <cell r="FH79">
            <v>432.63408155595897</v>
          </cell>
          <cell r="GC79" t="e">
            <v>#NUM!</v>
          </cell>
          <cell r="GX79">
            <v>441.08429055375791</v>
          </cell>
        </row>
        <row r="80">
          <cell r="Q80">
            <v>566.13975883115938</v>
          </cell>
          <cell r="AL80">
            <v>672.85223568835988</v>
          </cell>
          <cell r="BG80" t="e">
            <v>#NUM!</v>
          </cell>
          <cell r="CB80">
            <v>508.0714814925293</v>
          </cell>
          <cell r="CW80">
            <v>446.15274566834961</v>
          </cell>
          <cell r="DR80">
            <v>339.42788067295515</v>
          </cell>
          <cell r="EM80">
            <v>324.12614511182926</v>
          </cell>
          <cell r="FH80">
            <v>437.60521728369713</v>
          </cell>
          <cell r="GC80" t="e">
            <v>#NUM!</v>
          </cell>
          <cell r="GX80">
            <v>446.15274566834961</v>
          </cell>
        </row>
        <row r="81">
          <cell r="Q81">
            <v>573.71871604099545</v>
          </cell>
          <cell r="AL81">
            <v>684.0223790645324</v>
          </cell>
          <cell r="BG81" t="e">
            <v>#NUM!</v>
          </cell>
          <cell r="CB81">
            <v>524.91179114784052</v>
          </cell>
          <cell r="CW81">
            <v>451.2199679576733</v>
          </cell>
          <cell r="DR81">
            <v>350.25322285655176</v>
          </cell>
          <cell r="EM81">
            <v>334.46235196533502</v>
          </cell>
          <cell r="FH81">
            <v>442.57514157002379</v>
          </cell>
          <cell r="GC81" t="e">
            <v>#NUM!</v>
          </cell>
          <cell r="GX81">
            <v>451.2199679576733</v>
          </cell>
        </row>
        <row r="82">
          <cell r="Q82">
            <v>581.29558299844462</v>
          </cell>
          <cell r="AL82">
            <v>695.18878109639593</v>
          </cell>
          <cell r="BG82" t="e">
            <v>#NUM!</v>
          </cell>
          <cell r="CB82">
            <v>541.74072276829952</v>
          </cell>
          <cell r="CW82">
            <v>456.28597323169123</v>
          </cell>
          <cell r="DR82">
            <v>361.07122825453939</v>
          </cell>
          <cell r="EM82">
            <v>344.79152205649939</v>
          </cell>
          <cell r="FH82">
            <v>447.54386995067097</v>
          </cell>
          <cell r="GC82" t="e">
            <v>#NUM!</v>
          </cell>
          <cell r="GX82">
            <v>456.28597323169123</v>
          </cell>
        </row>
        <row r="83">
          <cell r="Q83">
            <v>588.87039079533201</v>
          </cell>
          <cell r="AL83">
            <v>706.35151032407646</v>
          </cell>
          <cell r="BG83" t="e">
            <v>#NUM!</v>
          </cell>
          <cell r="CB83">
            <v>558.55867937490245</v>
          </cell>
          <cell r="CW83">
            <v>461.35077692036288</v>
          </cell>
          <cell r="DR83">
            <v>371.88214774985948</v>
          </cell>
          <cell r="EM83">
            <v>355.11389600890431</v>
          </cell>
          <cell r="FH83">
            <v>452.51141758795939</v>
          </cell>
          <cell r="GC83" t="e">
            <v>#NUM!</v>
          </cell>
          <cell r="GX83">
            <v>461.35077692036288</v>
          </cell>
        </row>
        <row r="84">
          <cell r="Q84">
            <v>565.38174692254552</v>
          </cell>
          <cell r="AL84">
            <v>717.5106329456886</v>
          </cell>
          <cell r="BG84" t="e">
            <v>#NUM!</v>
          </cell>
          <cell r="CB84">
            <v>466.81149078498834</v>
          </cell>
          <cell r="CW84">
            <v>1.3765621991510601E-12</v>
          </cell>
          <cell r="DR84">
            <v>382.68621644309741</v>
          </cell>
          <cell r="EM84">
            <v>365.42969930916388</v>
          </cell>
          <cell r="FH84">
            <v>1.3525069634579169E-12</v>
          </cell>
          <cell r="GC84" t="e">
            <v>#NUM!</v>
          </cell>
          <cell r="GX84">
            <v>1.3765621991510601E-12</v>
          </cell>
        </row>
        <row r="85">
          <cell r="Q85">
            <v>572.20309282979531</v>
          </cell>
          <cell r="AL85">
            <v>728.66621293330627</v>
          </cell>
          <cell r="BG85" t="e">
            <v>#NUM!</v>
          </cell>
          <cell r="CB85">
            <v>484.07832138643715</v>
          </cell>
          <cell r="CW85">
            <v>1.3765621991510601E-12</v>
          </cell>
          <cell r="DR85">
            <v>325.70482687762802</v>
          </cell>
          <cell r="EM85">
            <v>311.02311066425125</v>
          </cell>
          <cell r="FH85">
            <v>1.3525069634579169E-12</v>
          </cell>
          <cell r="GC85" t="e">
            <v>#NUM!</v>
          </cell>
          <cell r="GX85">
            <v>1.3765621991510601E-12</v>
          </cell>
        </row>
        <row r="86">
          <cell r="Q86">
            <v>579.02274052069447</v>
          </cell>
          <cell r="AL86" t="e">
            <v>#NUM!</v>
          </cell>
          <cell r="BG86" t="e">
            <v>#NUM!</v>
          </cell>
          <cell r="CB86">
            <v>501.33207604940441</v>
          </cell>
          <cell r="CW86">
            <v>1.3765621991510601E-12</v>
          </cell>
          <cell r="DR86">
            <v>335.81775704779619</v>
          </cell>
          <cell r="EM86">
            <v>320.67913514282071</v>
          </cell>
          <cell r="FH86">
            <v>1.3525069634579169E-12</v>
          </cell>
          <cell r="GC86" t="e">
            <v>#NUM!</v>
          </cell>
          <cell r="GX86">
            <v>1.3765621991510601E-12</v>
          </cell>
        </row>
        <row r="87">
          <cell r="Q87">
            <v>585.8407128223779</v>
          </cell>
          <cell r="AL87" t="e">
            <v>#NUM!</v>
          </cell>
          <cell r="BG87" t="e">
            <v>#NUM!</v>
          </cell>
          <cell r="CB87">
            <v>518.57326790936384</v>
          </cell>
          <cell r="CW87">
            <v>1.3765621991510601E-12</v>
          </cell>
          <cell r="DR87">
            <v>345.92398101265053</v>
          </cell>
          <cell r="EM87">
            <v>330.32872765301573</v>
          </cell>
          <cell r="FH87">
            <v>1.3525069634579169E-12</v>
          </cell>
          <cell r="GC87" t="e">
            <v>#NUM!</v>
          </cell>
          <cell r="GX87">
            <v>1.3765621991510601E-12</v>
          </cell>
        </row>
        <row r="88">
          <cell r="Q88">
            <v>592.65703198720189</v>
          </cell>
          <cell r="AL88" t="e">
            <v>#NUM!</v>
          </cell>
          <cell r="BG88" t="e">
            <v>#NUM!</v>
          </cell>
          <cell r="CB88">
            <v>535.80237321728066</v>
          </cell>
          <cell r="CW88">
            <v>1.3765621991510601E-12</v>
          </cell>
          <cell r="DR88">
            <v>356.02372241468356</v>
          </cell>
          <cell r="EM88">
            <v>339.97210269191356</v>
          </cell>
          <cell r="FH88">
            <v>1.3525069634579169E-12</v>
          </cell>
          <cell r="GC88" t="e">
            <v>#NUM!</v>
          </cell>
          <cell r="GX88">
            <v>1.3765621991510601E-12</v>
          </cell>
        </row>
        <row r="89">
          <cell r="Q89">
            <v>599.47171971380715</v>
          </cell>
          <cell r="AL89" t="e">
            <v>#NUM!</v>
          </cell>
          <cell r="BG89" t="e">
            <v>#NUM!</v>
          </cell>
          <cell r="CB89">
            <v>553.01983511602884</v>
          </cell>
          <cell r="CW89">
            <v>1.3765621991510601E-12</v>
          </cell>
          <cell r="DR89">
            <v>366.11719116596186</v>
          </cell>
          <cell r="EM89">
            <v>349.60946158764392</v>
          </cell>
          <cell r="FH89">
            <v>1.3525069634579169E-12</v>
          </cell>
          <cell r="GC89" t="e">
            <v>#NUM!</v>
          </cell>
          <cell r="GX89">
            <v>1.3765621991510601E-12</v>
          </cell>
        </row>
        <row r="90">
          <cell r="Q90">
            <v>606.28479716717118</v>
          </cell>
          <cell r="AL90" t="e">
            <v>#NUM!</v>
          </cell>
          <cell r="BG90" t="e">
            <v>#NUM!</v>
          </cell>
          <cell r="CB90">
            <v>570.22606692225338</v>
          </cell>
          <cell r="CW90">
            <v>1.3765621991510601E-12</v>
          </cell>
          <cell r="DR90">
            <v>376.20458465456113</v>
          </cell>
          <cell r="EM90">
            <v>359.24099365648931</v>
          </cell>
          <cell r="FH90">
            <v>1.3525069634579169E-12</v>
          </cell>
          <cell r="GC90" t="e">
            <v>#NUM!</v>
          </cell>
          <cell r="GX90">
            <v>1.3765621991510601E-12</v>
          </cell>
        </row>
        <row r="91">
          <cell r="Q91">
            <v>613.0962849977135</v>
          </cell>
          <cell r="AL91" t="e">
            <v>#NUM!</v>
          </cell>
          <cell r="BG91" t="e">
            <v>#NUM!</v>
          </cell>
          <cell r="CB91">
            <v>587.42145499171477</v>
          </cell>
          <cell r="CW91">
            <v>1.3765621991510601E-12</v>
          </cell>
          <cell r="DR91">
            <v>386.28608881480568</v>
          </cell>
          <cell r="EM91">
            <v>368.86687722935966</v>
          </cell>
          <cell r="FH91">
            <v>1.3525069634579169E-12</v>
          </cell>
          <cell r="GC91" t="e">
            <v>#NUM!</v>
          </cell>
          <cell r="GX91">
            <v>1.3765621991510601E-12</v>
          </cell>
        </row>
        <row r="92">
          <cell r="Q92">
            <v>619.90620335950769</v>
          </cell>
          <cell r="AL92" t="e">
            <v>#NUM!</v>
          </cell>
          <cell r="BG92" t="e">
            <v>#NUM!</v>
          </cell>
          <cell r="CB92">
            <v>604.60636123185952</v>
          </cell>
          <cell r="CW92">
            <v>1.3765621991510601E-12</v>
          </cell>
          <cell r="DR92">
            <v>396.36187907991547</v>
          </cell>
          <cell r="EM92">
            <v>378.48728056548151</v>
          </cell>
          <cell r="FH92">
            <v>1.3525069634579169E-12</v>
          </cell>
          <cell r="GC92" t="e">
            <v>#NUM!</v>
          </cell>
          <cell r="GX92">
            <v>1.3765621991510601E-12</v>
          </cell>
        </row>
        <row r="93">
          <cell r="Q93">
            <v>626.71457192765126</v>
          </cell>
          <cell r="AL93" t="e">
            <v>#NUM!</v>
          </cell>
          <cell r="BG93" t="e">
            <v>#NUM!</v>
          </cell>
          <cell r="CB93">
            <v>621.78112531404122</v>
          </cell>
          <cell r="CW93">
            <v>1.3765621991510601E-12</v>
          </cell>
          <cell r="DR93">
            <v>406.43212123270069</v>
          </cell>
          <cell r="EM93">
            <v>388.10236266830702</v>
          </cell>
          <cell r="FH93">
            <v>1.3525069634579169E-12</v>
          </cell>
          <cell r="GC93" t="e">
            <v>#NUM!</v>
          </cell>
          <cell r="GX93">
            <v>1.3765621991510601E-12</v>
          </cell>
        </row>
        <row r="94">
          <cell r="Q94">
            <v>599.97644708320979</v>
          </cell>
          <cell r="AL94" t="e">
            <v>#NUM!</v>
          </cell>
          <cell r="BG94" t="e">
            <v>#NUM!</v>
          </cell>
          <cell r="CB94">
            <v>518.47421557137</v>
          </cell>
          <cell r="CW94">
            <v>1.3765621991510601E-12</v>
          </cell>
          <cell r="DR94">
            <v>351.87638506710238</v>
          </cell>
          <cell r="EM94">
            <v>336.01217001179123</v>
          </cell>
          <cell r="FH94">
            <v>1.3525069634579169E-12</v>
          </cell>
          <cell r="GC94" t="e">
            <v>#NUM!</v>
          </cell>
          <cell r="GX94">
            <v>1.3765621991510601E-12</v>
          </cell>
        </row>
        <row r="95">
          <cell r="Q95">
            <v>603.50929199212374</v>
          </cell>
          <cell r="AL95" t="e">
            <v>#NUM!</v>
          </cell>
          <cell r="BG95" t="e">
            <v>#NUM!</v>
          </cell>
          <cell r="CB95">
            <v>536.79219379540177</v>
          </cell>
          <cell r="CW95">
            <v>1.3765621991510601E-12</v>
          </cell>
          <cell r="DR95">
            <v>362.15263507179503</v>
          </cell>
          <cell r="EM95">
            <v>345.82406144357356</v>
          </cell>
          <cell r="FH95">
            <v>1.3525069634579169E-12</v>
          </cell>
          <cell r="GC95" t="e">
            <v>#NUM!</v>
          </cell>
          <cell r="GX95">
            <v>1.3765621991510601E-12</v>
          </cell>
        </row>
        <row r="96">
          <cell r="Q96">
            <v>607.04170727539702</v>
          </cell>
          <cell r="AL96" t="e">
            <v>#NUM!</v>
          </cell>
          <cell r="BG96" t="e">
            <v>#NUM!</v>
          </cell>
          <cell r="CB96">
            <v>555.09703728994884</v>
          </cell>
          <cell r="CW96">
            <v>1.3765621991510601E-12</v>
          </cell>
          <cell r="DR96">
            <v>372.42251200019501</v>
          </cell>
          <cell r="EM96">
            <v>355.62984041335352</v>
          </cell>
          <cell r="FH96">
            <v>1.3525069634579169E-12</v>
          </cell>
          <cell r="GC96" t="e">
            <v>#NUM!</v>
          </cell>
          <cell r="GX96">
            <v>1.3765621991510601E-12</v>
          </cell>
        </row>
        <row r="97">
          <cell r="Q97">
            <v>610.57369578703913</v>
          </cell>
          <cell r="AL97" t="e">
            <v>#NUM!</v>
          </cell>
          <cell r="BG97" t="e">
            <v>#NUM!</v>
          </cell>
          <cell r="CB97">
            <v>573.38923985506744</v>
          </cell>
          <cell r="CW97">
            <v>1.3765621991510601E-12</v>
          </cell>
          <cell r="DR97">
            <v>382.68621644309718</v>
          </cell>
          <cell r="EM97">
            <v>365.42969930916371</v>
          </cell>
          <cell r="FH97">
            <v>1.3525069634579169E-12</v>
          </cell>
          <cell r="GC97" t="e">
            <v>#NUM!</v>
          </cell>
          <cell r="GX97">
            <v>1.3765621991510601E-12</v>
          </cell>
        </row>
        <row r="98">
          <cell r="Q98">
            <v>614.10526034533052</v>
          </cell>
          <cell r="AL98" t="e">
            <v>#NUM!</v>
          </cell>
          <cell r="BG98" t="e">
            <v>#NUM!</v>
          </cell>
          <cell r="CB98">
            <v>591.66926123844587</v>
          </cell>
          <cell r="CW98">
            <v>1.3765621991510601E-12</v>
          </cell>
          <cell r="DR98">
            <v>392.94393734930151</v>
          </cell>
          <cell r="EM98">
            <v>375.22381935311847</v>
          </cell>
          <cell r="FH98">
            <v>1.3525069634579169E-12</v>
          </cell>
          <cell r="GC98" t="e">
            <v>#NUM!</v>
          </cell>
          <cell r="GX98">
            <v>1.3765621991510601E-12</v>
          </cell>
        </row>
        <row r="99">
          <cell r="Q99">
            <v>617.63640373347687</v>
          </cell>
          <cell r="AL99" t="e">
            <v>#NUM!</v>
          </cell>
          <cell r="BG99" t="e">
            <v>#NUM!</v>
          </cell>
          <cell r="CB99">
            <v>609.93753048460724</v>
          </cell>
          <cell r="CW99">
            <v>1.3765621991510601E-12</v>
          </cell>
          <cell r="DR99">
            <v>403.19585299411045</v>
          </cell>
          <cell r="EM99">
            <v>385.01237153030598</v>
          </cell>
          <cell r="FH99">
            <v>1.3525069634579169E-12</v>
          </cell>
          <cell r="GC99" t="e">
            <v>#NUM!</v>
          </cell>
          <cell r="GX99">
            <v>1.3765621991510601E-12</v>
          </cell>
        </row>
        <row r="100">
          <cell r="Q100">
            <v>621.16712870024901</v>
          </cell>
          <cell r="AL100" t="e">
            <v>#NUM!</v>
          </cell>
          <cell r="BG100" t="e">
            <v>#NUM!</v>
          </cell>
          <cell r="CB100">
            <v>628.19444886225506</v>
          </cell>
          <cell r="CW100">
            <v>1.3765621991510601E-12</v>
          </cell>
          <cell r="DR100">
            <v>413.44213184415986</v>
          </cell>
          <cell r="EM100">
            <v>394.79551741825406</v>
          </cell>
          <cell r="FH100">
            <v>1.3525069634579169E-12</v>
          </cell>
          <cell r="GC100" t="e">
            <v>#NUM!</v>
          </cell>
          <cell r="GX100">
            <v>1.3765621991510601E-12</v>
          </cell>
        </row>
        <row r="101">
          <cell r="Q101">
            <v>624.6974379606047</v>
          </cell>
          <cell r="AL101" t="e">
            <v>#NUM!</v>
          </cell>
          <cell r="BG101" t="e">
            <v>#NUM!</v>
          </cell>
          <cell r="CB101">
            <v>646.44039243384543</v>
          </cell>
          <cell r="CW101">
            <v>1.3765621991510601E-12</v>
          </cell>
          <cell r="DR101">
            <v>423.68293333202678</v>
          </cell>
          <cell r="EM101">
            <v>404.5734099298611</v>
          </cell>
          <cell r="FH101">
            <v>1.3525069634579169E-12</v>
          </cell>
          <cell r="GC101" t="e">
            <v>#NUM!</v>
          </cell>
          <cell r="GX101">
            <v>1.3765621991510601E-12</v>
          </cell>
        </row>
        <row r="102">
          <cell r="Q102">
            <v>628.22733419630038</v>
          </cell>
          <cell r="AL102" t="e">
            <v>#NUM!</v>
          </cell>
          <cell r="BG102" t="e">
            <v>#NUM!</v>
          </cell>
          <cell r="CB102">
            <v>664.67571432018474</v>
          </cell>
          <cell r="CW102">
            <v>1.3765621991510601E-12</v>
          </cell>
          <cell r="DR102">
            <v>433.91840855202554</v>
          </cell>
          <cell r="EM102">
            <v>414.34619398074</v>
          </cell>
          <cell r="FH102">
            <v>1.3525069634579169E-12</v>
          </cell>
          <cell r="GC102" t="e">
            <v>#NUM!</v>
          </cell>
          <cell r="GX102">
            <v>1.3765621991510601E-12</v>
          </cell>
        </row>
        <row r="103">
          <cell r="Q103">
            <v>631.75682005648298</v>
          </cell>
          <cell r="AL103" t="e">
            <v>#NUM!</v>
          </cell>
          <cell r="BG103" t="e">
            <v>#NUM!</v>
          </cell>
          <cell r="CB103">
            <v>682.90074670377828</v>
          </cell>
          <cell r="CW103">
            <v>1.3765621991510601E-12</v>
          </cell>
          <cell r="DR103">
            <v>444.14870088691924</v>
          </cell>
          <cell r="EM103">
            <v>424.11400709030028</v>
          </cell>
          <cell r="FH103">
            <v>1.3525069634579169E-12</v>
          </cell>
          <cell r="GC103" t="e">
            <v>#NUM!</v>
          </cell>
          <cell r="GX103">
            <v>1.3765621991510601E-12</v>
          </cell>
        </row>
        <row r="104">
          <cell r="Q104">
            <v>1.978932943548152E-12</v>
          </cell>
          <cell r="AL104" t="e">
            <v>#NUM!</v>
          </cell>
          <cell r="BG104" t="e">
            <v>#NUM!</v>
          </cell>
          <cell r="CB104" t="e">
            <v>#NUM!</v>
          </cell>
          <cell r="CW104">
            <v>1.3765621991510601E-12</v>
          </cell>
          <cell r="DR104">
            <v>454.37394657387154</v>
          </cell>
          <cell r="EM104">
            <v>433.87697992455782</v>
          </cell>
          <cell r="FH104">
            <v>1.3525069634579169E-12</v>
          </cell>
          <cell r="GC104" t="e">
            <v>#NUM!</v>
          </cell>
          <cell r="GX104">
            <v>1.3765621991510601E-12</v>
          </cell>
        </row>
        <row r="105">
          <cell r="Q105">
            <v>1.978932943548152E-12</v>
          </cell>
          <cell r="AL105" t="e">
            <v>#NUM!</v>
          </cell>
          <cell r="BG105" t="e">
            <v>#NUM!</v>
          </cell>
          <cell r="CB105" t="e">
            <v>#NUM!</v>
          </cell>
          <cell r="CW105">
            <v>1.3765621991510601E-12</v>
          </cell>
          <cell r="DR105">
            <v>464.59427521679351</v>
          </cell>
          <cell r="EM105">
            <v>443.63523678752887</v>
          </cell>
          <cell r="FH105">
            <v>1.3525069634579169E-12</v>
          </cell>
          <cell r="GC105" t="e">
            <v>#NUM!</v>
          </cell>
          <cell r="GX105">
            <v>1.3765621991510601E-12</v>
          </cell>
        </row>
        <row r="106">
          <cell r="Q106">
            <v>1.978932943548152E-12</v>
          </cell>
          <cell r="AL106" t="e">
            <v>#NUM!</v>
          </cell>
          <cell r="BG106" t="e">
            <v>#NUM!</v>
          </cell>
          <cell r="CB106" t="e">
            <v>#NUM!</v>
          </cell>
          <cell r="CW106">
            <v>1.3765621991510601E-12</v>
          </cell>
          <cell r="DR106">
            <v>386.10611256795556</v>
          </cell>
          <cell r="EM106">
            <v>368.69503499470255</v>
          </cell>
          <cell r="FH106">
            <v>1.3525069634579169E-12</v>
          </cell>
          <cell r="GC106" t="e">
            <v>#NUM!</v>
          </cell>
          <cell r="GX106">
            <v>1.3765621991510601E-12</v>
          </cell>
        </row>
        <row r="107">
          <cell r="Q107">
            <v>1.978932943548152E-12</v>
          </cell>
          <cell r="AL107" t="e">
            <v>#NUM!</v>
          </cell>
          <cell r="BG107" t="e">
            <v>#NUM!</v>
          </cell>
          <cell r="CB107" t="e">
            <v>#NUM!</v>
          </cell>
          <cell r="CW107">
            <v>1.3765621991510601E-12</v>
          </cell>
          <cell r="DR107">
            <v>396.00212592142566</v>
          </cell>
          <cell r="EM107">
            <v>378.14378727996041</v>
          </cell>
          <cell r="FH107">
            <v>1.3525069634579169E-12</v>
          </cell>
          <cell r="GC107" t="e">
            <v>#NUM!</v>
          </cell>
          <cell r="GX107">
            <v>1.3765621991510601E-12</v>
          </cell>
        </row>
        <row r="108">
          <cell r="Q108">
            <v>1.978932943548152E-12</v>
          </cell>
          <cell r="AL108" t="e">
            <v>#NUM!</v>
          </cell>
          <cell r="BG108" t="e">
            <v>#NUM!</v>
          </cell>
          <cell r="CB108" t="e">
            <v>#NUM!</v>
          </cell>
          <cell r="CW108">
            <v>1.3765621991510601E-12</v>
          </cell>
          <cell r="DR108">
            <v>405.89278200614257</v>
          </cell>
          <cell r="EM108">
            <v>387.58740137132469</v>
          </cell>
          <cell r="FH108">
            <v>1.3525069634579169E-12</v>
          </cell>
          <cell r="GC108" t="e">
            <v>#NUM!</v>
          </cell>
          <cell r="GX108">
            <v>1.3765621991510601E-12</v>
          </cell>
        </row>
        <row r="109">
          <cell r="Q109">
            <v>1.978932943548152E-12</v>
          </cell>
          <cell r="AL109" t="e">
            <v>#NUM!</v>
          </cell>
          <cell r="BG109" t="e">
            <v>#NUM!</v>
          </cell>
          <cell r="CB109" t="e">
            <v>#NUM!</v>
          </cell>
          <cell r="CW109">
            <v>1.3765621991510601E-12</v>
          </cell>
          <cell r="DR109">
            <v>415.77822981932314</v>
          </cell>
          <cell r="EM109">
            <v>397.02602017306691</v>
          </cell>
          <cell r="FH109">
            <v>1.3525069634579169E-12</v>
          </cell>
          <cell r="GC109" t="e">
            <v>#NUM!</v>
          </cell>
          <cell r="GX109">
            <v>1.3765621991510601E-12</v>
          </cell>
        </row>
        <row r="110">
          <cell r="Q110">
            <v>1.978932943548152E-12</v>
          </cell>
          <cell r="AL110" t="e">
            <v>#NUM!</v>
          </cell>
          <cell r="BG110" t="e">
            <v>#NUM!</v>
          </cell>
          <cell r="CB110" t="e">
            <v>#NUM!</v>
          </cell>
          <cell r="CW110">
            <v>1.3765621991510601E-12</v>
          </cell>
          <cell r="DR110">
            <v>425.65861069261609</v>
          </cell>
          <cell r="EM110">
            <v>406.45977923735921</v>
          </cell>
          <cell r="FH110">
            <v>1.3525069634579169E-12</v>
          </cell>
          <cell r="GC110" t="e">
            <v>#NUM!</v>
          </cell>
          <cell r="GX110">
            <v>1.3765621991510601E-12</v>
          </cell>
        </row>
        <row r="111">
          <cell r="Q111">
            <v>1.978932943548152E-12</v>
          </cell>
          <cell r="AL111" t="e">
            <v>#NUM!</v>
          </cell>
          <cell r="BG111" t="e">
            <v>#NUM!</v>
          </cell>
          <cell r="CB111" t="e">
            <v>#NUM!</v>
          </cell>
          <cell r="CW111">
            <v>1.3765621991510601E-12</v>
          </cell>
          <cell r="DR111">
            <v>435.53405885908927</v>
          </cell>
          <cell r="EM111">
            <v>415.88880730807415</v>
          </cell>
          <cell r="FH111">
            <v>1.3525069634579169E-12</v>
          </cell>
          <cell r="GC111" t="e">
            <v>#NUM!</v>
          </cell>
          <cell r="GX111">
            <v>1.3765621991510601E-12</v>
          </cell>
        </row>
        <row r="112">
          <cell r="Q112">
            <v>1.978932943548152E-12</v>
          </cell>
          <cell r="AL112" t="e">
            <v>#NUM!</v>
          </cell>
          <cell r="BG112" t="e">
            <v>#NUM!</v>
          </cell>
          <cell r="CB112" t="e">
            <v>#NUM!</v>
          </cell>
          <cell r="CW112">
            <v>1.3765621991510601E-12</v>
          </cell>
          <cell r="DR112">
            <v>445.40470196610204</v>
          </cell>
          <cell r="EM112">
            <v>425.31322681268654</v>
          </cell>
          <cell r="FH112">
            <v>1.3525069634579169E-12</v>
          </cell>
          <cell r="GC112" t="e">
            <v>#NUM!</v>
          </cell>
          <cell r="GX112">
            <v>1.3765621991510601E-12</v>
          </cell>
        </row>
        <row r="113">
          <cell r="Q113">
            <v>1.978932943548152E-12</v>
          </cell>
          <cell r="AL113" t="e">
            <v>#NUM!</v>
          </cell>
          <cell r="BG113" t="e">
            <v>#NUM!</v>
          </cell>
          <cell r="CB113" t="e">
            <v>#NUM!</v>
          </cell>
          <cell r="CW113">
            <v>1.3765621991510601E-12</v>
          </cell>
          <cell r="DR113">
            <v>455.2706615403377</v>
          </cell>
          <cell r="EM113">
            <v>434.73315430828762</v>
          </cell>
          <cell r="FH113">
            <v>1.3525069634579169E-12</v>
          </cell>
          <cell r="GC113" t="e">
            <v>#NUM!</v>
          </cell>
          <cell r="GX113">
            <v>1.3765621991510601E-12</v>
          </cell>
        </row>
        <row r="114">
          <cell r="Q114">
            <v>1.978932943548152E-12</v>
          </cell>
          <cell r="AL114" t="e">
            <v>#NUM!</v>
          </cell>
          <cell r="BG114" t="e">
            <v>#NUM!</v>
          </cell>
          <cell r="CB114" t="e">
            <v>#NUM!</v>
          </cell>
          <cell r="CW114">
            <v>1.3765621991510601E-12</v>
          </cell>
          <cell r="DR114">
            <v>465.13205341042038</v>
          </cell>
          <cell r="EM114">
            <v>444.14870088691947</v>
          </cell>
          <cell r="FH114">
            <v>1.3525069634579169E-12</v>
          </cell>
          <cell r="GC114" t="e">
            <v>#NUM!</v>
          </cell>
          <cell r="GX114">
            <v>1.3765621991510601E-12</v>
          </cell>
        </row>
        <row r="115">
          <cell r="Q115">
            <v>1.978932943548152E-12</v>
          </cell>
          <cell r="AL115" t="e">
            <v>#NUM!</v>
          </cell>
          <cell r="BG115" t="e">
            <v>#NUM!</v>
          </cell>
          <cell r="CB115" t="e">
            <v>#NUM!</v>
          </cell>
          <cell r="CW115">
            <v>1.3765621991510601E-12</v>
          </cell>
          <cell r="DR115">
            <v>474.98898809181838</v>
          </cell>
          <cell r="EM115">
            <v>453.5599725447405</v>
          </cell>
          <cell r="FH115">
            <v>1.3525069634579169E-12</v>
          </cell>
          <cell r="GC115" t="e">
            <v>#NUM!</v>
          </cell>
          <cell r="GX115">
            <v>1.3765621991510601E-12</v>
          </cell>
        </row>
        <row r="116">
          <cell r="Q116">
            <v>1.978932943548152E-12</v>
          </cell>
          <cell r="AL116" t="e">
            <v>#NUM!</v>
          </cell>
          <cell r="BG116" t="e">
            <v>#NUM!</v>
          </cell>
          <cell r="CB116" t="e">
            <v>#NUM!</v>
          </cell>
          <cell r="CW116">
            <v>1.3765621991510601E-12</v>
          </cell>
          <cell r="DR116">
            <v>484.84157113813313</v>
          </cell>
          <cell r="EM116">
            <v>462.96707051894737</v>
          </cell>
          <cell r="FH116">
            <v>1.3525069634579169E-12</v>
          </cell>
          <cell r="GC116" t="e">
            <v>#NUM!</v>
          </cell>
          <cell r="GX116">
            <v>1.3765621991510601E-12</v>
          </cell>
        </row>
        <row r="117">
          <cell r="Q117">
            <v>1.978932943548152E-12</v>
          </cell>
          <cell r="AL117" t="e">
            <v>#NUM!</v>
          </cell>
          <cell r="BG117" t="e">
            <v>#NUM!</v>
          </cell>
          <cell r="CB117" t="e">
            <v>#NUM!</v>
          </cell>
          <cell r="CW117">
            <v>1.3765621991510601E-12</v>
          </cell>
          <cell r="DR117">
            <v>494.68990346234324</v>
          </cell>
          <cell r="EM117">
            <v>472.37009159588257</v>
          </cell>
          <cell r="FH117">
            <v>1.3525069634579169E-12</v>
          </cell>
          <cell r="GC117" t="e">
            <v>#NUM!</v>
          </cell>
          <cell r="GX117">
            <v>1.3765621991510601E-12</v>
          </cell>
        </row>
        <row r="118">
          <cell r="Q118">
            <v>1.978932943548152E-12</v>
          </cell>
          <cell r="AL118" t="e">
            <v>#NUM!</v>
          </cell>
          <cell r="BG118" t="e">
            <v>#NUM!</v>
          </cell>
          <cell r="CB118" t="e">
            <v>#NUM!</v>
          </cell>
          <cell r="CW118">
            <v>1.3765621991510601E-12</v>
          </cell>
          <cell r="DR118">
            <v>425.11980920401083</v>
          </cell>
          <cell r="EM118">
            <v>405.94533368860476</v>
          </cell>
          <cell r="FH118">
            <v>1.3525069634579169E-12</v>
          </cell>
          <cell r="GC118" t="e">
            <v>#NUM!</v>
          </cell>
          <cell r="GX118">
            <v>1.3765621991510601E-12</v>
          </cell>
        </row>
        <row r="119">
          <cell r="Q119">
            <v>1.978932943548152E-12</v>
          </cell>
          <cell r="AL119" t="e">
            <v>#NUM!</v>
          </cell>
          <cell r="BG119" t="e">
            <v>#NUM!</v>
          </cell>
          <cell r="CB119" t="e">
            <v>#NUM!</v>
          </cell>
          <cell r="CW119">
            <v>1.3765621991510601E-12</v>
          </cell>
          <cell r="DR119">
            <v>435.17503659472953</v>
          </cell>
          <cell r="EM119">
            <v>415.54601502822015</v>
          </cell>
          <cell r="FH119">
            <v>1.3525069634579169E-12</v>
          </cell>
          <cell r="GC119" t="e">
            <v>#NUM!</v>
          </cell>
          <cell r="GX119">
            <v>1.3765621991510601E-12</v>
          </cell>
        </row>
        <row r="120">
          <cell r="Q120">
            <v>1.978932943548152E-12</v>
          </cell>
          <cell r="AL120" t="e">
            <v>#NUM!</v>
          </cell>
          <cell r="BG120" t="e">
            <v>#NUM!</v>
          </cell>
          <cell r="CB120" t="e">
            <v>#NUM!</v>
          </cell>
          <cell r="CW120">
            <v>1.3765621991510601E-12</v>
          </cell>
          <cell r="DR120">
            <v>445.22527789057045</v>
          </cell>
          <cell r="EM120">
            <v>425.14191416939929</v>
          </cell>
          <cell r="FH120">
            <v>1.3525069634579169E-12</v>
          </cell>
          <cell r="GC120" t="e">
            <v>#NUM!</v>
          </cell>
          <cell r="GX120">
            <v>1.3765621991510601E-12</v>
          </cell>
        </row>
        <row r="121">
          <cell r="Q121">
            <v>1.978932943548152E-12</v>
          </cell>
          <cell r="AL121" t="e">
            <v>#NUM!</v>
          </cell>
          <cell r="BG121" t="e">
            <v>#NUM!</v>
          </cell>
          <cell r="CB121" t="e">
            <v>#NUM!</v>
          </cell>
          <cell r="CW121">
            <v>1.3765621991510601E-12</v>
          </cell>
          <cell r="DR121">
            <v>455.2706615403377</v>
          </cell>
          <cell r="EM121">
            <v>434.73315430828762</v>
          </cell>
          <cell r="FH121">
            <v>1.3525069634579169E-12</v>
          </cell>
          <cell r="GC121" t="e">
            <v>#NUM!</v>
          </cell>
          <cell r="GX121">
            <v>1.3765621991510601E-12</v>
          </cell>
        </row>
        <row r="122">
          <cell r="Q122">
            <v>1.978932943548152E-12</v>
          </cell>
          <cell r="AL122" t="e">
            <v>#NUM!</v>
          </cell>
          <cell r="BG122" t="e">
            <v>#NUM!</v>
          </cell>
          <cell r="CB122" t="e">
            <v>#NUM!</v>
          </cell>
          <cell r="CW122">
            <v>1.3765621991510601E-12</v>
          </cell>
          <cell r="DR122">
            <v>465.31130986080166</v>
          </cell>
          <cell r="EM122">
            <v>444.31985275975393</v>
          </cell>
          <cell r="FH122">
            <v>1.3525069634579169E-12</v>
          </cell>
          <cell r="GC122" t="e">
            <v>#NUM!</v>
          </cell>
          <cell r="GX122">
            <v>1.3765621991510601E-12</v>
          </cell>
        </row>
        <row r="123">
          <cell r="Q123">
            <v>1.978932943548152E-12</v>
          </cell>
          <cell r="AL123" t="e">
            <v>#NUM!</v>
          </cell>
          <cell r="BG123" t="e">
            <v>#NUM!</v>
          </cell>
          <cell r="CB123" t="e">
            <v>#NUM!</v>
          </cell>
          <cell r="CW123">
            <v>1.3765621991510601E-12</v>
          </cell>
          <cell r="DR123">
            <v>475.34733945827867</v>
          </cell>
          <cell r="EM123">
            <v>453.90212136173153</v>
          </cell>
          <cell r="FH123">
            <v>1.3525069634579169E-12</v>
          </cell>
          <cell r="GC123" t="e">
            <v>#NUM!</v>
          </cell>
          <cell r="GX123">
            <v>1.3765621991510601E-12</v>
          </cell>
        </row>
        <row r="124">
          <cell r="Q124">
            <v>1.978932943548152E-12</v>
          </cell>
          <cell r="AL124" t="e">
            <v>#NUM!</v>
          </cell>
          <cell r="BG124" t="e">
            <v>#NUM!</v>
          </cell>
          <cell r="CB124" t="e">
            <v>#NUM!</v>
          </cell>
          <cell r="CW124">
            <v>1.3765621991510601E-12</v>
          </cell>
          <cell r="DR124">
            <v>485.37886161275105</v>
          </cell>
          <cell r="EM124">
            <v>463.48006684362866</v>
          </cell>
          <cell r="FH124">
            <v>1.3525069634579169E-12</v>
          </cell>
          <cell r="GC124" t="e">
            <v>#NUM!</v>
          </cell>
          <cell r="GX124">
            <v>1.3765621991510601E-12</v>
          </cell>
        </row>
        <row r="125">
          <cell r="Q125">
            <v>1.978932943548152E-12</v>
          </cell>
          <cell r="AL125" t="e">
            <v>#NUM!</v>
          </cell>
          <cell r="BG125" t="e">
            <v>#NUM!</v>
          </cell>
          <cell r="CB125" t="e">
            <v>#NUM!</v>
          </cell>
          <cell r="CW125">
            <v>1.3765621991510601E-12</v>
          </cell>
          <cell r="DR125">
            <v>495.40598262857651</v>
          </cell>
          <cell r="EM125">
            <v>473.05379116269745</v>
          </cell>
          <cell r="FH125">
            <v>1.3525069634579169E-12</v>
          </cell>
          <cell r="GC125" t="e">
            <v>#NUM!</v>
          </cell>
          <cell r="GX125">
            <v>1.3765621991510601E-12</v>
          </cell>
        </row>
        <row r="126">
          <cell r="Q126">
            <v>1.978932943548152E-12</v>
          </cell>
          <cell r="AL126" t="e">
            <v>#NUM!</v>
          </cell>
          <cell r="BG126" t="e">
            <v>#NUM!</v>
          </cell>
          <cell r="CB126" t="e">
            <v>#NUM!</v>
          </cell>
          <cell r="CW126">
            <v>1.3765621991510601E-12</v>
          </cell>
          <cell r="DR126">
            <v>505.42880415532323</v>
          </cell>
          <cell r="EM126">
            <v>482.6233918117494</v>
          </cell>
          <cell r="FH126">
            <v>1.3525069634579169E-12</v>
          </cell>
          <cell r="GC126" t="e">
            <v>#NUM!</v>
          </cell>
          <cell r="GX126">
            <v>1.3765621991510601E-12</v>
          </cell>
        </row>
        <row r="127">
          <cell r="Q127">
            <v>1.978932943548152E-12</v>
          </cell>
          <cell r="AL127" t="e">
            <v>#NUM!</v>
          </cell>
          <cell r="BG127" t="e">
            <v>#NUM!</v>
          </cell>
          <cell r="CB127" t="e">
            <v>#NUM!</v>
          </cell>
          <cell r="CW127">
            <v>1.3765621991510601E-12</v>
          </cell>
          <cell r="DR127">
            <v>515.44742348183274</v>
          </cell>
          <cell r="EM127">
            <v>492.18896210119175</v>
          </cell>
          <cell r="FH127">
            <v>1.3525069634579169E-12</v>
          </cell>
          <cell r="GC127" t="e">
            <v>#NUM!</v>
          </cell>
          <cell r="GX127">
            <v>1.3765621991510601E-12</v>
          </cell>
        </row>
        <row r="128">
          <cell r="Q128">
            <v>1.978932943548152E-12</v>
          </cell>
          <cell r="AL128" t="e">
            <v>#NUM!</v>
          </cell>
          <cell r="BG128" t="e">
            <v>#NUM!</v>
          </cell>
          <cell r="CB128" t="e">
            <v>#NUM!</v>
          </cell>
          <cell r="CW128">
            <v>1.3765621991510601E-12</v>
          </cell>
          <cell r="DR128">
            <v>525.46193380622901</v>
          </cell>
          <cell r="EM128">
            <v>501.75059141799693</v>
          </cell>
          <cell r="FH128">
            <v>1.3525069634579169E-12</v>
          </cell>
          <cell r="GC128" t="e">
            <v>#NUM!</v>
          </cell>
          <cell r="GX128">
            <v>1.3765621991510601E-12</v>
          </cell>
        </row>
        <row r="129">
          <cell r="Q129">
            <v>1.978932943548152E-12</v>
          </cell>
          <cell r="AL129" t="e">
            <v>#NUM!</v>
          </cell>
          <cell r="BG129" t="e">
            <v>#NUM!</v>
          </cell>
          <cell r="CB129" t="e">
            <v>#NUM!</v>
          </cell>
          <cell r="CW129">
            <v>1.3765621991510601E-12</v>
          </cell>
          <cell r="DR129">
            <v>535.47242448427392</v>
          </cell>
          <cell r="EM129">
            <v>511.3083654639002</v>
          </cell>
          <cell r="FH129">
            <v>1.3525069634579169E-12</v>
          </cell>
          <cell r="GC129" t="e">
            <v>#NUM!</v>
          </cell>
          <cell r="GX129">
            <v>1.3765621991510601E-12</v>
          </cell>
        </row>
        <row r="130">
          <cell r="Q130">
            <v>1.978932943548152E-12</v>
          </cell>
          <cell r="AL130" t="e">
            <v>#NUM!</v>
          </cell>
          <cell r="BG130" t="e">
            <v>#NUM!</v>
          </cell>
          <cell r="CB130" t="e">
            <v>#NUM!</v>
          </cell>
          <cell r="CW130">
            <v>1.3765621991510601E-12</v>
          </cell>
          <cell r="DR130">
            <v>463.87721696856289</v>
          </cell>
          <cell r="EM130">
            <v>442.95059817632949</v>
          </cell>
          <cell r="FH130">
            <v>1.3525069634579169E-12</v>
          </cell>
          <cell r="GC130" t="e">
            <v>#NUM!</v>
          </cell>
          <cell r="GX130">
            <v>1.3765621991510601E-12</v>
          </cell>
        </row>
        <row r="131">
          <cell r="Q131">
            <v>1.978932943548152E-12</v>
          </cell>
          <cell r="AL131" t="e">
            <v>#NUM!</v>
          </cell>
          <cell r="BG131" t="e">
            <v>#NUM!</v>
          </cell>
          <cell r="CB131" t="e">
            <v>#NUM!</v>
          </cell>
          <cell r="CW131">
            <v>1.3765621991510601E-12</v>
          </cell>
          <cell r="DR131">
            <v>473.91389945026441</v>
          </cell>
          <cell r="EM131">
            <v>452.53349296412858</v>
          </cell>
          <cell r="FH131">
            <v>1.3525069634579169E-12</v>
          </cell>
          <cell r="GC131" t="e">
            <v>#NUM!</v>
          </cell>
          <cell r="GX131">
            <v>1.3765621991510601E-12</v>
          </cell>
        </row>
        <row r="132">
          <cell r="Q132">
            <v>1.978932943548152E-12</v>
          </cell>
          <cell r="AL132" t="e">
            <v>#NUM!</v>
          </cell>
          <cell r="BG132" t="e">
            <v>#NUM!</v>
          </cell>
          <cell r="CB132" t="e">
            <v>#NUM!</v>
          </cell>
          <cell r="CW132">
            <v>1.3765621991510601E-12</v>
          </cell>
          <cell r="DR132">
            <v>483.94605890429222</v>
          </cell>
          <cell r="EM132">
            <v>462.11204968448214</v>
          </cell>
          <cell r="FH132">
            <v>1.3525069634579169E-12</v>
          </cell>
          <cell r="GC132" t="e">
            <v>#NUM!</v>
          </cell>
          <cell r="GX132">
            <v>1.3765621991510601E-12</v>
          </cell>
        </row>
        <row r="133">
          <cell r="Q133">
            <v>1.978932943548152E-12</v>
          </cell>
          <cell r="AL133" t="e">
            <v>#NUM!</v>
          </cell>
          <cell r="BG133" t="e">
            <v>#NUM!</v>
          </cell>
          <cell r="CB133" t="e">
            <v>#NUM!</v>
          </cell>
          <cell r="CW133">
            <v>1.3765621991510601E-12</v>
          </cell>
          <cell r="DR133">
            <v>493.97380232550273</v>
          </cell>
          <cell r="EM133">
            <v>471.68637095690497</v>
          </cell>
          <cell r="FH133">
            <v>1.3525069634579169E-12</v>
          </cell>
          <cell r="GC133" t="e">
            <v>#NUM!</v>
          </cell>
          <cell r="GX133">
            <v>1.3765621991510601E-12</v>
          </cell>
        </row>
        <row r="134">
          <cell r="Q134">
            <v>1.978932943548152E-12</v>
          </cell>
          <cell r="AL134" t="e">
            <v>#NUM!</v>
          </cell>
          <cell r="BG134" t="e">
            <v>#NUM!</v>
          </cell>
          <cell r="CB134" t="e">
            <v>#NUM!</v>
          </cell>
          <cell r="CW134">
            <v>1.3765621991510601E-12</v>
          </cell>
          <cell r="DR134">
            <v>503.99723200983732</v>
          </cell>
          <cell r="EM134">
            <v>481.25655489414868</v>
          </cell>
          <cell r="FH134">
            <v>1.3525069634579169E-12</v>
          </cell>
          <cell r="GC134" t="e">
            <v>#NUM!</v>
          </cell>
          <cell r="GX134">
            <v>1.3765621991510601E-12</v>
          </cell>
        </row>
        <row r="135">
          <cell r="Q135">
            <v>1.978932943548152E-12</v>
          </cell>
          <cell r="AL135" t="e">
            <v>#NUM!</v>
          </cell>
          <cell r="BG135" t="e">
            <v>#NUM!</v>
          </cell>
          <cell r="CB135" t="e">
            <v>#NUM!</v>
          </cell>
          <cell r="CW135">
            <v>1.3765621991510601E-12</v>
          </cell>
          <cell r="DR135">
            <v>514.01644585203348</v>
          </cell>
          <cell r="EM135">
            <v>490.82269538774034</v>
          </cell>
          <cell r="FH135">
            <v>1.3525069634579169E-12</v>
          </cell>
          <cell r="GC135" t="e">
            <v>#NUM!</v>
          </cell>
          <cell r="GX135">
            <v>1.3765621991510601E-12</v>
          </cell>
        </row>
        <row r="136">
          <cell r="Q136">
            <v>1.978932943548152E-12</v>
          </cell>
          <cell r="AL136" t="e">
            <v>#NUM!</v>
          </cell>
          <cell r="BG136" t="e">
            <v>#NUM!</v>
          </cell>
          <cell r="CB136" t="e">
            <v>#NUM!</v>
          </cell>
          <cell r="CW136">
            <v>1.3765621991510601E-12</v>
          </cell>
          <cell r="DR136">
            <v>524.03153761891701</v>
          </cell>
          <cell r="EM136">
            <v>500.3848823700975</v>
          </cell>
          <cell r="FH136">
            <v>1.3525069634579169E-12</v>
          </cell>
          <cell r="GC136" t="e">
            <v>#NUM!</v>
          </cell>
          <cell r="GX136">
            <v>1.3765621991510601E-12</v>
          </cell>
        </row>
        <row r="137">
          <cell r="Q137">
            <v>1.978932943548152E-12</v>
          </cell>
          <cell r="AL137" t="e">
            <v>#NUM!</v>
          </cell>
          <cell r="BG137" t="e">
            <v>#NUM!</v>
          </cell>
          <cell r="CB137" t="e">
            <v>#NUM!</v>
          </cell>
          <cell r="CW137">
            <v>1.3765621991510601E-12</v>
          </cell>
          <cell r="DR137">
            <v>534.04259720071548</v>
          </cell>
          <cell r="EM137">
            <v>509.94320205556568</v>
          </cell>
          <cell r="FH137">
            <v>1.3525069634579169E-12</v>
          </cell>
          <cell r="GC137" t="e">
            <v>#NUM!</v>
          </cell>
          <cell r="GX137">
            <v>1.3765621991510601E-12</v>
          </cell>
        </row>
        <row r="138">
          <cell r="Q138">
            <v>1.978932943548152E-12</v>
          </cell>
          <cell r="AL138" t="e">
            <v>#NUM!</v>
          </cell>
          <cell r="BG138" t="e">
            <v>#NUM!</v>
          </cell>
          <cell r="CB138" t="e">
            <v>#NUM!</v>
          </cell>
          <cell r="CW138">
            <v>1.3765621991510601E-12</v>
          </cell>
          <cell r="DR138">
            <v>544.04971084254646</v>
          </cell>
          <cell r="EM138">
            <v>519.4977371624401</v>
          </cell>
          <cell r="FH138">
            <v>1.3525069634579169E-12</v>
          </cell>
          <cell r="GC138" t="e">
            <v>#NUM!</v>
          </cell>
          <cell r="GX138">
            <v>1.3765621991510601E-12</v>
          </cell>
        </row>
        <row r="139">
          <cell r="Q139">
            <v>1.978932943548152E-12</v>
          </cell>
          <cell r="AL139" t="e">
            <v>#NUM!</v>
          </cell>
          <cell r="BG139" t="e">
            <v>#NUM!</v>
          </cell>
          <cell r="CB139" t="e">
            <v>#NUM!</v>
          </cell>
          <cell r="CW139">
            <v>1.3765621991510601E-12</v>
          </cell>
          <cell r="DR139">
            <v>554.05296135799176</v>
          </cell>
          <cell r="EM139">
            <v>529.04856711780519</v>
          </cell>
          <cell r="FH139">
            <v>1.3525069634579169E-12</v>
          </cell>
          <cell r="GC139" t="e">
            <v>#NUM!</v>
          </cell>
          <cell r="GX139">
            <v>1.3765621991510601E-12</v>
          </cell>
        </row>
        <row r="140">
          <cell r="Q140">
            <v>1.978932943548152E-12</v>
          </cell>
          <cell r="AL140" t="e">
            <v>#NUM!</v>
          </cell>
          <cell r="BG140" t="e">
            <v>#NUM!</v>
          </cell>
          <cell r="CB140" t="e">
            <v>#NUM!</v>
          </cell>
          <cell r="CW140">
            <v>1.3765621991510601E-12</v>
          </cell>
          <cell r="DR140">
            <v>564.05242832644456</v>
          </cell>
          <cell r="EM140">
            <v>538.59576824681301</v>
          </cell>
          <cell r="FH140">
            <v>1.3525069634579169E-12</v>
          </cell>
          <cell r="GC140" t="e">
            <v>#NUM!</v>
          </cell>
          <cell r="GX140">
            <v>1.3765621991510601E-12</v>
          </cell>
        </row>
        <row r="141">
          <cell r="Q141">
            <v>1.978932943548152E-12</v>
          </cell>
          <cell r="AL141" t="e">
            <v>#NUM!</v>
          </cell>
          <cell r="BG141" t="e">
            <v>#NUM!</v>
          </cell>
          <cell r="CB141" t="e">
            <v>#NUM!</v>
          </cell>
          <cell r="CW141">
            <v>1.3765621991510601E-12</v>
          </cell>
          <cell r="DR141">
            <v>574.04818827573615</v>
          </cell>
          <cell r="EM141">
            <v>548.1394139478416</v>
          </cell>
          <cell r="FH141">
            <v>1.3525069634579169E-12</v>
          </cell>
          <cell r="GC141" t="e">
            <v>#NUM!</v>
          </cell>
          <cell r="GX141">
            <v>1.3765621991510601E-12</v>
          </cell>
        </row>
        <row r="142">
          <cell r="Q142">
            <v>1.978932943548152E-12</v>
          </cell>
          <cell r="AL142" t="e">
            <v>#NUM!</v>
          </cell>
          <cell r="BG142" t="e">
            <v>#NUM!</v>
          </cell>
          <cell r="CB142" t="e">
            <v>#NUM!</v>
          </cell>
          <cell r="CW142">
            <v>1.3765621991510601E-12</v>
          </cell>
          <cell r="DR142">
            <v>500.84747006717635</v>
          </cell>
          <cell r="EM142">
            <v>478.24922285252023</v>
          </cell>
          <cell r="FH142">
            <v>1.3525069634579169E-12</v>
          </cell>
          <cell r="GC142" t="e">
            <v>#NUM!</v>
          </cell>
          <cell r="GX142">
            <v>1.3765621991510601E-12</v>
          </cell>
        </row>
        <row r="143">
          <cell r="Q143">
            <v>1.978932943548152E-12</v>
          </cell>
          <cell r="AL143" t="e">
            <v>#NUM!</v>
          </cell>
          <cell r="BG143" t="e">
            <v>#NUM!</v>
          </cell>
          <cell r="CB143" t="e">
            <v>#NUM!</v>
          </cell>
          <cell r="CW143">
            <v>1.3765621991510601E-12</v>
          </cell>
          <cell r="DR143">
            <v>511.29735638985153</v>
          </cell>
          <cell r="EM143">
            <v>488.22656615238952</v>
          </cell>
          <cell r="FH143">
            <v>1.3525069634579169E-12</v>
          </cell>
          <cell r="GC143" t="e">
            <v>#NUM!</v>
          </cell>
          <cell r="GX143">
            <v>1.3765621991510601E-12</v>
          </cell>
        </row>
        <row r="144">
          <cell r="Q144">
            <v>1.978932943548152E-12</v>
          </cell>
          <cell r="AL144" t="e">
            <v>#NUM!</v>
          </cell>
          <cell r="BG144" t="e">
            <v>#NUM!</v>
          </cell>
          <cell r="CB144" t="e">
            <v>#NUM!</v>
          </cell>
          <cell r="CW144">
            <v>1.3765621991510601E-12</v>
          </cell>
          <cell r="DR144">
            <v>521.74273246270184</v>
          </cell>
          <cell r="EM144">
            <v>498.19958364013718</v>
          </cell>
          <cell r="FH144">
            <v>1.3525069634579169E-12</v>
          </cell>
          <cell r="GC144" t="e">
            <v>#NUM!</v>
          </cell>
          <cell r="GX144">
            <v>1.3765621991510601E-12</v>
          </cell>
        </row>
        <row r="145">
          <cell r="Q145">
            <v>1.978932943548152E-12</v>
          </cell>
          <cell r="AL145" t="e">
            <v>#NUM!</v>
          </cell>
          <cell r="BG145" t="e">
            <v>#NUM!</v>
          </cell>
          <cell r="CB145" t="e">
            <v>#NUM!</v>
          </cell>
          <cell r="CW145">
            <v>1.3765621991510601E-12</v>
          </cell>
          <cell r="DR145">
            <v>532.18370131230654</v>
          </cell>
          <cell r="EM145">
            <v>508.16837412927606</v>
          </cell>
          <cell r="FH145">
            <v>1.3525069634579169E-12</v>
          </cell>
          <cell r="GC145" t="e">
            <v>#NUM!</v>
          </cell>
          <cell r="GX145">
            <v>1.3765621991510601E-12</v>
          </cell>
        </row>
        <row r="146">
          <cell r="Q146">
            <v>1.978932943548152E-12</v>
          </cell>
          <cell r="AL146" t="e">
            <v>#NUM!</v>
          </cell>
          <cell r="BG146" t="e">
            <v>#NUM!</v>
          </cell>
          <cell r="CB146" t="e">
            <v>#NUM!</v>
          </cell>
          <cell r="CW146">
            <v>1.3765621991510601E-12</v>
          </cell>
          <cell r="DR146">
            <v>542.62036159297747</v>
          </cell>
          <cell r="EM146">
            <v>518.13303223984519</v>
          </cell>
          <cell r="FH146">
            <v>1.3525069634579169E-12</v>
          </cell>
          <cell r="GC146" t="e">
            <v>#NUM!</v>
          </cell>
          <cell r="GX146">
            <v>1.3765621991510601E-12</v>
          </cell>
        </row>
        <row r="147">
          <cell r="Q147">
            <v>1.978932943548152E-12</v>
          </cell>
          <cell r="AL147" t="e">
            <v>#NUM!</v>
          </cell>
          <cell r="BG147" t="e">
            <v>#NUM!</v>
          </cell>
          <cell r="CB147" t="e">
            <v>#NUM!</v>
          </cell>
          <cell r="CW147">
            <v>1.3765621991510601E-12</v>
          </cell>
          <cell r="DR147">
            <v>553.05280785462651</v>
          </cell>
          <cell r="EM147">
            <v>528.09364865532609</v>
          </cell>
          <cell r="FH147">
            <v>1.3525069634579169E-12</v>
          </cell>
          <cell r="GC147" t="e">
            <v>#NUM!</v>
          </cell>
          <cell r="GX147">
            <v>1.3765621991510601E-12</v>
          </cell>
        </row>
        <row r="148">
          <cell r="Q148">
            <v>1.978932943548152E-12</v>
          </cell>
          <cell r="AL148" t="e">
            <v>#NUM!</v>
          </cell>
          <cell r="BG148" t="e">
            <v>#NUM!</v>
          </cell>
          <cell r="CB148" t="e">
            <v>#NUM!</v>
          </cell>
          <cell r="CW148">
            <v>1.3765621991510601E-12</v>
          </cell>
          <cell r="DR148">
            <v>563.48113078937661</v>
          </cell>
          <cell r="EM148">
            <v>538.05031035916716</v>
          </cell>
          <cell r="FH148">
            <v>1.3525069634579169E-12</v>
          </cell>
          <cell r="GC148" t="e">
            <v>#NUM!</v>
          </cell>
          <cell r="GX148">
            <v>1.3765621991510601E-12</v>
          </cell>
        </row>
        <row r="149">
          <cell r="Q149">
            <v>1.978932943548152E-12</v>
          </cell>
          <cell r="AL149" t="e">
            <v>#NUM!</v>
          </cell>
          <cell r="BG149" t="e">
            <v>#NUM!</v>
          </cell>
          <cell r="CB149" t="e">
            <v>#NUM!</v>
          </cell>
          <cell r="CW149">
            <v>1.3765621991510601E-12</v>
          </cell>
          <cell r="DR149">
            <v>573.90541745896667</v>
          </cell>
          <cell r="EM149">
            <v>548.00310085289141</v>
          </cell>
          <cell r="FH149">
            <v>1.3525069634579169E-12</v>
          </cell>
          <cell r="GC149" t="e">
            <v>#NUM!</v>
          </cell>
          <cell r="GX149">
            <v>1.3765621991510601E-12</v>
          </cell>
        </row>
        <row r="150">
          <cell r="Q150">
            <v>1.978932943548152E-12</v>
          </cell>
          <cell r="AL150" t="e">
            <v>#NUM!</v>
          </cell>
          <cell r="BG150" t="e">
            <v>#NUM!</v>
          </cell>
          <cell r="CB150" t="e">
            <v>#NUM!</v>
          </cell>
          <cell r="CW150">
            <v>1.3765621991510601E-12</v>
          </cell>
          <cell r="DR150">
            <v>584.32575150478135</v>
          </cell>
          <cell r="EM150">
            <v>557.95210035753439</v>
          </cell>
          <cell r="FH150">
            <v>1.3525069634579169E-12</v>
          </cell>
          <cell r="GC150" t="e">
            <v>#NUM!</v>
          </cell>
          <cell r="GX150">
            <v>1.3765621991510601E-12</v>
          </cell>
        </row>
        <row r="151">
          <cell r="Q151">
            <v>1.978932943548152E-12</v>
          </cell>
          <cell r="AL151" t="e">
            <v>#NUM!</v>
          </cell>
          <cell r="BG151" t="e">
            <v>#NUM!</v>
          </cell>
          <cell r="CB151" t="e">
            <v>#NUM!</v>
          </cell>
          <cell r="CW151">
            <v>1.3765621991510601E-12</v>
          </cell>
          <cell r="DR151">
            <v>594.74221334211904</v>
          </cell>
          <cell r="EM151">
            <v>567.89738599997099</v>
          </cell>
          <cell r="FH151">
            <v>1.3525069634579169E-12</v>
          </cell>
          <cell r="GC151" t="e">
            <v>#NUM!</v>
          </cell>
          <cell r="GX151">
            <v>1.3765621991510601E-12</v>
          </cell>
        </row>
        <row r="152">
          <cell r="Q152">
            <v>1.978932943548152E-12</v>
          </cell>
          <cell r="AL152" t="e">
            <v>#NUM!</v>
          </cell>
          <cell r="BG152" t="e">
            <v>#NUM!</v>
          </cell>
          <cell r="CB152" t="e">
            <v>#NUM!</v>
          </cell>
          <cell r="CW152">
            <v>1.3765621991510601E-12</v>
          </cell>
          <cell r="DR152">
            <v>605.15488034014766</v>
          </cell>
          <cell r="EM152">
            <v>577.83903198551081</v>
          </cell>
          <cell r="FH152">
            <v>1.3525069634579169E-12</v>
          </cell>
          <cell r="GC152" t="e">
            <v>#NUM!</v>
          </cell>
          <cell r="GX152">
            <v>1.3765621991510601E-12</v>
          </cell>
        </row>
        <row r="153">
          <cell r="Q153">
            <v>1.978932943548152E-12</v>
          </cell>
          <cell r="AL153" t="e">
            <v>#NUM!</v>
          </cell>
          <cell r="BG153" t="e">
            <v>#NUM!</v>
          </cell>
          <cell r="CB153" t="e">
            <v>#NUM!</v>
          </cell>
          <cell r="CW153">
            <v>1.3765621991510601E-12</v>
          </cell>
          <cell r="DR153">
            <v>615.56382698883351</v>
          </cell>
          <cell r="EM153">
            <v>587.77710975800073</v>
          </cell>
          <cell r="FH153">
            <v>1.3525069634579169E-12</v>
          </cell>
          <cell r="GC153" t="e">
            <v>#NUM!</v>
          </cell>
          <cell r="GX153">
            <v>1.3765621991510601E-12</v>
          </cell>
        </row>
        <row r="154">
          <cell r="Q154">
            <v>1.978932943548152E-12</v>
          </cell>
          <cell r="AL154" t="e">
            <v>#NUM!</v>
          </cell>
          <cell r="BG154" t="e">
            <v>#NUM!</v>
          </cell>
          <cell r="CB154" t="e">
            <v>#NUM!</v>
          </cell>
          <cell r="CW154">
            <v>1.3765621991510601E-12</v>
          </cell>
          <cell r="DR154">
            <v>625.96912505399405</v>
          </cell>
          <cell r="EM154">
            <v>597.7116881485382</v>
          </cell>
          <cell r="FH154">
            <v>1.3525069634579169E-12</v>
          </cell>
          <cell r="GC154" t="e">
            <v>#NUM!</v>
          </cell>
          <cell r="GX154">
            <v>1.3765621991510601E-12</v>
          </cell>
        </row>
        <row r="155">
          <cell r="Q155">
            <v>1.978932943548152E-12</v>
          </cell>
          <cell r="AL155" t="e">
            <v>#NUM!</v>
          </cell>
          <cell r="BG155" t="e">
            <v>#NUM!</v>
          </cell>
          <cell r="CB155" t="e">
            <v>#NUM!</v>
          </cell>
          <cell r="CW155">
            <v>1.3765621991510601E-12</v>
          </cell>
          <cell r="DR155">
            <v>636.37084372151037</v>
          </cell>
          <cell r="EM155">
            <v>607.64283351378481</v>
          </cell>
          <cell r="FH155">
            <v>1.3525069634579169E-12</v>
          </cell>
          <cell r="GC155" t="e">
            <v>#NUM!</v>
          </cell>
          <cell r="GX155">
            <v>1.3765621991510601E-12</v>
          </cell>
        </row>
        <row r="156">
          <cell r="Q156">
            <v>1.978932943548152E-12</v>
          </cell>
          <cell r="AL156" t="e">
            <v>#NUM!</v>
          </cell>
          <cell r="BG156" t="e">
            <v>#NUM!</v>
          </cell>
          <cell r="CB156" t="e">
            <v>#NUM!</v>
          </cell>
          <cell r="CW156">
            <v>1.3765621991510601E-12</v>
          </cell>
          <cell r="DR156">
            <v>646.76904973162038</v>
          </cell>
          <cell r="EM156">
            <v>617.57060986476915</v>
          </cell>
          <cell r="FH156">
            <v>1.3525069634579169E-12</v>
          </cell>
          <cell r="GC156" t="e">
            <v>#NUM!</v>
          </cell>
          <cell r="GX156">
            <v>1.3765621991510601E-12</v>
          </cell>
        </row>
        <row r="157">
          <cell r="Q157">
            <v>1.978932943548152E-12</v>
          </cell>
          <cell r="AL157" t="e">
            <v>#NUM!</v>
          </cell>
          <cell r="BG157" t="e">
            <v>#NUM!</v>
          </cell>
          <cell r="CB157" t="e">
            <v>#NUM!</v>
          </cell>
          <cell r="CW157">
            <v>1.3765621991510601E-12</v>
          </cell>
          <cell r="DR157" t="e">
            <v>#NUM!</v>
          </cell>
          <cell r="EM157" t="e">
            <v>#NUM!</v>
          </cell>
          <cell r="FH157">
            <v>1.3525069634579169E-12</v>
          </cell>
          <cell r="GC157" t="e">
            <v>#NUM!</v>
          </cell>
          <cell r="GX157">
            <v>1.3765621991510601E-12</v>
          </cell>
        </row>
        <row r="158">
          <cell r="Q158">
            <v>1.978932943548152E-12</v>
          </cell>
          <cell r="AL158" t="e">
            <v>#NUM!</v>
          </cell>
          <cell r="BG158" t="e">
            <v>#NUM!</v>
          </cell>
          <cell r="CB158" t="e">
            <v>#NUM!</v>
          </cell>
          <cell r="CW158">
            <v>1.3765621991510601E-12</v>
          </cell>
          <cell r="DR158" t="e">
            <v>#NUM!</v>
          </cell>
          <cell r="EM158" t="e">
            <v>#NUM!</v>
          </cell>
          <cell r="FH158">
            <v>1.3525069634579169E-12</v>
          </cell>
          <cell r="GC158" t="e">
            <v>#NUM!</v>
          </cell>
          <cell r="GX158">
            <v>1.3765621991510601E-12</v>
          </cell>
        </row>
        <row r="159">
          <cell r="Q159">
            <v>1.978932943548152E-12</v>
          </cell>
          <cell r="AL159" t="e">
            <v>#NUM!</v>
          </cell>
          <cell r="BG159" t="e">
            <v>#NUM!</v>
          </cell>
          <cell r="CB159" t="e">
            <v>#NUM!</v>
          </cell>
          <cell r="CW159">
            <v>1.3765621991510601E-12</v>
          </cell>
          <cell r="DR159" t="e">
            <v>#NUM!</v>
          </cell>
          <cell r="EM159" t="e">
            <v>#NUM!</v>
          </cell>
          <cell r="FH159">
            <v>1.3525069634579169E-12</v>
          </cell>
          <cell r="GC159" t="e">
            <v>#NUM!</v>
          </cell>
          <cell r="GX159">
            <v>1.3765621991510601E-12</v>
          </cell>
        </row>
        <row r="160">
          <cell r="Q160">
            <v>1.978932943548152E-12</v>
          </cell>
          <cell r="AL160" t="e">
            <v>#NUM!</v>
          </cell>
          <cell r="BG160" t="e">
            <v>#NUM!</v>
          </cell>
          <cell r="CB160" t="e">
            <v>#NUM!</v>
          </cell>
          <cell r="CW160">
            <v>1.3765621991510601E-12</v>
          </cell>
          <cell r="DR160" t="e">
            <v>#NUM!</v>
          </cell>
          <cell r="EM160" t="e">
            <v>#NUM!</v>
          </cell>
          <cell r="FH160">
            <v>1.3525069634579169E-12</v>
          </cell>
          <cell r="GC160" t="e">
            <v>#NUM!</v>
          </cell>
          <cell r="GX160">
            <v>1.3765621991510601E-12</v>
          </cell>
        </row>
        <row r="161">
          <cell r="Q161">
            <v>1.978932943548152E-12</v>
          </cell>
          <cell r="AL161" t="e">
            <v>#NUM!</v>
          </cell>
          <cell r="BG161" t="e">
            <v>#NUM!</v>
          </cell>
          <cell r="CB161" t="e">
            <v>#NUM!</v>
          </cell>
          <cell r="CW161">
            <v>1.3765621991510601E-12</v>
          </cell>
          <cell r="DR161" t="e">
            <v>#NUM!</v>
          </cell>
          <cell r="EM161" t="e">
            <v>#NUM!</v>
          </cell>
          <cell r="FH161">
            <v>1.3525069634579169E-12</v>
          </cell>
          <cell r="GC161" t="e">
            <v>#NUM!</v>
          </cell>
          <cell r="GX161">
            <v>1.3765621991510601E-12</v>
          </cell>
        </row>
        <row r="162">
          <cell r="Q162">
            <v>1.978932943548152E-12</v>
          </cell>
          <cell r="AL162" t="e">
            <v>#NUM!</v>
          </cell>
          <cell r="BG162" t="e">
            <v>#NUM!</v>
          </cell>
          <cell r="CB162" t="e">
            <v>#NUM!</v>
          </cell>
          <cell r="CW162">
            <v>1.3765621991510601E-12</v>
          </cell>
          <cell r="DR162" t="e">
            <v>#NUM!</v>
          </cell>
          <cell r="EM162" t="e">
            <v>#NUM!</v>
          </cell>
          <cell r="FH162">
            <v>1.3525069634579169E-12</v>
          </cell>
          <cell r="GC162" t="e">
            <v>#NUM!</v>
          </cell>
          <cell r="GX162">
            <v>1.3765621991510601E-12</v>
          </cell>
        </row>
        <row r="163">
          <cell r="Q163">
            <v>1.978932943548152E-12</v>
          </cell>
          <cell r="AL163" t="e">
            <v>#NUM!</v>
          </cell>
          <cell r="BG163" t="e">
            <v>#NUM!</v>
          </cell>
          <cell r="CB163" t="e">
            <v>#NUM!</v>
          </cell>
          <cell r="CW163">
            <v>1.3765621991510601E-12</v>
          </cell>
          <cell r="DR163" t="e">
            <v>#NUM!</v>
          </cell>
          <cell r="EM163" t="e">
            <v>#NUM!</v>
          </cell>
          <cell r="FH163">
            <v>1.3525069634579169E-12</v>
          </cell>
          <cell r="GC163" t="e">
            <v>#NUM!</v>
          </cell>
          <cell r="GX163">
            <v>1.3765621991510601E-12</v>
          </cell>
        </row>
        <row r="164">
          <cell r="Q164">
            <v>1.978932943548152E-12</v>
          </cell>
          <cell r="AL164" t="e">
            <v>#NUM!</v>
          </cell>
          <cell r="BG164" t="e">
            <v>#NUM!</v>
          </cell>
          <cell r="CB164" t="e">
            <v>#NUM!</v>
          </cell>
          <cell r="CW164">
            <v>1.3765621991510601E-12</v>
          </cell>
          <cell r="DR164" t="e">
            <v>#NUM!</v>
          </cell>
          <cell r="EM164" t="e">
            <v>#NUM!</v>
          </cell>
          <cell r="FH164">
            <v>1.3525069634579169E-12</v>
          </cell>
          <cell r="GC164" t="e">
            <v>#NUM!</v>
          </cell>
          <cell r="GX164">
            <v>1.3765621991510601E-12</v>
          </cell>
        </row>
        <row r="165">
          <cell r="Q165">
            <v>1.978932943548152E-12</v>
          </cell>
          <cell r="AL165" t="e">
            <v>#NUM!</v>
          </cell>
          <cell r="BG165" t="e">
            <v>#NUM!</v>
          </cell>
          <cell r="CB165" t="e">
            <v>#NUM!</v>
          </cell>
          <cell r="CW165">
            <v>1.3765621991510601E-12</v>
          </cell>
          <cell r="DR165" t="e">
            <v>#NUM!</v>
          </cell>
          <cell r="EM165" t="e">
            <v>#NUM!</v>
          </cell>
          <cell r="FH165">
            <v>1.3525069634579169E-12</v>
          </cell>
          <cell r="GC165" t="e">
            <v>#NUM!</v>
          </cell>
          <cell r="GX165">
            <v>1.3765621991510601E-12</v>
          </cell>
        </row>
        <row r="166">
          <cell r="Q166">
            <v>1.978932943548152E-12</v>
          </cell>
          <cell r="AL166" t="e">
            <v>#NUM!</v>
          </cell>
          <cell r="BG166" t="e">
            <v>#NUM!</v>
          </cell>
          <cell r="CB166" t="e">
            <v>#NUM!</v>
          </cell>
          <cell r="CW166">
            <v>1.3765621991510601E-12</v>
          </cell>
          <cell r="DR166" t="e">
            <v>#NUM!</v>
          </cell>
          <cell r="EM166" t="e">
            <v>#NUM!</v>
          </cell>
          <cell r="FH166">
            <v>1.3525069634579169E-12</v>
          </cell>
          <cell r="GC166" t="e">
            <v>#NUM!</v>
          </cell>
          <cell r="GX166">
            <v>1.3765621991510601E-12</v>
          </cell>
        </row>
        <row r="167">
          <cell r="Q167">
            <v>1.978932943548152E-12</v>
          </cell>
          <cell r="AL167" t="e">
            <v>#NUM!</v>
          </cell>
          <cell r="BG167" t="e">
            <v>#NUM!</v>
          </cell>
          <cell r="CB167" t="e">
            <v>#NUM!</v>
          </cell>
          <cell r="CW167">
            <v>1.3765621991510601E-12</v>
          </cell>
          <cell r="DR167" t="e">
            <v>#NUM!</v>
          </cell>
          <cell r="EM167" t="e">
            <v>#NUM!</v>
          </cell>
          <cell r="FH167">
            <v>1.3525069634579169E-12</v>
          </cell>
          <cell r="GC167" t="e">
            <v>#NUM!</v>
          </cell>
          <cell r="GX167">
            <v>1.3765621991510601E-12</v>
          </cell>
        </row>
        <row r="168">
          <cell r="Q168">
            <v>1.978932943548152E-12</v>
          </cell>
          <cell r="AL168" t="e">
            <v>#NUM!</v>
          </cell>
          <cell r="BG168" t="e">
            <v>#NUM!</v>
          </cell>
          <cell r="CB168" t="e">
            <v>#NUM!</v>
          </cell>
          <cell r="CW168">
            <v>1.3765621991510601E-12</v>
          </cell>
          <cell r="DR168" t="e">
            <v>#NUM!</v>
          </cell>
          <cell r="EM168" t="e">
            <v>#NUM!</v>
          </cell>
          <cell r="FH168">
            <v>1.3525069634579169E-12</v>
          </cell>
          <cell r="GC168" t="e">
            <v>#NUM!</v>
          </cell>
          <cell r="GX168">
            <v>1.3765621991510601E-12</v>
          </cell>
        </row>
        <row r="169">
          <cell r="Q169">
            <v>1.978932943548152E-12</v>
          </cell>
          <cell r="AL169" t="e">
            <v>#NUM!</v>
          </cell>
          <cell r="BG169" t="e">
            <v>#NUM!</v>
          </cell>
          <cell r="CB169" t="e">
            <v>#NUM!</v>
          </cell>
          <cell r="CW169">
            <v>1.3765621991510601E-12</v>
          </cell>
          <cell r="DR169" t="e">
            <v>#NUM!</v>
          </cell>
          <cell r="EM169" t="e">
            <v>#NUM!</v>
          </cell>
          <cell r="FH169">
            <v>1.3525069634579169E-12</v>
          </cell>
          <cell r="GC169" t="e">
            <v>#NUM!</v>
          </cell>
          <cell r="GX169">
            <v>1.3765621991510601E-12</v>
          </cell>
        </row>
        <row r="170">
          <cell r="Q170">
            <v>1.978932943548152E-12</v>
          </cell>
          <cell r="AL170" t="e">
            <v>#NUM!</v>
          </cell>
          <cell r="BG170" t="e">
            <v>#NUM!</v>
          </cell>
          <cell r="CB170" t="e">
            <v>#NUM!</v>
          </cell>
          <cell r="CW170">
            <v>1.3765621991510601E-12</v>
          </cell>
          <cell r="DR170" t="e">
            <v>#NUM!</v>
          </cell>
          <cell r="EM170" t="e">
            <v>#NUM!</v>
          </cell>
          <cell r="FH170">
            <v>1.3525069634579169E-12</v>
          </cell>
          <cell r="GC170" t="e">
            <v>#NUM!</v>
          </cell>
          <cell r="GX170">
            <v>1.3765621991510601E-12</v>
          </cell>
        </row>
        <row r="171">
          <cell r="Q171">
            <v>1.978932943548152E-12</v>
          </cell>
          <cell r="AL171" t="e">
            <v>#NUM!</v>
          </cell>
          <cell r="BG171" t="e">
            <v>#NUM!</v>
          </cell>
          <cell r="CB171" t="e">
            <v>#NUM!</v>
          </cell>
          <cell r="CW171">
            <v>1.3765621991510601E-12</v>
          </cell>
          <cell r="DR171" t="e">
            <v>#NUM!</v>
          </cell>
          <cell r="EM171" t="e">
            <v>#NUM!</v>
          </cell>
          <cell r="FH171">
            <v>1.3525069634579169E-12</v>
          </cell>
          <cell r="GC171" t="e">
            <v>#NUM!</v>
          </cell>
          <cell r="GX171">
            <v>1.3765621991510601E-12</v>
          </cell>
        </row>
        <row r="172">
          <cell r="Q172">
            <v>1.978932943548152E-12</v>
          </cell>
          <cell r="AL172" t="e">
            <v>#NUM!</v>
          </cell>
          <cell r="BG172" t="e">
            <v>#NUM!</v>
          </cell>
          <cell r="CB172" t="e">
            <v>#NUM!</v>
          </cell>
          <cell r="CW172">
            <v>1.3765621991510601E-12</v>
          </cell>
          <cell r="DR172" t="e">
            <v>#NUM!</v>
          </cell>
          <cell r="EM172" t="e">
            <v>#NUM!</v>
          </cell>
          <cell r="FH172">
            <v>1.3525069634579169E-12</v>
          </cell>
          <cell r="GC172" t="e">
            <v>#NUM!</v>
          </cell>
          <cell r="GX172">
            <v>1.3765621991510601E-12</v>
          </cell>
        </row>
        <row r="173">
          <cell r="Q173">
            <v>1.978932943548152E-12</v>
          </cell>
          <cell r="AL173" t="e">
            <v>#NUM!</v>
          </cell>
          <cell r="BG173" t="e">
            <v>#NUM!</v>
          </cell>
          <cell r="CB173" t="e">
            <v>#NUM!</v>
          </cell>
          <cell r="CW173">
            <v>1.3765621991510601E-12</v>
          </cell>
          <cell r="DR173" t="e">
            <v>#NUM!</v>
          </cell>
          <cell r="EM173" t="e">
            <v>#NUM!</v>
          </cell>
          <cell r="FH173">
            <v>1.3525069634579169E-12</v>
          </cell>
          <cell r="GC173" t="e">
            <v>#NUM!</v>
          </cell>
          <cell r="GX173">
            <v>1.3765621991510601E-12</v>
          </cell>
        </row>
        <row r="174">
          <cell r="Q174">
            <v>1.978932943548152E-12</v>
          </cell>
          <cell r="AL174" t="e">
            <v>#NUM!</v>
          </cell>
          <cell r="BG174" t="e">
            <v>#NUM!</v>
          </cell>
          <cell r="CB174" t="e">
            <v>#NUM!</v>
          </cell>
          <cell r="CW174">
            <v>1.3765621991510601E-12</v>
          </cell>
          <cell r="DR174" t="e">
            <v>#NUM!</v>
          </cell>
          <cell r="EM174" t="e">
            <v>#NUM!</v>
          </cell>
          <cell r="FH174">
            <v>1.3525069634579169E-12</v>
          </cell>
          <cell r="GC174" t="e">
            <v>#NUM!</v>
          </cell>
          <cell r="GX174">
            <v>1.3765621991510601E-12</v>
          </cell>
        </row>
        <row r="175">
          <cell r="Q175">
            <v>1.978932943548152E-12</v>
          </cell>
          <cell r="AL175" t="e">
            <v>#NUM!</v>
          </cell>
          <cell r="BG175" t="e">
            <v>#NUM!</v>
          </cell>
          <cell r="CB175" t="e">
            <v>#NUM!</v>
          </cell>
          <cell r="CW175">
            <v>1.3765621991510601E-12</v>
          </cell>
          <cell r="DR175" t="e">
            <v>#NUM!</v>
          </cell>
          <cell r="EM175" t="e">
            <v>#NUM!</v>
          </cell>
          <cell r="FH175">
            <v>1.3525069634579169E-12</v>
          </cell>
          <cell r="GC175" t="e">
            <v>#NUM!</v>
          </cell>
          <cell r="GX175">
            <v>1.3765621991510601E-12</v>
          </cell>
        </row>
        <row r="176">
          <cell r="Q176">
            <v>1.978932943548152E-12</v>
          </cell>
          <cell r="AL176" t="e">
            <v>#NUM!</v>
          </cell>
          <cell r="BG176" t="e">
            <v>#NUM!</v>
          </cell>
          <cell r="CB176" t="e">
            <v>#NUM!</v>
          </cell>
          <cell r="CW176">
            <v>1.3765621991510601E-12</v>
          </cell>
          <cell r="DR176" t="e">
            <v>#NUM!</v>
          </cell>
          <cell r="EM176" t="e">
            <v>#NUM!</v>
          </cell>
          <cell r="FH176">
            <v>1.3525069634579169E-12</v>
          </cell>
          <cell r="GC176" t="e">
            <v>#NUM!</v>
          </cell>
          <cell r="GX176">
            <v>1.3765621991510601E-12</v>
          </cell>
        </row>
        <row r="177">
          <cell r="Q177">
            <v>1.978932943548152E-12</v>
          </cell>
          <cell r="AL177" t="e">
            <v>#NUM!</v>
          </cell>
          <cell r="BG177" t="e">
            <v>#NUM!</v>
          </cell>
          <cell r="CB177" t="e">
            <v>#NUM!</v>
          </cell>
          <cell r="CW177">
            <v>1.3765621991510601E-12</v>
          </cell>
          <cell r="DR177" t="e">
            <v>#NUM!</v>
          </cell>
          <cell r="EM177" t="e">
            <v>#NUM!</v>
          </cell>
          <cell r="FH177">
            <v>1.3525069634579169E-12</v>
          </cell>
          <cell r="GC177" t="e">
            <v>#NUM!</v>
          </cell>
          <cell r="GX177">
            <v>1.3765621991510601E-12</v>
          </cell>
        </row>
        <row r="178">
          <cell r="Q178">
            <v>1.978932943548152E-12</v>
          </cell>
          <cell r="AL178" t="e">
            <v>#NUM!</v>
          </cell>
          <cell r="BG178" t="e">
            <v>#NUM!</v>
          </cell>
          <cell r="CB178" t="e">
            <v>#NUM!</v>
          </cell>
          <cell r="CW178">
            <v>1.3765621991510601E-12</v>
          </cell>
          <cell r="DR178" t="e">
            <v>#NUM!</v>
          </cell>
          <cell r="EM178" t="e">
            <v>#NUM!</v>
          </cell>
          <cell r="FH178">
            <v>1.3525069634579169E-12</v>
          </cell>
          <cell r="GC178" t="e">
            <v>#NUM!</v>
          </cell>
          <cell r="GX178">
            <v>1.3765621991510601E-12</v>
          </cell>
        </row>
        <row r="179">
          <cell r="Q179">
            <v>1.978932943548152E-12</v>
          </cell>
          <cell r="AL179" t="e">
            <v>#NUM!</v>
          </cell>
          <cell r="BG179" t="e">
            <v>#NUM!</v>
          </cell>
          <cell r="CB179" t="e">
            <v>#NUM!</v>
          </cell>
          <cell r="CW179">
            <v>1.3765621991510601E-12</v>
          </cell>
          <cell r="DR179" t="e">
            <v>#NUM!</v>
          </cell>
          <cell r="EM179" t="e">
            <v>#NUM!</v>
          </cell>
          <cell r="FH179">
            <v>1.3525069634579169E-12</v>
          </cell>
          <cell r="GC179" t="e">
            <v>#NUM!</v>
          </cell>
          <cell r="GX179">
            <v>1.3765621991510601E-12</v>
          </cell>
        </row>
        <row r="180">
          <cell r="Q180">
            <v>1.978932943548152E-12</v>
          </cell>
          <cell r="AL180" t="e">
            <v>#NUM!</v>
          </cell>
          <cell r="BG180" t="e">
            <v>#NUM!</v>
          </cell>
          <cell r="CB180" t="e">
            <v>#NUM!</v>
          </cell>
          <cell r="CW180">
            <v>1.3765621991510601E-12</v>
          </cell>
          <cell r="DR180" t="e">
            <v>#NUM!</v>
          </cell>
          <cell r="EM180" t="e">
            <v>#NUM!</v>
          </cell>
          <cell r="FH180">
            <v>1.3525069634579169E-12</v>
          </cell>
          <cell r="GC180" t="e">
            <v>#NUM!</v>
          </cell>
          <cell r="GX180">
            <v>1.3765621991510601E-12</v>
          </cell>
        </row>
        <row r="181">
          <cell r="Q181">
            <v>1.978932943548152E-12</v>
          </cell>
          <cell r="AL181" t="e">
            <v>#NUM!</v>
          </cell>
          <cell r="BG181" t="e">
            <v>#NUM!</v>
          </cell>
          <cell r="CB181" t="e">
            <v>#NUM!</v>
          </cell>
          <cell r="CW181">
            <v>1.3765621991510601E-12</v>
          </cell>
          <cell r="DR181" t="e">
            <v>#NUM!</v>
          </cell>
          <cell r="EM181" t="e">
            <v>#NUM!</v>
          </cell>
          <cell r="FH181">
            <v>1.3525069634579169E-12</v>
          </cell>
          <cell r="GC181" t="e">
            <v>#NUM!</v>
          </cell>
          <cell r="GX181">
            <v>1.3765621991510601E-12</v>
          </cell>
        </row>
        <row r="182">
          <cell r="Q182">
            <v>1.978932943548152E-12</v>
          </cell>
          <cell r="AL182" t="e">
            <v>#NUM!</v>
          </cell>
          <cell r="BG182" t="e">
            <v>#NUM!</v>
          </cell>
          <cell r="CB182" t="e">
            <v>#NUM!</v>
          </cell>
          <cell r="CW182">
            <v>1.3765621991510601E-12</v>
          </cell>
          <cell r="DR182" t="e">
            <v>#NUM!</v>
          </cell>
          <cell r="EM182" t="e">
            <v>#NUM!</v>
          </cell>
          <cell r="FH182">
            <v>1.3525069634579169E-12</v>
          </cell>
          <cell r="GC182" t="e">
            <v>#NUM!</v>
          </cell>
          <cell r="GX182">
            <v>1.3765621991510601E-12</v>
          </cell>
        </row>
        <row r="183">
          <cell r="Q183">
            <v>1.978932943548152E-12</v>
          </cell>
          <cell r="AL183" t="e">
            <v>#NUM!</v>
          </cell>
          <cell r="BG183" t="e">
            <v>#NUM!</v>
          </cell>
          <cell r="CB183" t="e">
            <v>#NUM!</v>
          </cell>
          <cell r="CW183">
            <v>1.3765621991510601E-12</v>
          </cell>
          <cell r="DR183" t="e">
            <v>#NUM!</v>
          </cell>
          <cell r="EM183" t="e">
            <v>#NUM!</v>
          </cell>
          <cell r="FH183">
            <v>1.3525069634579169E-12</v>
          </cell>
          <cell r="GC183" t="e">
            <v>#NUM!</v>
          </cell>
          <cell r="GX183">
            <v>1.3765621991510601E-12</v>
          </cell>
        </row>
        <row r="184">
          <cell r="Q184">
            <v>1.978932943548152E-12</v>
          </cell>
          <cell r="AL184" t="e">
            <v>#NUM!</v>
          </cell>
          <cell r="BG184" t="e">
            <v>#NUM!</v>
          </cell>
          <cell r="CB184" t="e">
            <v>#NUM!</v>
          </cell>
          <cell r="CW184">
            <v>1.3765621991510601E-12</v>
          </cell>
          <cell r="DR184" t="e">
            <v>#NUM!</v>
          </cell>
          <cell r="EM184" t="e">
            <v>#NUM!</v>
          </cell>
          <cell r="FH184">
            <v>1.3525069634579169E-12</v>
          </cell>
          <cell r="GC184" t="e">
            <v>#NUM!</v>
          </cell>
          <cell r="GX184">
            <v>1.3765621991510601E-12</v>
          </cell>
        </row>
        <row r="185">
          <cell r="Q185">
            <v>1.978932943548152E-12</v>
          </cell>
          <cell r="AL185" t="e">
            <v>#NUM!</v>
          </cell>
          <cell r="BG185" t="e">
            <v>#NUM!</v>
          </cell>
          <cell r="CB185" t="e">
            <v>#NUM!</v>
          </cell>
          <cell r="CW185">
            <v>1.3765621991510601E-12</v>
          </cell>
          <cell r="DR185" t="e">
            <v>#NUM!</v>
          </cell>
          <cell r="EM185" t="e">
            <v>#NUM!</v>
          </cell>
          <cell r="FH185">
            <v>1.3525069634579169E-12</v>
          </cell>
          <cell r="GC185" t="e">
            <v>#NUM!</v>
          </cell>
          <cell r="GX185">
            <v>1.3765621991510601E-12</v>
          </cell>
        </row>
        <row r="186">
          <cell r="Q186">
            <v>1.978932943548152E-12</v>
          </cell>
          <cell r="AL186" t="e">
            <v>#NUM!</v>
          </cell>
          <cell r="BG186" t="e">
            <v>#NUM!</v>
          </cell>
          <cell r="CB186" t="e">
            <v>#NUM!</v>
          </cell>
          <cell r="CW186">
            <v>1.3765621991510601E-12</v>
          </cell>
          <cell r="DR186" t="e">
            <v>#NUM!</v>
          </cell>
          <cell r="EM186" t="e">
            <v>#NUM!</v>
          </cell>
          <cell r="FH186">
            <v>1.3525069634579169E-12</v>
          </cell>
          <cell r="GC186" t="e">
            <v>#NUM!</v>
          </cell>
          <cell r="GX186">
            <v>1.3765621991510601E-12</v>
          </cell>
        </row>
        <row r="187">
          <cell r="Q187">
            <v>1.978932943548152E-12</v>
          </cell>
          <cell r="AL187" t="e">
            <v>#NUM!</v>
          </cell>
          <cell r="BG187" t="e">
            <v>#NUM!</v>
          </cell>
          <cell r="CB187" t="e">
            <v>#NUM!</v>
          </cell>
          <cell r="CW187">
            <v>1.3765621991510601E-12</v>
          </cell>
          <cell r="DR187" t="e">
            <v>#NUM!</v>
          </cell>
          <cell r="EM187" t="e">
            <v>#NUM!</v>
          </cell>
          <cell r="FH187">
            <v>1.3525069634579169E-12</v>
          </cell>
          <cell r="GC187" t="e">
            <v>#NUM!</v>
          </cell>
          <cell r="GX187">
            <v>1.3765621991510601E-12</v>
          </cell>
        </row>
        <row r="188">
          <cell r="Q188">
            <v>1.978932943548152E-12</v>
          </cell>
          <cell r="AL188" t="e">
            <v>#NUM!</v>
          </cell>
          <cell r="BG188" t="e">
            <v>#NUM!</v>
          </cell>
          <cell r="CB188" t="e">
            <v>#NUM!</v>
          </cell>
          <cell r="CW188">
            <v>1.3765621991510601E-12</v>
          </cell>
          <cell r="DR188" t="e">
            <v>#NUM!</v>
          </cell>
          <cell r="EM188" t="e">
            <v>#NUM!</v>
          </cell>
          <cell r="FH188">
            <v>1.3525069634579169E-12</v>
          </cell>
          <cell r="GC188" t="e">
            <v>#NUM!</v>
          </cell>
          <cell r="GX188">
            <v>1.3765621991510601E-12</v>
          </cell>
        </row>
        <row r="189">
          <cell r="Q189">
            <v>1.978932943548152E-12</v>
          </cell>
          <cell r="AL189" t="e">
            <v>#NUM!</v>
          </cell>
          <cell r="BG189" t="e">
            <v>#NUM!</v>
          </cell>
          <cell r="CB189" t="e">
            <v>#NUM!</v>
          </cell>
          <cell r="CW189">
            <v>1.3765621991510601E-12</v>
          </cell>
          <cell r="DR189" t="e">
            <v>#NUM!</v>
          </cell>
          <cell r="EM189" t="e">
            <v>#NUM!</v>
          </cell>
          <cell r="FH189">
            <v>1.3525069634579169E-12</v>
          </cell>
          <cell r="GC189" t="e">
            <v>#NUM!</v>
          </cell>
          <cell r="GX189">
            <v>1.3765621991510601E-12</v>
          </cell>
        </row>
        <row r="190">
          <cell r="Q190">
            <v>1.978932943548152E-12</v>
          </cell>
          <cell r="AL190" t="e">
            <v>#NUM!</v>
          </cell>
          <cell r="BG190" t="e">
            <v>#NUM!</v>
          </cell>
          <cell r="CB190" t="e">
            <v>#NUM!</v>
          </cell>
          <cell r="CW190">
            <v>1.3765621991510601E-12</v>
          </cell>
          <cell r="DR190" t="e">
            <v>#NUM!</v>
          </cell>
          <cell r="EM190" t="e">
            <v>#NUM!</v>
          </cell>
          <cell r="FH190">
            <v>1.3525069634579169E-12</v>
          </cell>
          <cell r="GC190" t="e">
            <v>#NUM!</v>
          </cell>
          <cell r="GX190">
            <v>1.3765621991510601E-12</v>
          </cell>
        </row>
        <row r="191">
          <cell r="Q191">
            <v>1.978932943548152E-12</v>
          </cell>
          <cell r="AL191" t="e">
            <v>#NUM!</v>
          </cell>
          <cell r="BG191" t="e">
            <v>#NUM!</v>
          </cell>
          <cell r="CB191" t="e">
            <v>#NUM!</v>
          </cell>
          <cell r="CW191">
            <v>1.3765621991510601E-12</v>
          </cell>
          <cell r="DR191" t="e">
            <v>#NUM!</v>
          </cell>
          <cell r="EM191" t="e">
            <v>#NUM!</v>
          </cell>
          <cell r="FH191">
            <v>1.3525069634579169E-12</v>
          </cell>
          <cell r="GC191" t="e">
            <v>#NUM!</v>
          </cell>
          <cell r="GX191">
            <v>1.3765621991510601E-12</v>
          </cell>
        </row>
        <row r="192">
          <cell r="Q192">
            <v>1.978932943548152E-12</v>
          </cell>
          <cell r="AL192" t="e">
            <v>#NUM!</v>
          </cell>
          <cell r="BG192" t="e">
            <v>#NUM!</v>
          </cell>
          <cell r="CB192" t="e">
            <v>#NUM!</v>
          </cell>
          <cell r="CW192">
            <v>1.3765621991510601E-12</v>
          </cell>
          <cell r="DR192" t="e">
            <v>#NUM!</v>
          </cell>
          <cell r="EM192" t="e">
            <v>#NUM!</v>
          </cell>
          <cell r="FH192">
            <v>1.3525069634579169E-12</v>
          </cell>
          <cell r="GC192" t="e">
            <v>#NUM!</v>
          </cell>
          <cell r="GX192">
            <v>1.3765621991510601E-12</v>
          </cell>
        </row>
        <row r="193">
          <cell r="Q193">
            <v>1.978932943548152E-12</v>
          </cell>
          <cell r="AL193" t="e">
            <v>#NUM!</v>
          </cell>
          <cell r="BG193" t="e">
            <v>#NUM!</v>
          </cell>
          <cell r="CB193" t="e">
            <v>#NUM!</v>
          </cell>
          <cell r="CW193">
            <v>1.3765621991510601E-12</v>
          </cell>
          <cell r="DR193" t="e">
            <v>#NUM!</v>
          </cell>
          <cell r="EM193" t="e">
            <v>#NUM!</v>
          </cell>
          <cell r="FH193">
            <v>1.3525069634579169E-12</v>
          </cell>
          <cell r="GC193" t="e">
            <v>#NUM!</v>
          </cell>
          <cell r="GX193">
            <v>1.3765621991510601E-12</v>
          </cell>
        </row>
        <row r="194">
          <cell r="Q194">
            <v>1.978932943548152E-12</v>
          </cell>
          <cell r="AL194" t="e">
            <v>#NUM!</v>
          </cell>
          <cell r="BG194" t="e">
            <v>#NUM!</v>
          </cell>
          <cell r="CB194" t="e">
            <v>#NUM!</v>
          </cell>
          <cell r="CW194">
            <v>1.3765621991510601E-12</v>
          </cell>
          <cell r="DR194" t="e">
            <v>#NUM!</v>
          </cell>
          <cell r="EM194" t="e">
            <v>#NUM!</v>
          </cell>
          <cell r="FH194">
            <v>1.3525069634579169E-12</v>
          </cell>
          <cell r="GC194" t="e">
            <v>#NUM!</v>
          </cell>
          <cell r="GX194">
            <v>1.3765621991510601E-12</v>
          </cell>
        </row>
        <row r="195">
          <cell r="Q195">
            <v>1.978932943548152E-12</v>
          </cell>
          <cell r="AL195" t="e">
            <v>#NUM!</v>
          </cell>
          <cell r="BG195" t="e">
            <v>#NUM!</v>
          </cell>
          <cell r="CB195" t="e">
            <v>#NUM!</v>
          </cell>
          <cell r="CW195">
            <v>1.3765621991510601E-12</v>
          </cell>
          <cell r="DR195" t="e">
            <v>#NUM!</v>
          </cell>
          <cell r="EM195" t="e">
            <v>#NUM!</v>
          </cell>
          <cell r="FH195">
            <v>1.3525069634579169E-12</v>
          </cell>
          <cell r="GC195" t="e">
            <v>#NUM!</v>
          </cell>
          <cell r="GX195">
            <v>1.3765621991510601E-12</v>
          </cell>
        </row>
        <row r="196">
          <cell r="Q196">
            <v>1.978932943548152E-12</v>
          </cell>
          <cell r="AL196" t="e">
            <v>#NUM!</v>
          </cell>
          <cell r="BG196" t="e">
            <v>#NUM!</v>
          </cell>
          <cell r="CB196" t="e">
            <v>#NUM!</v>
          </cell>
          <cell r="CW196">
            <v>1.3765621991510601E-12</v>
          </cell>
          <cell r="DR196" t="e">
            <v>#NUM!</v>
          </cell>
          <cell r="EM196" t="e">
            <v>#NUM!</v>
          </cell>
          <cell r="FH196">
            <v>1.3525069634579169E-12</v>
          </cell>
          <cell r="GC196" t="e">
            <v>#NUM!</v>
          </cell>
          <cell r="GX196">
            <v>1.3765621991510601E-12</v>
          </cell>
        </row>
        <row r="197">
          <cell r="Q197">
            <v>1.978932943548152E-12</v>
          </cell>
          <cell r="AL197" t="e">
            <v>#NUM!</v>
          </cell>
          <cell r="BG197" t="e">
            <v>#NUM!</v>
          </cell>
          <cell r="CB197" t="e">
            <v>#NUM!</v>
          </cell>
          <cell r="CW197">
            <v>1.3765621991510601E-12</v>
          </cell>
          <cell r="DR197" t="e">
            <v>#NUM!</v>
          </cell>
          <cell r="EM197" t="e">
            <v>#NUM!</v>
          </cell>
          <cell r="FH197">
            <v>1.3525069634579169E-12</v>
          </cell>
          <cell r="GC197" t="e">
            <v>#NUM!</v>
          </cell>
          <cell r="GX197">
            <v>1.3765621991510601E-12</v>
          </cell>
        </row>
        <row r="198">
          <cell r="Q198">
            <v>1.978932943548152E-12</v>
          </cell>
          <cell r="AL198" t="e">
            <v>#NUM!</v>
          </cell>
          <cell r="BG198" t="e">
            <v>#NUM!</v>
          </cell>
          <cell r="CB198" t="e">
            <v>#NUM!</v>
          </cell>
          <cell r="CW198">
            <v>1.3765621991510601E-12</v>
          </cell>
          <cell r="DR198" t="e">
            <v>#NUM!</v>
          </cell>
          <cell r="EM198" t="e">
            <v>#NUM!</v>
          </cell>
          <cell r="FH198">
            <v>1.3525069634579169E-12</v>
          </cell>
          <cell r="GC198" t="e">
            <v>#NUM!</v>
          </cell>
          <cell r="GX198">
            <v>1.3765621991510601E-12</v>
          </cell>
        </row>
        <row r="199">
          <cell r="Q199">
            <v>1.978932943548152E-12</v>
          </cell>
          <cell r="AL199" t="e">
            <v>#NUM!</v>
          </cell>
          <cell r="BG199" t="e">
            <v>#NUM!</v>
          </cell>
          <cell r="CB199" t="e">
            <v>#NUM!</v>
          </cell>
          <cell r="CW199">
            <v>1.3765621991510601E-12</v>
          </cell>
          <cell r="DR199" t="e">
            <v>#NUM!</v>
          </cell>
          <cell r="EM199" t="e">
            <v>#NUM!</v>
          </cell>
          <cell r="FH199">
            <v>1.3525069634579169E-12</v>
          </cell>
          <cell r="GC199" t="e">
            <v>#NUM!</v>
          </cell>
          <cell r="GX199">
            <v>1.3765621991510601E-12</v>
          </cell>
        </row>
        <row r="200">
          <cell r="Q200">
            <v>1.978932943548152E-12</v>
          </cell>
          <cell r="AL200" t="e">
            <v>#NUM!</v>
          </cell>
          <cell r="BG200" t="e">
            <v>#NUM!</v>
          </cell>
          <cell r="CB200" t="e">
            <v>#NUM!</v>
          </cell>
          <cell r="CW200">
            <v>1.3765621991510601E-12</v>
          </cell>
          <cell r="DR200" t="e">
            <v>#NUM!</v>
          </cell>
          <cell r="EM200" t="e">
            <v>#NUM!</v>
          </cell>
          <cell r="FH200">
            <v>1.3525069634579169E-12</v>
          </cell>
          <cell r="GC200" t="e">
            <v>#NUM!</v>
          </cell>
          <cell r="GX200">
            <v>1.3765621991510601E-12</v>
          </cell>
        </row>
        <row r="201">
          <cell r="Q201">
            <v>1.978932943548152E-12</v>
          </cell>
          <cell r="AL201" t="e">
            <v>#NUM!</v>
          </cell>
          <cell r="BG201" t="e">
            <v>#NUM!</v>
          </cell>
          <cell r="CB201" t="e">
            <v>#NUM!</v>
          </cell>
          <cell r="CW201">
            <v>1.3765621991510601E-12</v>
          </cell>
          <cell r="DR201" t="e">
            <v>#NUM!</v>
          </cell>
          <cell r="EM201" t="e">
            <v>#NUM!</v>
          </cell>
          <cell r="FH201">
            <v>1.3525069634579169E-12</v>
          </cell>
          <cell r="GC201" t="e">
            <v>#NUM!</v>
          </cell>
          <cell r="GX201">
            <v>1.3765621991510601E-12</v>
          </cell>
        </row>
        <row r="202">
          <cell r="Q202">
            <v>1.978932943548152E-12</v>
          </cell>
          <cell r="AL202" t="e">
            <v>#NUM!</v>
          </cell>
          <cell r="BG202" t="e">
            <v>#NUM!</v>
          </cell>
          <cell r="CB202" t="e">
            <v>#NUM!</v>
          </cell>
          <cell r="CW202">
            <v>1.3765621991510601E-12</v>
          </cell>
          <cell r="DR202" t="e">
            <v>#NUM!</v>
          </cell>
          <cell r="EM202" t="e">
            <v>#NUM!</v>
          </cell>
          <cell r="FH202">
            <v>1.3525069634579169E-12</v>
          </cell>
          <cell r="GC202" t="e">
            <v>#NUM!</v>
          </cell>
          <cell r="GX202">
            <v>1.3765621991510601E-12</v>
          </cell>
        </row>
        <row r="203">
          <cell r="Q203">
            <v>1.978932943548152E-12</v>
          </cell>
          <cell r="AL203" t="e">
            <v>#NUM!</v>
          </cell>
          <cell r="BG203" t="e">
            <v>#NUM!</v>
          </cell>
          <cell r="CB203" t="e">
            <v>#NUM!</v>
          </cell>
          <cell r="CW203">
            <v>1.3765621991510601E-12</v>
          </cell>
          <cell r="DR203" t="e">
            <v>#NUM!</v>
          </cell>
          <cell r="EM203" t="e">
            <v>#NUM!</v>
          </cell>
          <cell r="FH203">
            <v>1.3525069634579169E-12</v>
          </cell>
          <cell r="GC203" t="e">
            <v>#NUM!</v>
          </cell>
          <cell r="GX203">
            <v>1.3765621991510601E-12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77" t="s">
        <v>291</v>
      </c>
      <c r="C12" s="277"/>
      <c r="D12" s="277"/>
      <c r="E12" s="277"/>
      <c r="F12" s="277"/>
      <c r="G12" s="277"/>
      <c r="H12" s="277"/>
      <c r="I12" s="277"/>
      <c r="J12" s="277"/>
      <c r="K12" s="277"/>
      <c r="L12" s="277"/>
      <c r="M12" s="277"/>
    </row>
    <row r="13" spans="2:13" ht="15" customHeight="1" x14ac:dyDescent="0.2">
      <c r="B13" s="277"/>
      <c r="C13" s="277"/>
      <c r="D13" s="277"/>
      <c r="E13" s="277"/>
      <c r="F13" s="277"/>
      <c r="G13" s="277"/>
      <c r="H13" s="277"/>
      <c r="I13" s="277"/>
      <c r="J13" s="277"/>
      <c r="K13" s="277"/>
      <c r="L13" s="277"/>
      <c r="M13" s="277"/>
    </row>
    <row r="14" spans="2:13" ht="15" customHeight="1" x14ac:dyDescent="0.2">
      <c r="B14" s="277"/>
      <c r="C14" s="277"/>
      <c r="D14" s="277"/>
      <c r="E14" s="277"/>
      <c r="F14" s="277"/>
      <c r="G14" s="277"/>
      <c r="H14" s="277"/>
      <c r="I14" s="277"/>
      <c r="J14" s="277"/>
      <c r="K14" s="277"/>
      <c r="L14" s="277"/>
      <c r="M14" s="277"/>
    </row>
    <row r="15" spans="2:13" ht="18.75" customHeight="1" x14ac:dyDescent="0.2">
      <c r="B15" s="277"/>
      <c r="C15" s="277"/>
      <c r="D15" s="277"/>
      <c r="E15" s="277"/>
      <c r="F15" s="277"/>
      <c r="G15" s="277"/>
      <c r="H15" s="277"/>
      <c r="I15" s="277"/>
      <c r="J15" s="277"/>
      <c r="K15" s="277"/>
      <c r="L15" s="277"/>
      <c r="M15" s="277"/>
    </row>
    <row r="16" spans="2:13" ht="18.75" customHeight="1" x14ac:dyDescent="0.2">
      <c r="B16" s="277"/>
      <c r="C16" s="277"/>
      <c r="D16" s="277"/>
      <c r="E16" s="277"/>
      <c r="F16" s="277"/>
      <c r="G16" s="277"/>
      <c r="H16" s="277"/>
      <c r="I16" s="277"/>
      <c r="J16" s="277"/>
      <c r="K16" s="277"/>
      <c r="L16" s="277"/>
      <c r="M16" s="277"/>
    </row>
    <row r="18" spans="2:13" ht="12" customHeight="1" x14ac:dyDescent="0.2">
      <c r="B18" s="277" t="s">
        <v>292</v>
      </c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</row>
    <row r="19" spans="2:13" ht="12" customHeight="1" x14ac:dyDescent="0.2">
      <c r="B19" s="277"/>
      <c r="C19" s="277"/>
      <c r="D19" s="277"/>
      <c r="E19" s="277"/>
      <c r="F19" s="277"/>
      <c r="G19" s="277"/>
      <c r="H19" s="277"/>
      <c r="I19" s="277"/>
      <c r="J19" s="277"/>
      <c r="K19" s="277"/>
      <c r="L19" s="277"/>
      <c r="M19" s="277"/>
    </row>
    <row r="20" spans="2:13" ht="12" customHeight="1" x14ac:dyDescent="0.2">
      <c r="B20" s="277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</row>
    <row r="21" spans="2:13" ht="12" customHeight="1" x14ac:dyDescent="0.2">
      <c r="B21" s="277"/>
      <c r="C21" s="277"/>
      <c r="D21" s="277"/>
      <c r="E21" s="277"/>
      <c r="F21" s="277"/>
      <c r="G21" s="277"/>
      <c r="H21" s="277"/>
      <c r="I21" s="277"/>
      <c r="J21" s="277"/>
      <c r="K21" s="277"/>
      <c r="L21" s="277"/>
      <c r="M21" s="277"/>
    </row>
    <row r="22" spans="2:13" ht="12" customHeight="1" x14ac:dyDescent="0.2">
      <c r="B22" s="277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</row>
    <row r="23" spans="2:13" ht="12" customHeight="1" x14ac:dyDescent="0.2"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</row>
    <row r="24" spans="2:13" ht="12" customHeight="1" x14ac:dyDescent="0.2">
      <c r="B24" s="277"/>
      <c r="C24" s="277"/>
      <c r="D24" s="277"/>
      <c r="E24" s="277"/>
      <c r="F24" s="277"/>
      <c r="G24" s="277"/>
      <c r="H24" s="277"/>
      <c r="I24" s="277"/>
      <c r="J24" s="277"/>
      <c r="K24" s="277"/>
      <c r="L24" s="277"/>
      <c r="M24" s="277"/>
    </row>
    <row r="25" spans="2:13" ht="12" customHeight="1" x14ac:dyDescent="0.2"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277"/>
      <c r="M25" s="277"/>
    </row>
    <row r="26" spans="2:13" ht="12" customHeight="1" x14ac:dyDescent="0.2">
      <c r="B26" s="277"/>
      <c r="C26" s="277"/>
      <c r="D26" s="277"/>
      <c r="E26" s="277"/>
      <c r="F26" s="277"/>
      <c r="G26" s="277"/>
      <c r="H26" s="277"/>
      <c r="I26" s="277"/>
      <c r="J26" s="277"/>
      <c r="K26" s="277"/>
      <c r="L26" s="277"/>
      <c r="M26" s="277"/>
    </row>
    <row r="27" spans="2:13" ht="12" customHeight="1" x14ac:dyDescent="0.2">
      <c r="B27" s="277"/>
      <c r="C27" s="277"/>
      <c r="D27" s="277"/>
      <c r="E27" s="277"/>
      <c r="F27" s="277"/>
      <c r="G27" s="277"/>
      <c r="H27" s="277"/>
      <c r="I27" s="277"/>
      <c r="J27" s="277"/>
      <c r="K27" s="277"/>
      <c r="L27" s="277"/>
      <c r="M27" s="277"/>
    </row>
    <row r="28" spans="2:13" ht="12" customHeight="1" x14ac:dyDescent="0.2"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</row>
    <row r="29" spans="2:13" ht="12" customHeight="1" x14ac:dyDescent="0.2">
      <c r="B29" s="277"/>
      <c r="C29" s="277"/>
      <c r="D29" s="277"/>
      <c r="E29" s="277"/>
      <c r="F29" s="277"/>
      <c r="G29" s="277"/>
      <c r="H29" s="277"/>
      <c r="I29" s="277"/>
      <c r="J29" s="277"/>
      <c r="K29" s="277"/>
      <c r="L29" s="277"/>
      <c r="M29" s="277"/>
    </row>
    <row r="30" spans="2:13" ht="12" customHeight="1" x14ac:dyDescent="0.2">
      <c r="B30" s="277"/>
      <c r="C30" s="277"/>
      <c r="D30" s="277"/>
      <c r="E30" s="277"/>
      <c r="F30" s="277"/>
      <c r="G30" s="277"/>
      <c r="H30" s="277"/>
      <c r="I30" s="277"/>
      <c r="J30" s="277"/>
      <c r="K30" s="277"/>
      <c r="L30" s="277"/>
      <c r="M30" s="277"/>
    </row>
    <row r="31" spans="2:13" ht="12" customHeight="1" x14ac:dyDescent="0.2">
      <c r="B31" s="277"/>
      <c r="C31" s="277"/>
      <c r="D31" s="277"/>
      <c r="E31" s="277"/>
      <c r="F31" s="277"/>
      <c r="G31" s="277"/>
      <c r="H31" s="277"/>
      <c r="I31" s="277"/>
      <c r="J31" s="277"/>
      <c r="K31" s="277"/>
      <c r="L31" s="277"/>
      <c r="M31" s="27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80" zoomScaleNormal="80" workbookViewId="0">
      <selection activeCell="O281" sqref="O281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78" t="s">
        <v>190</v>
      </c>
      <c r="D1" s="278"/>
      <c r="E1" s="27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83" t="s">
        <v>192</v>
      </c>
      <c r="C3" s="284"/>
      <c r="D3" s="284"/>
      <c r="E3" s="284"/>
      <c r="F3" s="28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88" t="s">
        <v>231</v>
      </c>
      <c r="B5" s="288"/>
      <c r="C5" s="24">
        <v>8.5500000000000007</v>
      </c>
      <c r="D5" s="289" t="s">
        <v>229</v>
      </c>
      <c r="E5" s="29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87" t="s">
        <v>226</v>
      </c>
      <c r="B7" s="28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35</v>
      </c>
      <c r="C9" s="32">
        <v>0.125</v>
      </c>
      <c r="D9" s="33">
        <f t="shared" ref="D9:D18" si="0">C9*$C$5</f>
        <v>1.0687500000000001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35</v>
      </c>
      <c r="C10" s="32">
        <v>0.158</v>
      </c>
      <c r="D10" s="33">
        <f t="shared" si="0"/>
        <v>1.3509000000000002</v>
      </c>
      <c r="E10" s="34">
        <v>82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27</v>
      </c>
      <c r="C11" s="32">
        <v>0.20799999999999999</v>
      </c>
      <c r="D11" s="33">
        <f t="shared" si="0"/>
        <v>1.7784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164</v>
      </c>
      <c r="C12" s="32">
        <v>0.152</v>
      </c>
      <c r="D12" s="33">
        <f t="shared" si="0"/>
        <v>1.2996000000000001</v>
      </c>
      <c r="E12" s="34">
        <v>100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 t="s">
        <v>22</v>
      </c>
      <c r="C13" s="32">
        <v>9.4E-2</v>
      </c>
      <c r="D13" s="33">
        <f t="shared" si="0"/>
        <v>0.80370000000000008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 t="s">
        <v>12</v>
      </c>
      <c r="C14" s="32">
        <v>7.4999999999999997E-2</v>
      </c>
      <c r="D14" s="33">
        <f t="shared" si="0"/>
        <v>0.64124999999999999</v>
      </c>
      <c r="E14" s="34">
        <v>153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 t="s">
        <v>1</v>
      </c>
      <c r="C15" s="32">
        <v>8.9999999999999993E-3</v>
      </c>
      <c r="D15" s="33">
        <f t="shared" si="0"/>
        <v>7.6950000000000005E-2</v>
      </c>
      <c r="E15" s="34">
        <v>153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 t="s">
        <v>29</v>
      </c>
      <c r="C16" s="32">
        <v>8.9999999999999993E-3</v>
      </c>
      <c r="D16" s="33">
        <f t="shared" si="0"/>
        <v>7.6950000000000005E-2</v>
      </c>
      <c r="E16" s="34">
        <v>80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 t="s">
        <v>81</v>
      </c>
      <c r="C17" s="32">
        <v>7.5999999999999998E-2</v>
      </c>
      <c r="D17" s="33">
        <f t="shared" si="0"/>
        <v>0.64980000000000004</v>
      </c>
      <c r="E17" s="34">
        <v>60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 t="s">
        <v>23</v>
      </c>
      <c r="C18" s="32">
        <v>9.4E-2</v>
      </c>
      <c r="D18" s="33">
        <f t="shared" si="0"/>
        <v>0.80370000000000008</v>
      </c>
      <c r="E18" s="34">
        <v>80</v>
      </c>
      <c r="F18" s="35" t="str">
        <f t="array" ref="F18">IF(E18="","",IF(INDEX(A:A,MAX(IF(ISNUMBER($A$270:$A$289),ROW($A$270:$A$289),"")))&lt;&gt;E18,"Corrigez : révolution incorrecte","OK"))</f>
        <v>OK</v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0.99999999999999989</v>
      </c>
      <c r="D19" s="38">
        <f>SUM(D9:D18)</f>
        <v>8.5500000000000007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86" t="s">
        <v>232</v>
      </c>
      <c r="B22" s="28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87" t="s">
        <v>227</v>
      </c>
      <c r="B30" s="28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laricio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79" t="s">
        <v>186</v>
      </c>
      <c r="D34" s="279"/>
      <c r="E34" s="280" t="s">
        <v>187</v>
      </c>
      <c r="F34" s="281"/>
      <c r="G34" s="281"/>
      <c r="H34" s="28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257">
        <v>20</v>
      </c>
      <c r="B36" s="258">
        <v>59</v>
      </c>
      <c r="C36" s="259">
        <v>1</v>
      </c>
      <c r="D36" s="259">
        <v>3</v>
      </c>
      <c r="E36" s="260">
        <v>0</v>
      </c>
      <c r="F36" s="260">
        <v>0</v>
      </c>
      <c r="G36" s="260">
        <v>0</v>
      </c>
      <c r="H36" s="260">
        <v>0</v>
      </c>
      <c r="I36" s="49">
        <f>IFERROR(B36/A36,"")</f>
        <v>2.95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261">
        <v>30</v>
      </c>
      <c r="B37" s="262">
        <v>156</v>
      </c>
      <c r="C37" s="263">
        <v>2</v>
      </c>
      <c r="D37" s="263">
        <v>12</v>
      </c>
      <c r="E37" s="264">
        <v>0.1</v>
      </c>
      <c r="F37" s="265">
        <v>0.9</v>
      </c>
      <c r="G37" s="265">
        <v>0</v>
      </c>
      <c r="H37" s="265">
        <v>0</v>
      </c>
      <c r="I37" s="53">
        <f t="shared" ref="I37:I55" si="1">IF(A37&lt;&gt;0,(B37-(B36-D36))/(A37-A36),"")</f>
        <v>10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261">
        <v>40</v>
      </c>
      <c r="B38" s="262">
        <v>247</v>
      </c>
      <c r="C38" s="263">
        <v>3</v>
      </c>
      <c r="D38" s="263">
        <v>21</v>
      </c>
      <c r="E38" s="264">
        <v>0.2</v>
      </c>
      <c r="F38" s="265">
        <v>0.8</v>
      </c>
      <c r="G38" s="265">
        <v>0</v>
      </c>
      <c r="H38" s="265">
        <v>0</v>
      </c>
      <c r="I38" s="53">
        <f t="shared" si="1"/>
        <v>10.3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261">
        <v>50</v>
      </c>
      <c r="B39" s="262">
        <v>321</v>
      </c>
      <c r="C39" s="263">
        <v>4</v>
      </c>
      <c r="D39" s="263">
        <v>25</v>
      </c>
      <c r="E39" s="264">
        <v>0.2</v>
      </c>
      <c r="F39" s="265">
        <v>0.8</v>
      </c>
      <c r="G39" s="265">
        <v>0</v>
      </c>
      <c r="H39" s="265">
        <v>0</v>
      </c>
      <c r="I39" s="49">
        <f t="shared" si="1"/>
        <v>9.5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261">
        <v>60</v>
      </c>
      <c r="B40" s="262">
        <v>379</v>
      </c>
      <c r="C40" s="263">
        <v>5</v>
      </c>
      <c r="D40" s="263">
        <v>27</v>
      </c>
      <c r="E40" s="264">
        <v>0.3</v>
      </c>
      <c r="F40" s="265">
        <v>0.7</v>
      </c>
      <c r="G40" s="265">
        <v>0</v>
      </c>
      <c r="H40" s="265">
        <v>0</v>
      </c>
      <c r="I40" s="49">
        <f t="shared" si="1"/>
        <v>8.3000000000000007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261">
        <v>70</v>
      </c>
      <c r="B41" s="262">
        <v>422</v>
      </c>
      <c r="C41" s="263">
        <v>6</v>
      </c>
      <c r="D41" s="263">
        <v>26</v>
      </c>
      <c r="E41" s="264">
        <v>0.3</v>
      </c>
      <c r="F41" s="265">
        <v>0.7</v>
      </c>
      <c r="G41" s="265">
        <v>0</v>
      </c>
      <c r="H41" s="265">
        <v>0</v>
      </c>
      <c r="I41" s="53">
        <f t="shared" si="1"/>
        <v>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261">
        <v>80</v>
      </c>
      <c r="B42" s="262">
        <v>456</v>
      </c>
      <c r="C42" s="263">
        <v>7</v>
      </c>
      <c r="D42" s="263">
        <v>24</v>
      </c>
      <c r="E42" s="264">
        <v>0.4</v>
      </c>
      <c r="F42" s="265">
        <v>0.6</v>
      </c>
      <c r="G42" s="265">
        <v>0</v>
      </c>
      <c r="H42" s="265">
        <v>0</v>
      </c>
      <c r="I42" s="53">
        <f t="shared" si="1"/>
        <v>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261">
        <v>90</v>
      </c>
      <c r="B43" s="262">
        <v>486</v>
      </c>
      <c r="C43" s="263">
        <v>8</v>
      </c>
      <c r="D43" s="263">
        <v>24</v>
      </c>
      <c r="E43" s="264">
        <v>0.7</v>
      </c>
      <c r="F43" s="265">
        <v>0.3</v>
      </c>
      <c r="G43" s="265">
        <v>0</v>
      </c>
      <c r="H43" s="265">
        <v>0</v>
      </c>
      <c r="I43" s="49">
        <f t="shared" si="1"/>
        <v>5.4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261">
        <v>100</v>
      </c>
      <c r="B44" s="262">
        <v>490</v>
      </c>
      <c r="C44" s="263" t="s">
        <v>324</v>
      </c>
      <c r="D44" s="263">
        <v>490</v>
      </c>
      <c r="E44" s="264">
        <v>0.7</v>
      </c>
      <c r="F44" s="265">
        <v>0.3</v>
      </c>
      <c r="G44" s="265">
        <v>0</v>
      </c>
      <c r="H44" s="265">
        <v>0</v>
      </c>
      <c r="I44" s="49">
        <f t="shared" si="1"/>
        <v>2.8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Pin laricio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79" t="s">
        <v>186</v>
      </c>
      <c r="D60" s="279"/>
      <c r="E60" s="280" t="s">
        <v>187</v>
      </c>
      <c r="F60" s="281"/>
      <c r="G60" s="281"/>
      <c r="H60" s="28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22</v>
      </c>
      <c r="B62" s="60">
        <v>123</v>
      </c>
      <c r="C62" s="60">
        <v>1</v>
      </c>
      <c r="D62" s="60">
        <v>16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5.5909090909090908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25</v>
      </c>
      <c r="B63" s="60">
        <v>144</v>
      </c>
      <c r="C63" s="60">
        <v>2</v>
      </c>
      <c r="D63" s="60">
        <v>17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12.333333333333334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30</v>
      </c>
      <c r="B64" s="60">
        <v>194</v>
      </c>
      <c r="C64" s="60">
        <v>3</v>
      </c>
      <c r="D64" s="60">
        <v>34</v>
      </c>
      <c r="E64" s="51">
        <v>0.1</v>
      </c>
      <c r="F64" s="51">
        <v>0.9</v>
      </c>
      <c r="G64" s="51">
        <v>0</v>
      </c>
      <c r="H64" s="51">
        <v>0</v>
      </c>
      <c r="I64" s="49">
        <f>IF(A64&lt;&gt;0,(B64-(B63-D63))/(A64-A63),"")</f>
        <v>13.4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35</v>
      </c>
      <c r="B65" s="60">
        <v>233</v>
      </c>
      <c r="C65" s="60">
        <v>4</v>
      </c>
      <c r="D65" s="60">
        <v>41</v>
      </c>
      <c r="E65" s="51">
        <v>0.2</v>
      </c>
      <c r="F65" s="51">
        <v>0.8</v>
      </c>
      <c r="G65" s="51">
        <v>0</v>
      </c>
      <c r="H65" s="51">
        <v>0</v>
      </c>
      <c r="I65" s="49">
        <f>IF(A65&lt;&gt;0,(B65-(B64-D64))/(A65-A64),"")</f>
        <v>14.6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40</v>
      </c>
      <c r="B66" s="60">
        <v>264</v>
      </c>
      <c r="C66" s="60">
        <v>5</v>
      </c>
      <c r="D66" s="60">
        <v>41</v>
      </c>
      <c r="E66" s="51">
        <v>0.2</v>
      </c>
      <c r="F66" s="51">
        <v>0.8</v>
      </c>
      <c r="G66" s="51">
        <v>0</v>
      </c>
      <c r="H66" s="51">
        <v>0</v>
      </c>
      <c r="I66" s="49">
        <f t="shared" ref="I66:I81" si="2">IF(A66&lt;&gt;0,(B66-(B65-D65))/(A66-A65),"")</f>
        <v>14.4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45</v>
      </c>
      <c r="B67" s="60">
        <v>306</v>
      </c>
      <c r="C67" s="60">
        <v>6</v>
      </c>
      <c r="D67" s="60">
        <v>41</v>
      </c>
      <c r="E67" s="51">
        <v>0.3</v>
      </c>
      <c r="F67" s="51">
        <v>0.7</v>
      </c>
      <c r="G67" s="51">
        <v>0</v>
      </c>
      <c r="H67" s="51">
        <v>0</v>
      </c>
      <c r="I67" s="49">
        <f t="shared" si="2"/>
        <v>16.600000000000001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50</v>
      </c>
      <c r="B68" s="60">
        <v>352</v>
      </c>
      <c r="C68" s="60">
        <v>7</v>
      </c>
      <c r="D68" s="60">
        <v>53</v>
      </c>
      <c r="E68" s="51">
        <v>0.3</v>
      </c>
      <c r="F68" s="51">
        <v>0.7</v>
      </c>
      <c r="G68" s="51">
        <v>0</v>
      </c>
      <c r="H68" s="51">
        <v>0</v>
      </c>
      <c r="I68" s="49">
        <f t="shared" si="2"/>
        <v>17.399999999999999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58</v>
      </c>
      <c r="B69" s="50">
        <v>440</v>
      </c>
      <c r="C69" s="50">
        <v>8</v>
      </c>
      <c r="D69" s="50">
        <v>78</v>
      </c>
      <c r="E69" s="51">
        <v>0.4</v>
      </c>
      <c r="F69" s="51">
        <v>0.6</v>
      </c>
      <c r="G69" s="51">
        <v>0</v>
      </c>
      <c r="H69" s="51">
        <v>0</v>
      </c>
      <c r="I69" s="49">
        <f t="shared" si="2"/>
        <v>17.625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66</v>
      </c>
      <c r="B70" s="50">
        <v>495</v>
      </c>
      <c r="C70" s="50">
        <v>9</v>
      </c>
      <c r="D70" s="50">
        <v>65</v>
      </c>
      <c r="E70" s="51">
        <v>0.7</v>
      </c>
      <c r="F70" s="51">
        <v>0.3</v>
      </c>
      <c r="G70" s="51">
        <v>0</v>
      </c>
      <c r="H70" s="51">
        <v>0</v>
      </c>
      <c r="I70" s="49">
        <f t="shared" si="2"/>
        <v>16.625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74</v>
      </c>
      <c r="B71" s="50">
        <v>533</v>
      </c>
      <c r="C71" s="50">
        <v>10</v>
      </c>
      <c r="D71" s="50">
        <v>37</v>
      </c>
      <c r="E71" s="51">
        <v>0.7</v>
      </c>
      <c r="F71" s="51">
        <v>0.3</v>
      </c>
      <c r="G71" s="51">
        <v>0</v>
      </c>
      <c r="H71" s="51">
        <v>0</v>
      </c>
      <c r="I71" s="49">
        <f t="shared" si="2"/>
        <v>12.875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82</v>
      </c>
      <c r="B72" s="50">
        <v>567</v>
      </c>
      <c r="C72" s="50" t="s">
        <v>324</v>
      </c>
      <c r="D72" s="50">
        <v>567</v>
      </c>
      <c r="E72" s="51">
        <v>0.7</v>
      </c>
      <c r="F72" s="51">
        <v>0.3</v>
      </c>
      <c r="G72" s="51">
        <v>0</v>
      </c>
      <c r="H72" s="51">
        <v>0</v>
      </c>
      <c r="I72" s="49">
        <f t="shared" si="2"/>
        <v>8.875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79" t="s">
        <v>186</v>
      </c>
      <c r="D86" s="279"/>
      <c r="E86" s="280" t="s">
        <v>187</v>
      </c>
      <c r="F86" s="281"/>
      <c r="G86" s="281"/>
      <c r="H86" s="28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18</v>
      </c>
      <c r="B88" s="60">
        <v>112</v>
      </c>
      <c r="C88" s="60">
        <v>1</v>
      </c>
      <c r="D88" s="60">
        <v>20</v>
      </c>
      <c r="E88" s="51">
        <v>0</v>
      </c>
      <c r="F88" s="51">
        <v>1</v>
      </c>
      <c r="G88" s="51">
        <v>0</v>
      </c>
      <c r="H88" s="87">
        <v>0</v>
      </c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21</v>
      </c>
      <c r="B89" s="60">
        <v>146</v>
      </c>
      <c r="C89" s="60">
        <v>2</v>
      </c>
      <c r="D89" s="60">
        <v>26</v>
      </c>
      <c r="E89" s="51">
        <v>0</v>
      </c>
      <c r="F89" s="51">
        <v>1</v>
      </c>
      <c r="G89" s="51">
        <v>0</v>
      </c>
      <c r="H89" s="87">
        <v>0</v>
      </c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24</v>
      </c>
      <c r="B90" s="60">
        <v>168</v>
      </c>
      <c r="C90" s="60">
        <v>3</v>
      </c>
      <c r="D90" s="60">
        <v>29</v>
      </c>
      <c r="E90" s="87">
        <v>0</v>
      </c>
      <c r="F90" s="87">
        <v>1</v>
      </c>
      <c r="G90" s="87">
        <v>0</v>
      </c>
      <c r="H90" s="87">
        <v>0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224</v>
      </c>
      <c r="C91" s="60">
        <v>4</v>
      </c>
      <c r="D91" s="60">
        <v>53</v>
      </c>
      <c r="E91" s="87">
        <v>0.1</v>
      </c>
      <c r="F91" s="87">
        <v>0.9</v>
      </c>
      <c r="G91" s="87">
        <v>0</v>
      </c>
      <c r="H91" s="87">
        <v>0</v>
      </c>
      <c r="I91" s="53">
        <f t="shared" si="3"/>
        <v>14.166666666666666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36</v>
      </c>
      <c r="B92" s="60">
        <v>248</v>
      </c>
      <c r="C92" s="60">
        <v>5</v>
      </c>
      <c r="D92" s="60">
        <v>62</v>
      </c>
      <c r="E92" s="87">
        <v>0.3</v>
      </c>
      <c r="F92" s="87">
        <v>0.7</v>
      </c>
      <c r="G92" s="87">
        <v>0</v>
      </c>
      <c r="H92" s="87">
        <v>0</v>
      </c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42</v>
      </c>
      <c r="B93" s="60">
        <v>255</v>
      </c>
      <c r="C93" s="60">
        <v>6</v>
      </c>
      <c r="D93" s="60">
        <v>67</v>
      </c>
      <c r="E93" s="87">
        <v>0.4</v>
      </c>
      <c r="F93" s="87">
        <v>0.6</v>
      </c>
      <c r="G93" s="87">
        <v>0</v>
      </c>
      <c r="H93" s="87">
        <v>0</v>
      </c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48</v>
      </c>
      <c r="B94" s="60">
        <v>252</v>
      </c>
      <c r="C94" s="60">
        <v>7</v>
      </c>
      <c r="D94" s="60">
        <v>65</v>
      </c>
      <c r="E94" s="87">
        <v>0.7</v>
      </c>
      <c r="F94" s="87">
        <v>0.3</v>
      </c>
      <c r="G94" s="87">
        <v>0</v>
      </c>
      <c r="H94" s="87">
        <v>0</v>
      </c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60</v>
      </c>
      <c r="B95" s="60">
        <v>304</v>
      </c>
      <c r="C95" s="60" t="s">
        <v>324</v>
      </c>
      <c r="D95" s="60">
        <v>304</v>
      </c>
      <c r="E95" s="87">
        <v>0.7</v>
      </c>
      <c r="F95" s="87">
        <v>0.3</v>
      </c>
      <c r="G95" s="87">
        <v>0</v>
      </c>
      <c r="H95" s="87">
        <v>0</v>
      </c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79" t="s">
        <v>186</v>
      </c>
      <c r="D112" s="279"/>
      <c r="E112" s="280" t="s">
        <v>187</v>
      </c>
      <c r="F112" s="281"/>
      <c r="G112" s="281"/>
      <c r="H112" s="28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266">
        <v>20</v>
      </c>
      <c r="B114" s="267">
        <v>158</v>
      </c>
      <c r="C114" s="268">
        <v>1</v>
      </c>
      <c r="D114" s="267">
        <v>32</v>
      </c>
      <c r="E114" s="260">
        <v>0</v>
      </c>
      <c r="F114" s="260">
        <v>1</v>
      </c>
      <c r="G114" s="260">
        <v>0</v>
      </c>
      <c r="H114" s="260">
        <v>0</v>
      </c>
      <c r="I114" s="53">
        <f>IFERROR(B114/A114,"")</f>
        <v>7.9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269">
        <v>30</v>
      </c>
      <c r="B115" s="270">
        <v>218</v>
      </c>
      <c r="C115" s="271">
        <v>2</v>
      </c>
      <c r="D115" s="270">
        <v>44</v>
      </c>
      <c r="E115" s="265">
        <v>0.1</v>
      </c>
      <c r="F115" s="265">
        <v>0.9</v>
      </c>
      <c r="G115" s="272">
        <v>0</v>
      </c>
      <c r="H115" s="272">
        <v>0</v>
      </c>
      <c r="I115" s="53">
        <f t="shared" ref="I115:I133" si="4">IF(A115&lt;&gt;0,(B115-(B114-D114))/(A115-A114),"")</f>
        <v>9.1999999999999993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269">
        <v>40</v>
      </c>
      <c r="B116" s="270">
        <v>275</v>
      </c>
      <c r="C116" s="271">
        <v>3</v>
      </c>
      <c r="D116" s="270">
        <v>55</v>
      </c>
      <c r="E116" s="265">
        <v>0.2</v>
      </c>
      <c r="F116" s="265">
        <v>0.8</v>
      </c>
      <c r="G116" s="265">
        <v>0</v>
      </c>
      <c r="H116" s="265">
        <v>0</v>
      </c>
      <c r="I116" s="53">
        <f t="shared" si="4"/>
        <v>10.1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269">
        <v>50</v>
      </c>
      <c r="B117" s="270">
        <v>335</v>
      </c>
      <c r="C117" s="271">
        <v>4</v>
      </c>
      <c r="D117" s="270">
        <v>67</v>
      </c>
      <c r="E117" s="265">
        <v>0.3</v>
      </c>
      <c r="F117" s="265">
        <v>0.7</v>
      </c>
      <c r="G117" s="265">
        <v>0</v>
      </c>
      <c r="H117" s="265">
        <v>0</v>
      </c>
      <c r="I117" s="53">
        <f t="shared" si="4"/>
        <v>11.5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269">
        <v>60</v>
      </c>
      <c r="B118" s="270">
        <v>403</v>
      </c>
      <c r="C118" s="271">
        <v>5</v>
      </c>
      <c r="D118" s="270">
        <v>81</v>
      </c>
      <c r="E118" s="265">
        <v>0.4</v>
      </c>
      <c r="F118" s="265">
        <v>0.6</v>
      </c>
      <c r="G118" s="265">
        <v>0</v>
      </c>
      <c r="H118" s="265">
        <v>0</v>
      </c>
      <c r="I118" s="53">
        <f t="shared" si="4"/>
        <v>13.5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269">
        <v>70</v>
      </c>
      <c r="B119" s="270">
        <v>477</v>
      </c>
      <c r="C119" s="271">
        <v>6</v>
      </c>
      <c r="D119" s="270">
        <v>95</v>
      </c>
      <c r="E119" s="265">
        <v>0.5</v>
      </c>
      <c r="F119" s="265">
        <v>0.5</v>
      </c>
      <c r="G119" s="265">
        <v>0</v>
      </c>
      <c r="H119" s="265">
        <v>0</v>
      </c>
      <c r="I119" s="53">
        <f t="shared" si="4"/>
        <v>15.5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269">
        <v>80</v>
      </c>
      <c r="B120" s="270">
        <v>552</v>
      </c>
      <c r="C120" s="271">
        <v>7</v>
      </c>
      <c r="D120" s="270">
        <v>110</v>
      </c>
      <c r="E120" s="272">
        <v>0.6</v>
      </c>
      <c r="F120" s="272">
        <v>0.4</v>
      </c>
      <c r="G120" s="272">
        <v>0</v>
      </c>
      <c r="H120" s="272">
        <v>0</v>
      </c>
      <c r="I120" s="53">
        <f t="shared" si="4"/>
        <v>17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269">
        <v>90</v>
      </c>
      <c r="B121" s="270">
        <v>616</v>
      </c>
      <c r="C121" s="271">
        <v>8</v>
      </c>
      <c r="D121" s="270">
        <v>123</v>
      </c>
      <c r="E121" s="272">
        <v>0.7</v>
      </c>
      <c r="F121" s="272">
        <v>0.3</v>
      </c>
      <c r="G121" s="272">
        <v>0</v>
      </c>
      <c r="H121" s="272">
        <v>0</v>
      </c>
      <c r="I121" s="53">
        <f t="shared" si="4"/>
        <v>17.399999999999999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269">
        <v>100</v>
      </c>
      <c r="B122" s="270">
        <v>678</v>
      </c>
      <c r="C122" s="271" t="s">
        <v>324</v>
      </c>
      <c r="D122" s="270">
        <v>678</v>
      </c>
      <c r="E122" s="272">
        <v>0.7</v>
      </c>
      <c r="F122" s="272">
        <v>0.3</v>
      </c>
      <c r="G122" s="272">
        <v>0</v>
      </c>
      <c r="H122" s="272">
        <v>0</v>
      </c>
      <c r="I122" s="53">
        <f t="shared" si="4"/>
        <v>18.5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>Erable plane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79" t="s">
        <v>186</v>
      </c>
      <c r="D138" s="279"/>
      <c r="E138" s="280" t="s">
        <v>187</v>
      </c>
      <c r="F138" s="281"/>
      <c r="G138" s="281"/>
      <c r="H138" s="28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266">
        <v>15</v>
      </c>
      <c r="B140" s="267">
        <v>22</v>
      </c>
      <c r="C140" s="268">
        <v>0</v>
      </c>
      <c r="D140" s="267">
        <v>15</v>
      </c>
      <c r="E140" s="260">
        <v>0</v>
      </c>
      <c r="F140" s="260">
        <v>0</v>
      </c>
      <c r="G140" s="260">
        <v>0</v>
      </c>
      <c r="H140" s="260">
        <v>0</v>
      </c>
      <c r="I140" s="57">
        <f>IFERROR(B140/A140,"")</f>
        <v>1.4666666666666666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269">
        <v>20</v>
      </c>
      <c r="B141" s="270">
        <v>52</v>
      </c>
      <c r="C141" s="271">
        <v>1</v>
      </c>
      <c r="D141" s="270">
        <v>28</v>
      </c>
      <c r="E141" s="264">
        <v>0</v>
      </c>
      <c r="F141" s="265">
        <v>0.25</v>
      </c>
      <c r="G141" s="265">
        <v>0.25</v>
      </c>
      <c r="H141" s="265">
        <v>0.5</v>
      </c>
      <c r="I141" s="57">
        <f t="shared" ref="I141:I159" si="5">IF(A141&lt;&gt;0,(B141-(B140-D140))/(A141-A140),"")</f>
        <v>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269">
        <v>25</v>
      </c>
      <c r="B142" s="270">
        <v>87</v>
      </c>
      <c r="C142" s="271">
        <v>2</v>
      </c>
      <c r="D142" s="270">
        <v>28</v>
      </c>
      <c r="E142" s="264">
        <v>0</v>
      </c>
      <c r="F142" s="265">
        <v>0.25</v>
      </c>
      <c r="G142" s="265">
        <v>0.25</v>
      </c>
      <c r="H142" s="265">
        <v>0.5</v>
      </c>
      <c r="I142" s="57">
        <f t="shared" si="5"/>
        <v>12.6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269">
        <v>30</v>
      </c>
      <c r="B143" s="270">
        <v>118</v>
      </c>
      <c r="C143" s="271">
        <v>3</v>
      </c>
      <c r="D143" s="270">
        <v>28</v>
      </c>
      <c r="E143" s="264">
        <v>0</v>
      </c>
      <c r="F143" s="265">
        <v>0.25</v>
      </c>
      <c r="G143" s="265">
        <v>0.25</v>
      </c>
      <c r="H143" s="265">
        <v>0.5</v>
      </c>
      <c r="I143" s="57">
        <f t="shared" si="5"/>
        <v>11.8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269">
        <v>35</v>
      </c>
      <c r="B144" s="270">
        <v>144</v>
      </c>
      <c r="C144" s="271">
        <v>4</v>
      </c>
      <c r="D144" s="270">
        <v>28</v>
      </c>
      <c r="E144" s="264">
        <v>0</v>
      </c>
      <c r="F144" s="265">
        <v>0.35</v>
      </c>
      <c r="G144" s="265">
        <v>0.35</v>
      </c>
      <c r="H144" s="265">
        <v>0.3</v>
      </c>
      <c r="I144" s="57">
        <f t="shared" si="5"/>
        <v>10.8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269">
        <v>40</v>
      </c>
      <c r="B145" s="270">
        <v>164</v>
      </c>
      <c r="C145" s="271">
        <v>5</v>
      </c>
      <c r="D145" s="270">
        <v>28</v>
      </c>
      <c r="E145" s="264">
        <v>0</v>
      </c>
      <c r="F145" s="265">
        <v>0.4</v>
      </c>
      <c r="G145" s="265">
        <v>0.4</v>
      </c>
      <c r="H145" s="265">
        <v>0.2</v>
      </c>
      <c r="I145" s="57">
        <f t="shared" si="5"/>
        <v>9.6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269">
        <v>45</v>
      </c>
      <c r="B146" s="270">
        <v>183</v>
      </c>
      <c r="C146" s="271">
        <v>6</v>
      </c>
      <c r="D146" s="270">
        <v>22</v>
      </c>
      <c r="E146" s="264">
        <v>0</v>
      </c>
      <c r="F146" s="265">
        <v>0.4</v>
      </c>
      <c r="G146" s="265">
        <v>0.4</v>
      </c>
      <c r="H146" s="265">
        <v>0.2</v>
      </c>
      <c r="I146" s="57">
        <f t="shared" si="5"/>
        <v>9.4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269">
        <v>50</v>
      </c>
      <c r="B147" s="270">
        <v>202</v>
      </c>
      <c r="C147" s="271">
        <v>7</v>
      </c>
      <c r="D147" s="270">
        <v>17</v>
      </c>
      <c r="E147" s="264">
        <v>0</v>
      </c>
      <c r="F147" s="265">
        <v>0.4</v>
      </c>
      <c r="G147" s="265">
        <v>0.4</v>
      </c>
      <c r="H147" s="265">
        <v>0.2</v>
      </c>
      <c r="I147" s="57">
        <f>IF(A147&lt;&gt;0,(B147-(B146-D146))/(A147-A146),"")</f>
        <v>8.1999999999999993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269">
        <v>55</v>
      </c>
      <c r="B148" s="270">
        <v>219</v>
      </c>
      <c r="C148" s="271">
        <v>8</v>
      </c>
      <c r="D148" s="270">
        <v>13</v>
      </c>
      <c r="E148" s="264">
        <v>0</v>
      </c>
      <c r="F148" s="265">
        <v>0.4</v>
      </c>
      <c r="G148" s="265">
        <v>0.4</v>
      </c>
      <c r="H148" s="265">
        <v>0.2</v>
      </c>
      <c r="I148" s="57">
        <f t="shared" si="5"/>
        <v>6.8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269">
        <v>60</v>
      </c>
      <c r="B149" s="270">
        <v>233</v>
      </c>
      <c r="C149" s="271">
        <v>9</v>
      </c>
      <c r="D149" s="270">
        <v>12</v>
      </c>
      <c r="E149" s="264">
        <v>0.2</v>
      </c>
      <c r="F149" s="265">
        <v>0.3</v>
      </c>
      <c r="G149" s="265">
        <v>0.3</v>
      </c>
      <c r="H149" s="265">
        <v>0.2</v>
      </c>
      <c r="I149" s="57">
        <f t="shared" si="5"/>
        <v>5.4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269">
        <v>65</v>
      </c>
      <c r="B150" s="270">
        <v>244</v>
      </c>
      <c r="C150" s="271">
        <v>10</v>
      </c>
      <c r="D150" s="270">
        <v>11</v>
      </c>
      <c r="E150" s="264">
        <v>0.2</v>
      </c>
      <c r="F150" s="265">
        <v>0.3</v>
      </c>
      <c r="G150" s="265">
        <v>0.3</v>
      </c>
      <c r="H150" s="265">
        <v>0.2</v>
      </c>
      <c r="I150" s="57">
        <f t="shared" si="5"/>
        <v>4.5999999999999996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269">
        <v>70</v>
      </c>
      <c r="B151" s="270">
        <v>253</v>
      </c>
      <c r="C151" s="271">
        <v>11</v>
      </c>
      <c r="D151" s="270">
        <v>10</v>
      </c>
      <c r="E151" s="264">
        <v>0.3</v>
      </c>
      <c r="F151" s="265">
        <v>0.25</v>
      </c>
      <c r="G151" s="265">
        <v>0.25</v>
      </c>
      <c r="H151" s="265">
        <v>0.2</v>
      </c>
      <c r="I151" s="57">
        <f t="shared" si="5"/>
        <v>4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269">
        <v>75</v>
      </c>
      <c r="B152" s="270">
        <v>261</v>
      </c>
      <c r="C152" s="271">
        <v>12</v>
      </c>
      <c r="D152" s="270">
        <v>9</v>
      </c>
      <c r="E152" s="273">
        <v>0.4</v>
      </c>
      <c r="F152" s="274">
        <v>0.2</v>
      </c>
      <c r="G152" s="274">
        <v>0.2</v>
      </c>
      <c r="H152" s="274">
        <v>0.2</v>
      </c>
      <c r="I152" s="57">
        <f t="shared" si="5"/>
        <v>3.6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269">
        <v>80</v>
      </c>
      <c r="B153" s="270">
        <v>267</v>
      </c>
      <c r="C153" s="271" t="s">
        <v>324</v>
      </c>
      <c r="D153" s="270">
        <v>267</v>
      </c>
      <c r="E153" s="273">
        <v>0.6</v>
      </c>
      <c r="F153" s="274">
        <v>0.1</v>
      </c>
      <c r="G153" s="274">
        <v>0.1</v>
      </c>
      <c r="H153" s="274">
        <v>0.2</v>
      </c>
      <c r="I153" s="57">
        <f t="shared" si="5"/>
        <v>3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>Chêne pubescent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79" t="s">
        <v>186</v>
      </c>
      <c r="D164" s="279"/>
      <c r="E164" s="280" t="s">
        <v>187</v>
      </c>
      <c r="F164" s="281"/>
      <c r="G164" s="281"/>
      <c r="H164" s="28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>
        <v>42</v>
      </c>
      <c r="B166" s="60">
        <v>113</v>
      </c>
      <c r="C166" s="60">
        <v>1</v>
      </c>
      <c r="D166" s="60">
        <v>30</v>
      </c>
      <c r="E166" s="51">
        <v>0</v>
      </c>
      <c r="F166" s="51">
        <v>0</v>
      </c>
      <c r="G166" s="51">
        <v>0</v>
      </c>
      <c r="H166" s="51">
        <v>1</v>
      </c>
      <c r="I166" s="49">
        <f>IFERROR(B166/A166,"")</f>
        <v>2.6904761904761907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>
        <v>48</v>
      </c>
      <c r="B167" s="60">
        <v>120</v>
      </c>
      <c r="C167" s="60">
        <v>2</v>
      </c>
      <c r="D167" s="60">
        <v>28</v>
      </c>
      <c r="E167" s="51">
        <v>0</v>
      </c>
      <c r="F167" s="51">
        <v>0</v>
      </c>
      <c r="G167" s="51">
        <v>0</v>
      </c>
      <c r="H167" s="51">
        <v>1</v>
      </c>
      <c r="I167" s="49">
        <f t="shared" ref="I167:I185" si="6">IF(A167&lt;&gt;0,(B167-(B166-D166))/(A167-A166),"")</f>
        <v>6.166666666666667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>
        <v>56</v>
      </c>
      <c r="B168" s="60">
        <v>138</v>
      </c>
      <c r="C168" s="60">
        <v>3</v>
      </c>
      <c r="D168" s="60">
        <v>36</v>
      </c>
      <c r="E168" s="51">
        <v>0</v>
      </c>
      <c r="F168" s="51">
        <v>0</v>
      </c>
      <c r="G168" s="51">
        <v>0</v>
      </c>
      <c r="H168" s="51">
        <v>1</v>
      </c>
      <c r="I168" s="49">
        <f t="shared" si="6"/>
        <v>5.75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>
        <v>64</v>
      </c>
      <c r="B169" s="60">
        <v>155</v>
      </c>
      <c r="C169" s="60">
        <v>4</v>
      </c>
      <c r="D169" s="60">
        <v>41</v>
      </c>
      <c r="E169" s="51">
        <v>0</v>
      </c>
      <c r="F169" s="51">
        <v>0.7</v>
      </c>
      <c r="G169" s="51">
        <v>0</v>
      </c>
      <c r="H169" s="51">
        <v>0.3</v>
      </c>
      <c r="I169" s="49">
        <f t="shared" si="6"/>
        <v>6.625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>
        <v>72</v>
      </c>
      <c r="B170" s="60">
        <v>160</v>
      </c>
      <c r="C170" s="60">
        <v>5</v>
      </c>
      <c r="D170" s="60">
        <v>32</v>
      </c>
      <c r="E170" s="51">
        <v>0</v>
      </c>
      <c r="F170" s="51">
        <v>0.7</v>
      </c>
      <c r="G170" s="51">
        <v>0</v>
      </c>
      <c r="H170" s="51">
        <v>0.3</v>
      </c>
      <c r="I170" s="49">
        <f t="shared" si="6"/>
        <v>5.75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>
        <v>81</v>
      </c>
      <c r="B171" s="60">
        <v>173</v>
      </c>
      <c r="C171" s="60">
        <v>6</v>
      </c>
      <c r="D171" s="60">
        <v>31</v>
      </c>
      <c r="E171" s="51">
        <v>0.2</v>
      </c>
      <c r="F171" s="51">
        <v>0.5</v>
      </c>
      <c r="G171" s="51">
        <v>0</v>
      </c>
      <c r="H171" s="51">
        <v>0.3</v>
      </c>
      <c r="I171" s="49">
        <f t="shared" si="6"/>
        <v>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>
        <v>90</v>
      </c>
      <c r="B172" s="60">
        <v>184</v>
      </c>
      <c r="C172" s="60">
        <v>7</v>
      </c>
      <c r="D172" s="60">
        <v>30</v>
      </c>
      <c r="E172" s="51">
        <v>0.2</v>
      </c>
      <c r="F172" s="51">
        <v>0.5</v>
      </c>
      <c r="G172" s="51">
        <v>0</v>
      </c>
      <c r="H172" s="51">
        <v>0.3</v>
      </c>
      <c r="I172" s="49">
        <f t="shared" si="6"/>
        <v>4.666666666666667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>
        <v>102</v>
      </c>
      <c r="B173" s="50">
        <v>211</v>
      </c>
      <c r="C173" s="50">
        <v>8</v>
      </c>
      <c r="D173" s="50">
        <v>41</v>
      </c>
      <c r="E173" s="51">
        <v>0.2</v>
      </c>
      <c r="F173" s="51">
        <v>0.5</v>
      </c>
      <c r="G173" s="51">
        <v>0</v>
      </c>
      <c r="H173" s="51">
        <v>0.3</v>
      </c>
      <c r="I173" s="49">
        <f t="shared" si="6"/>
        <v>4.75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>
        <v>114</v>
      </c>
      <c r="B174" s="50">
        <v>225</v>
      </c>
      <c r="C174" s="50">
        <v>9</v>
      </c>
      <c r="D174" s="50">
        <v>37</v>
      </c>
      <c r="E174" s="51">
        <v>0.3</v>
      </c>
      <c r="F174" s="51">
        <v>0.5</v>
      </c>
      <c r="G174" s="51">
        <v>0</v>
      </c>
      <c r="H174" s="51">
        <v>0.2</v>
      </c>
      <c r="I174" s="49">
        <f t="shared" si="6"/>
        <v>4.583333333333333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>
        <v>126</v>
      </c>
      <c r="B175" s="50">
        <v>244</v>
      </c>
      <c r="C175" s="50">
        <v>10</v>
      </c>
      <c r="D175" s="50">
        <v>38</v>
      </c>
      <c r="E175" s="51">
        <v>0.4</v>
      </c>
      <c r="F175" s="51">
        <v>0.4</v>
      </c>
      <c r="G175" s="51">
        <v>0</v>
      </c>
      <c r="H175" s="51">
        <v>0.2</v>
      </c>
      <c r="I175" s="49">
        <f t="shared" si="6"/>
        <v>4.666666666666667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>
        <v>138</v>
      </c>
      <c r="B176" s="50">
        <v>262</v>
      </c>
      <c r="C176" s="50">
        <v>11</v>
      </c>
      <c r="D176" s="50">
        <v>39</v>
      </c>
      <c r="E176" s="51">
        <v>0.6</v>
      </c>
      <c r="F176" s="51">
        <v>0.3</v>
      </c>
      <c r="G176" s="51">
        <v>0</v>
      </c>
      <c r="H176" s="51">
        <v>0.1</v>
      </c>
      <c r="I176" s="49">
        <f t="shared" si="6"/>
        <v>4.666666666666667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>
        <v>153</v>
      </c>
      <c r="B177" s="50">
        <v>296</v>
      </c>
      <c r="C177" s="50" t="s">
        <v>324</v>
      </c>
      <c r="D177" s="50">
        <v>296</v>
      </c>
      <c r="E177" s="51">
        <v>0.6</v>
      </c>
      <c r="F177" s="51">
        <v>0.3</v>
      </c>
      <c r="G177" s="51">
        <v>0</v>
      </c>
      <c r="H177" s="51">
        <v>0.1</v>
      </c>
      <c r="I177" s="49">
        <f t="shared" si="6"/>
        <v>4.8666666666666663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>Alisier torminal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79" t="s">
        <v>186</v>
      </c>
      <c r="D190" s="279"/>
      <c r="E190" s="280" t="s">
        <v>187</v>
      </c>
      <c r="F190" s="281"/>
      <c r="G190" s="281"/>
      <c r="H190" s="28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>
        <v>42</v>
      </c>
      <c r="B192" s="60">
        <v>113</v>
      </c>
      <c r="C192" s="60">
        <v>1</v>
      </c>
      <c r="D192" s="60">
        <v>30</v>
      </c>
      <c r="E192" s="51">
        <v>0</v>
      </c>
      <c r="F192" s="51">
        <v>0</v>
      </c>
      <c r="G192" s="51">
        <v>0</v>
      </c>
      <c r="H192" s="51">
        <v>1</v>
      </c>
      <c r="I192" s="49">
        <f>IFERROR(B192/A192,"")</f>
        <v>2.6904761904761907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>
        <v>48</v>
      </c>
      <c r="B193" s="60">
        <v>120</v>
      </c>
      <c r="C193" s="60">
        <v>2</v>
      </c>
      <c r="D193" s="60">
        <v>28</v>
      </c>
      <c r="E193" s="51">
        <v>0</v>
      </c>
      <c r="F193" s="51">
        <v>0</v>
      </c>
      <c r="G193" s="51">
        <v>0</v>
      </c>
      <c r="H193" s="51">
        <v>1</v>
      </c>
      <c r="I193" s="49">
        <f t="shared" ref="I193:I211" si="7">IF(A193&lt;&gt;0,(B193-(B192-D192))/(A193-A192),"")</f>
        <v>6.166666666666667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>
        <v>56</v>
      </c>
      <c r="B194" s="60">
        <v>138</v>
      </c>
      <c r="C194" s="60">
        <v>3</v>
      </c>
      <c r="D194" s="60">
        <v>36</v>
      </c>
      <c r="E194" s="51">
        <v>0</v>
      </c>
      <c r="F194" s="51">
        <v>0</v>
      </c>
      <c r="G194" s="51">
        <v>0</v>
      </c>
      <c r="H194" s="51">
        <v>1</v>
      </c>
      <c r="I194" s="49">
        <f t="shared" si="7"/>
        <v>5.75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>
        <v>64</v>
      </c>
      <c r="B195" s="60">
        <v>155</v>
      </c>
      <c r="C195" s="60">
        <v>4</v>
      </c>
      <c r="D195" s="60">
        <v>41</v>
      </c>
      <c r="E195" s="51">
        <v>0</v>
      </c>
      <c r="F195" s="51">
        <v>0.7</v>
      </c>
      <c r="G195" s="51">
        <v>0</v>
      </c>
      <c r="H195" s="51">
        <v>0.3</v>
      </c>
      <c r="I195" s="49">
        <f t="shared" si="7"/>
        <v>6.625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>
        <v>72</v>
      </c>
      <c r="B196" s="60">
        <v>160</v>
      </c>
      <c r="C196" s="60">
        <v>5</v>
      </c>
      <c r="D196" s="60">
        <v>32</v>
      </c>
      <c r="E196" s="51">
        <v>0</v>
      </c>
      <c r="F196" s="51">
        <v>0.7</v>
      </c>
      <c r="G196" s="51">
        <v>0</v>
      </c>
      <c r="H196" s="51">
        <v>0.3</v>
      </c>
      <c r="I196" s="49">
        <f t="shared" si="7"/>
        <v>5.75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>
        <v>81</v>
      </c>
      <c r="B197" s="60">
        <v>173</v>
      </c>
      <c r="C197" s="60">
        <v>6</v>
      </c>
      <c r="D197" s="60">
        <v>31</v>
      </c>
      <c r="E197" s="51">
        <v>0.2</v>
      </c>
      <c r="F197" s="51">
        <v>0.5</v>
      </c>
      <c r="G197" s="51">
        <v>0</v>
      </c>
      <c r="H197" s="51">
        <v>0.3</v>
      </c>
      <c r="I197" s="49">
        <f t="shared" si="7"/>
        <v>5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>
        <v>90</v>
      </c>
      <c r="B198" s="60">
        <v>184</v>
      </c>
      <c r="C198" s="60">
        <v>7</v>
      </c>
      <c r="D198" s="60">
        <v>30</v>
      </c>
      <c r="E198" s="51">
        <v>0.2</v>
      </c>
      <c r="F198" s="51">
        <v>0.5</v>
      </c>
      <c r="G198" s="51">
        <v>0</v>
      </c>
      <c r="H198" s="51">
        <v>0.3</v>
      </c>
      <c r="I198" s="49">
        <f t="shared" si="7"/>
        <v>4.666666666666667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>
        <v>102</v>
      </c>
      <c r="B199" s="50">
        <v>211</v>
      </c>
      <c r="C199" s="50">
        <v>8</v>
      </c>
      <c r="D199" s="50">
        <v>41</v>
      </c>
      <c r="E199" s="51">
        <v>0.2</v>
      </c>
      <c r="F199" s="51">
        <v>0.5</v>
      </c>
      <c r="G199" s="51">
        <v>0</v>
      </c>
      <c r="H199" s="51">
        <v>0.3</v>
      </c>
      <c r="I199" s="49">
        <f t="shared" si="7"/>
        <v>4.75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>
        <v>114</v>
      </c>
      <c r="B200" s="50">
        <v>225</v>
      </c>
      <c r="C200" s="50">
        <v>9</v>
      </c>
      <c r="D200" s="50">
        <v>37</v>
      </c>
      <c r="E200" s="51">
        <v>0.3</v>
      </c>
      <c r="F200" s="51">
        <v>0.5</v>
      </c>
      <c r="G200" s="51">
        <v>0</v>
      </c>
      <c r="H200" s="51">
        <v>0.2</v>
      </c>
      <c r="I200" s="49">
        <f t="shared" si="7"/>
        <v>4.583333333333333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>
        <v>126</v>
      </c>
      <c r="B201" s="50">
        <v>244</v>
      </c>
      <c r="C201" s="50">
        <v>10</v>
      </c>
      <c r="D201" s="50">
        <v>38</v>
      </c>
      <c r="E201" s="51">
        <v>0.4</v>
      </c>
      <c r="F201" s="51">
        <v>0.4</v>
      </c>
      <c r="G201" s="51">
        <v>0</v>
      </c>
      <c r="H201" s="51">
        <v>0.2</v>
      </c>
      <c r="I201" s="49">
        <f t="shared" si="7"/>
        <v>4.666666666666667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>
        <v>138</v>
      </c>
      <c r="B202" s="50">
        <v>262</v>
      </c>
      <c r="C202" s="50">
        <v>11</v>
      </c>
      <c r="D202" s="50">
        <v>39</v>
      </c>
      <c r="E202" s="51">
        <v>0.6</v>
      </c>
      <c r="F202" s="51">
        <v>0.3</v>
      </c>
      <c r="G202" s="51">
        <v>0</v>
      </c>
      <c r="H202" s="51">
        <v>0.1</v>
      </c>
      <c r="I202" s="49">
        <f t="shared" si="7"/>
        <v>4.666666666666667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>
        <v>153</v>
      </c>
      <c r="B203" s="50">
        <v>296</v>
      </c>
      <c r="C203" s="50" t="s">
        <v>324</v>
      </c>
      <c r="D203" s="50">
        <v>296</v>
      </c>
      <c r="E203" s="51">
        <v>0.6</v>
      </c>
      <c r="F203" s="51">
        <v>0.3</v>
      </c>
      <c r="G203" s="51">
        <v>0</v>
      </c>
      <c r="H203" s="51">
        <v>0.1</v>
      </c>
      <c r="I203" s="49">
        <f t="shared" si="7"/>
        <v>4.8666666666666663</v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>Merisier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79" t="s">
        <v>186</v>
      </c>
      <c r="D216" s="279"/>
      <c r="E216" s="280" t="s">
        <v>187</v>
      </c>
      <c r="F216" s="281"/>
      <c r="G216" s="281"/>
      <c r="H216" s="28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>
        <v>15</v>
      </c>
      <c r="B218" s="60">
        <v>22</v>
      </c>
      <c r="C218" s="50">
        <v>0</v>
      </c>
      <c r="D218" s="60">
        <v>15</v>
      </c>
      <c r="E218" s="63">
        <v>0</v>
      </c>
      <c r="F218" s="63">
        <v>0</v>
      </c>
      <c r="G218" s="63">
        <v>0</v>
      </c>
      <c r="H218" s="63">
        <v>0</v>
      </c>
      <c r="I218" s="53">
        <f>IFERROR(B218/A218,"")</f>
        <v>1.4666666666666666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>
        <v>20</v>
      </c>
      <c r="B219" s="60">
        <v>52</v>
      </c>
      <c r="C219" s="50">
        <v>1</v>
      </c>
      <c r="D219" s="60">
        <v>28</v>
      </c>
      <c r="E219" s="63">
        <v>0</v>
      </c>
      <c r="F219" s="63">
        <v>0.25</v>
      </c>
      <c r="G219" s="63">
        <v>0.25</v>
      </c>
      <c r="H219" s="63">
        <v>0.5</v>
      </c>
      <c r="I219" s="53">
        <f t="shared" ref="I219:I237" si="8">IF(A219&lt;&gt;0,(B219-(B218-D218))/(A219-A218),"")</f>
        <v>9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>
        <v>25</v>
      </c>
      <c r="B220" s="60">
        <v>87</v>
      </c>
      <c r="C220" s="50">
        <v>2</v>
      </c>
      <c r="D220" s="60">
        <v>28</v>
      </c>
      <c r="E220" s="63">
        <v>0</v>
      </c>
      <c r="F220" s="63">
        <v>0.25</v>
      </c>
      <c r="G220" s="63">
        <v>0.25</v>
      </c>
      <c r="H220" s="63">
        <v>0.5</v>
      </c>
      <c r="I220" s="53">
        <f t="shared" si="8"/>
        <v>12.6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>
        <v>30</v>
      </c>
      <c r="B221" s="55">
        <v>118</v>
      </c>
      <c r="C221" s="55">
        <v>3</v>
      </c>
      <c r="D221" s="55">
        <v>28</v>
      </c>
      <c r="E221" s="63">
        <v>0</v>
      </c>
      <c r="F221" s="63">
        <v>0.25</v>
      </c>
      <c r="G221" s="63">
        <v>0.25</v>
      </c>
      <c r="H221" s="63">
        <v>0.5</v>
      </c>
      <c r="I221" s="53">
        <f t="shared" si="8"/>
        <v>11.8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>
        <v>35</v>
      </c>
      <c r="B222" s="55">
        <v>144</v>
      </c>
      <c r="C222" s="55">
        <v>4</v>
      </c>
      <c r="D222" s="55">
        <v>28</v>
      </c>
      <c r="E222" s="63">
        <v>0</v>
      </c>
      <c r="F222" s="63">
        <v>0.35</v>
      </c>
      <c r="G222" s="63">
        <v>0.35</v>
      </c>
      <c r="H222" s="63">
        <v>0.3</v>
      </c>
      <c r="I222" s="53">
        <f t="shared" si="8"/>
        <v>10.8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>
        <v>40</v>
      </c>
      <c r="B223" s="55">
        <v>164</v>
      </c>
      <c r="C223" s="55">
        <v>5</v>
      </c>
      <c r="D223" s="55">
        <v>28</v>
      </c>
      <c r="E223" s="63">
        <v>0</v>
      </c>
      <c r="F223" s="63">
        <v>0.4</v>
      </c>
      <c r="G223" s="63">
        <v>0.4</v>
      </c>
      <c r="H223" s="63">
        <v>0.2</v>
      </c>
      <c r="I223" s="53">
        <f t="shared" si="8"/>
        <v>9.6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>
        <v>45</v>
      </c>
      <c r="B224" s="55">
        <v>183</v>
      </c>
      <c r="C224" s="55">
        <v>6</v>
      </c>
      <c r="D224" s="55">
        <v>22</v>
      </c>
      <c r="E224" s="63">
        <v>0</v>
      </c>
      <c r="F224" s="63">
        <v>0.4</v>
      </c>
      <c r="G224" s="63">
        <v>0.4</v>
      </c>
      <c r="H224" s="63">
        <v>0.2</v>
      </c>
      <c r="I224" s="53">
        <f t="shared" si="8"/>
        <v>9.4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>
        <v>50</v>
      </c>
      <c r="B225" s="55">
        <v>202</v>
      </c>
      <c r="C225" s="55">
        <v>7</v>
      </c>
      <c r="D225" s="55">
        <v>17</v>
      </c>
      <c r="E225" s="63">
        <v>0</v>
      </c>
      <c r="F225" s="63">
        <v>0.4</v>
      </c>
      <c r="G225" s="63">
        <v>0.4</v>
      </c>
      <c r="H225" s="63">
        <v>0.2</v>
      </c>
      <c r="I225" s="53">
        <f t="shared" si="8"/>
        <v>8.1999999999999993</v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>
        <v>55</v>
      </c>
      <c r="B226" s="55">
        <v>219</v>
      </c>
      <c r="C226" s="55">
        <v>8</v>
      </c>
      <c r="D226" s="55">
        <v>13</v>
      </c>
      <c r="E226" s="63">
        <v>0</v>
      </c>
      <c r="F226" s="63">
        <v>0.4</v>
      </c>
      <c r="G226" s="63">
        <v>0.4</v>
      </c>
      <c r="H226" s="63">
        <v>0.2</v>
      </c>
      <c r="I226" s="53">
        <f t="shared" si="8"/>
        <v>6.8</v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>
        <v>60</v>
      </c>
      <c r="B227" s="55">
        <v>233</v>
      </c>
      <c r="C227" s="55">
        <v>9</v>
      </c>
      <c r="D227" s="55">
        <v>12</v>
      </c>
      <c r="E227" s="63">
        <v>0.2</v>
      </c>
      <c r="F227" s="63">
        <v>0.3</v>
      </c>
      <c r="G227" s="63">
        <v>0.3</v>
      </c>
      <c r="H227" s="63">
        <v>0.2</v>
      </c>
      <c r="I227" s="53">
        <f t="shared" si="8"/>
        <v>5.4</v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>
        <v>65</v>
      </c>
      <c r="B228" s="55">
        <v>244</v>
      </c>
      <c r="C228" s="55">
        <v>10</v>
      </c>
      <c r="D228" s="55">
        <v>11</v>
      </c>
      <c r="E228" s="63">
        <v>0.2</v>
      </c>
      <c r="F228" s="63">
        <v>0.3</v>
      </c>
      <c r="G228" s="63">
        <v>0.3</v>
      </c>
      <c r="H228" s="63">
        <v>0.2</v>
      </c>
      <c r="I228" s="53">
        <f t="shared" si="8"/>
        <v>4.5999999999999996</v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>
        <v>70</v>
      </c>
      <c r="B229" s="55">
        <v>253</v>
      </c>
      <c r="C229" s="55">
        <v>11</v>
      </c>
      <c r="D229" s="55">
        <v>10</v>
      </c>
      <c r="E229" s="63">
        <v>0.3</v>
      </c>
      <c r="F229" s="63">
        <v>0.25</v>
      </c>
      <c r="G229" s="63">
        <v>0.25</v>
      </c>
      <c r="H229" s="63">
        <v>0.2</v>
      </c>
      <c r="I229" s="53">
        <f t="shared" si="8"/>
        <v>4</v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>
        <v>75</v>
      </c>
      <c r="B230" s="55">
        <v>261</v>
      </c>
      <c r="C230" s="55">
        <v>12</v>
      </c>
      <c r="D230" s="55">
        <v>9</v>
      </c>
      <c r="E230" s="64">
        <v>0.4</v>
      </c>
      <c r="F230" s="64">
        <v>0.2</v>
      </c>
      <c r="G230" s="64">
        <v>0.2</v>
      </c>
      <c r="H230" s="64">
        <v>0.2</v>
      </c>
      <c r="I230" s="53">
        <f t="shared" si="8"/>
        <v>3.6</v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>
        <v>80</v>
      </c>
      <c r="B231" s="60">
        <v>267</v>
      </c>
      <c r="C231" s="88" t="s">
        <v>324</v>
      </c>
      <c r="D231" s="60">
        <v>267</v>
      </c>
      <c r="E231" s="54">
        <v>0.6</v>
      </c>
      <c r="F231" s="54">
        <v>0.1</v>
      </c>
      <c r="G231" s="54">
        <v>0.1</v>
      </c>
      <c r="H231" s="54">
        <v>0.2</v>
      </c>
      <c r="I231" s="53">
        <f t="shared" si="8"/>
        <v>3</v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>Mélèze hybride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79" t="s">
        <v>186</v>
      </c>
      <c r="D242" s="279"/>
      <c r="E242" s="280" t="s">
        <v>187</v>
      </c>
      <c r="F242" s="281"/>
      <c r="G242" s="281"/>
      <c r="H242" s="28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>
        <v>18</v>
      </c>
      <c r="B244" s="60">
        <v>112</v>
      </c>
      <c r="C244" s="60">
        <v>1</v>
      </c>
      <c r="D244" s="60">
        <v>20</v>
      </c>
      <c r="E244" s="51">
        <v>0</v>
      </c>
      <c r="F244" s="51">
        <v>1</v>
      </c>
      <c r="G244" s="51">
        <v>0</v>
      </c>
      <c r="H244" s="63">
        <v>0</v>
      </c>
      <c r="I244" s="53">
        <f>IFERROR(B244/A244,"")</f>
        <v>6.2222222222222223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>
        <v>21</v>
      </c>
      <c r="B245" s="60">
        <v>146</v>
      </c>
      <c r="C245" s="60">
        <v>2</v>
      </c>
      <c r="D245" s="60">
        <v>26</v>
      </c>
      <c r="E245" s="63">
        <v>0</v>
      </c>
      <c r="F245" s="63">
        <v>1</v>
      </c>
      <c r="G245" s="63">
        <v>0</v>
      </c>
      <c r="H245" s="63">
        <v>0</v>
      </c>
      <c r="I245" s="53">
        <f>IF(A245&lt;&gt;0,(B245-(B244-D244))/(A245-A244),"")</f>
        <v>18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>
        <v>24</v>
      </c>
      <c r="B246" s="60">
        <v>168</v>
      </c>
      <c r="C246" s="60">
        <v>3</v>
      </c>
      <c r="D246" s="60">
        <v>29</v>
      </c>
      <c r="E246" s="63">
        <v>0</v>
      </c>
      <c r="F246" s="63">
        <v>1</v>
      </c>
      <c r="G246" s="63">
        <v>0</v>
      </c>
      <c r="H246" s="63">
        <v>0</v>
      </c>
      <c r="I246" s="53">
        <f>IF(A246&lt;&gt;0,(B246-(B245-D245))/(A246-A245),"")</f>
        <v>16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>
        <v>30</v>
      </c>
      <c r="B247" s="60">
        <v>224</v>
      </c>
      <c r="C247" s="60">
        <v>4</v>
      </c>
      <c r="D247" s="60">
        <v>53</v>
      </c>
      <c r="E247" s="63">
        <v>0.1</v>
      </c>
      <c r="F247" s="63">
        <v>0.9</v>
      </c>
      <c r="G247" s="63">
        <v>0</v>
      </c>
      <c r="H247" s="63">
        <v>0</v>
      </c>
      <c r="I247" s="53">
        <f t="shared" ref="I247:I263" si="9">IF(A247&lt;&gt;0,(B247-(B246-D246))/(A247-A246),"")</f>
        <v>14.166666666666666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>
        <v>36</v>
      </c>
      <c r="B248" s="60">
        <v>248</v>
      </c>
      <c r="C248" s="60">
        <v>5</v>
      </c>
      <c r="D248" s="60">
        <v>62</v>
      </c>
      <c r="E248" s="63">
        <v>0.3</v>
      </c>
      <c r="F248" s="63">
        <v>0.7</v>
      </c>
      <c r="G248" s="63">
        <v>0</v>
      </c>
      <c r="H248" s="63">
        <v>0</v>
      </c>
      <c r="I248" s="53">
        <f t="shared" si="9"/>
        <v>12.833333333333334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>
        <v>42</v>
      </c>
      <c r="B249" s="60">
        <v>255</v>
      </c>
      <c r="C249" s="60">
        <v>6</v>
      </c>
      <c r="D249" s="60">
        <v>67</v>
      </c>
      <c r="E249" s="63">
        <v>0.4</v>
      </c>
      <c r="F249" s="63">
        <v>0.6</v>
      </c>
      <c r="G249" s="63">
        <v>0</v>
      </c>
      <c r="H249" s="63">
        <v>0</v>
      </c>
      <c r="I249" s="53">
        <f t="shared" si="9"/>
        <v>11.5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>
        <v>48</v>
      </c>
      <c r="B250" s="60">
        <v>252</v>
      </c>
      <c r="C250" s="60">
        <v>7</v>
      </c>
      <c r="D250" s="60">
        <v>65</v>
      </c>
      <c r="E250" s="63">
        <v>0.7</v>
      </c>
      <c r="F250" s="63">
        <v>0.3</v>
      </c>
      <c r="G250" s="63">
        <v>0</v>
      </c>
      <c r="H250" s="63">
        <v>0</v>
      </c>
      <c r="I250" s="53">
        <f t="shared" si="9"/>
        <v>10.666666666666666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>
        <v>60</v>
      </c>
      <c r="B251" s="55">
        <v>304</v>
      </c>
      <c r="C251" s="55" t="s">
        <v>324</v>
      </c>
      <c r="D251" s="55">
        <v>304</v>
      </c>
      <c r="E251" s="63">
        <v>0.7</v>
      </c>
      <c r="F251" s="63">
        <v>0.3</v>
      </c>
      <c r="G251" s="63">
        <v>0</v>
      </c>
      <c r="H251" s="63">
        <v>0</v>
      </c>
      <c r="I251" s="53">
        <f t="shared" si="9"/>
        <v>9.75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>Erable sycomore</v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79" t="s">
        <v>186</v>
      </c>
      <c r="D268" s="279"/>
      <c r="E268" s="280" t="s">
        <v>187</v>
      </c>
      <c r="F268" s="281"/>
      <c r="G268" s="281"/>
      <c r="H268" s="28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>
        <v>15</v>
      </c>
      <c r="B270" s="60">
        <v>22</v>
      </c>
      <c r="C270" s="50">
        <v>0</v>
      </c>
      <c r="D270" s="60">
        <v>15</v>
      </c>
      <c r="E270" s="51">
        <v>0</v>
      </c>
      <c r="F270" s="51">
        <v>0</v>
      </c>
      <c r="G270" s="51">
        <v>0</v>
      </c>
      <c r="H270" s="51">
        <v>0</v>
      </c>
      <c r="I270" s="53">
        <f>IFERROR(B270/A270,"")</f>
        <v>1.4666666666666666</v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>
        <v>20</v>
      </c>
      <c r="B271" s="60">
        <v>52</v>
      </c>
      <c r="C271" s="50">
        <v>1</v>
      </c>
      <c r="D271" s="60">
        <v>28</v>
      </c>
      <c r="E271" s="51">
        <v>0</v>
      </c>
      <c r="F271" s="51">
        <v>0.25</v>
      </c>
      <c r="G271" s="51">
        <v>0.25</v>
      </c>
      <c r="H271" s="51">
        <v>0.5</v>
      </c>
      <c r="I271" s="53">
        <f>IF(A271&lt;&gt;0,(B271-(B270-D270))/(A271-A270),"")</f>
        <v>9</v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>
        <v>25</v>
      </c>
      <c r="B272" s="60">
        <v>87</v>
      </c>
      <c r="C272" s="50">
        <v>2</v>
      </c>
      <c r="D272" s="60">
        <v>28</v>
      </c>
      <c r="E272" s="51">
        <v>0</v>
      </c>
      <c r="F272" s="51">
        <v>0.25</v>
      </c>
      <c r="G272" s="51">
        <v>0.25</v>
      </c>
      <c r="H272" s="51">
        <v>0.5</v>
      </c>
      <c r="I272" s="53">
        <f t="shared" ref="I272:I289" si="10">IF(A272&lt;&gt;0,(B272-(B271-D271))/(A272-A271),"")</f>
        <v>12.6</v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>
        <v>30</v>
      </c>
      <c r="B273" s="60">
        <v>118</v>
      </c>
      <c r="C273" s="50">
        <v>3</v>
      </c>
      <c r="D273" s="60">
        <v>28</v>
      </c>
      <c r="E273" s="51">
        <v>0</v>
      </c>
      <c r="F273" s="51">
        <v>0.25</v>
      </c>
      <c r="G273" s="51">
        <v>0.25</v>
      </c>
      <c r="H273" s="51">
        <v>0.5</v>
      </c>
      <c r="I273" s="53">
        <f t="shared" si="10"/>
        <v>11.8</v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>
        <v>35</v>
      </c>
      <c r="B274" s="60">
        <v>144</v>
      </c>
      <c r="C274" s="50">
        <v>4</v>
      </c>
      <c r="D274" s="60">
        <v>28</v>
      </c>
      <c r="E274" s="51">
        <v>0</v>
      </c>
      <c r="F274" s="51">
        <v>0.35</v>
      </c>
      <c r="G274" s="51">
        <v>0.35</v>
      </c>
      <c r="H274" s="51">
        <v>0.3</v>
      </c>
      <c r="I274" s="53">
        <f t="shared" si="10"/>
        <v>10.8</v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>
        <v>40</v>
      </c>
      <c r="B275" s="60">
        <v>164</v>
      </c>
      <c r="C275" s="50">
        <v>5</v>
      </c>
      <c r="D275" s="60">
        <v>28</v>
      </c>
      <c r="E275" s="63">
        <v>0</v>
      </c>
      <c r="F275" s="63">
        <v>0.4</v>
      </c>
      <c r="G275" s="63">
        <v>0.4</v>
      </c>
      <c r="H275" s="63">
        <v>0.2</v>
      </c>
      <c r="I275" s="53">
        <f t="shared" si="10"/>
        <v>9.6</v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>
        <v>45</v>
      </c>
      <c r="B276" s="60">
        <v>183</v>
      </c>
      <c r="C276" s="50">
        <v>6</v>
      </c>
      <c r="D276" s="60">
        <v>22</v>
      </c>
      <c r="E276" s="63">
        <v>0</v>
      </c>
      <c r="F276" s="63">
        <v>0.4</v>
      </c>
      <c r="G276" s="63">
        <v>0.4</v>
      </c>
      <c r="H276" s="63">
        <v>0.2</v>
      </c>
      <c r="I276" s="53">
        <f t="shared" si="10"/>
        <v>9.4</v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>
        <v>50</v>
      </c>
      <c r="B277" s="55">
        <v>202</v>
      </c>
      <c r="C277" s="55">
        <v>7</v>
      </c>
      <c r="D277" s="55">
        <v>17</v>
      </c>
      <c r="E277" s="63">
        <v>0</v>
      </c>
      <c r="F277" s="63">
        <v>0.4</v>
      </c>
      <c r="G277" s="63">
        <v>0.4</v>
      </c>
      <c r="H277" s="63">
        <v>0.2</v>
      </c>
      <c r="I277" s="53">
        <f t="shared" si="10"/>
        <v>8.1999999999999993</v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>
        <v>55</v>
      </c>
      <c r="B278" s="55">
        <v>219</v>
      </c>
      <c r="C278" s="55">
        <v>8</v>
      </c>
      <c r="D278" s="55">
        <v>13</v>
      </c>
      <c r="E278" s="63">
        <v>0</v>
      </c>
      <c r="F278" s="63">
        <v>0.4</v>
      </c>
      <c r="G278" s="63">
        <v>0.4</v>
      </c>
      <c r="H278" s="63">
        <v>0.2</v>
      </c>
      <c r="I278" s="53">
        <f t="shared" si="10"/>
        <v>6.8</v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>
        <v>60</v>
      </c>
      <c r="B279" s="55">
        <v>233</v>
      </c>
      <c r="C279" s="55">
        <v>9</v>
      </c>
      <c r="D279" s="55">
        <v>12</v>
      </c>
      <c r="E279" s="63">
        <v>0.2</v>
      </c>
      <c r="F279" s="63">
        <v>0.3</v>
      </c>
      <c r="G279" s="63">
        <v>0.3</v>
      </c>
      <c r="H279" s="63">
        <v>0.2</v>
      </c>
      <c r="I279" s="53">
        <f t="shared" si="10"/>
        <v>5.4</v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>
        <v>65</v>
      </c>
      <c r="B280" s="55">
        <v>244</v>
      </c>
      <c r="C280" s="55">
        <v>10</v>
      </c>
      <c r="D280" s="55">
        <v>11</v>
      </c>
      <c r="E280" s="63">
        <v>0.2</v>
      </c>
      <c r="F280" s="63">
        <v>0.3</v>
      </c>
      <c r="G280" s="63">
        <v>0.3</v>
      </c>
      <c r="H280" s="63">
        <v>0.2</v>
      </c>
      <c r="I280" s="53">
        <f t="shared" si="10"/>
        <v>4.5999999999999996</v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>
        <v>70</v>
      </c>
      <c r="B281" s="55">
        <v>253</v>
      </c>
      <c r="C281" s="55">
        <v>11</v>
      </c>
      <c r="D281" s="55">
        <v>10</v>
      </c>
      <c r="E281" s="63">
        <v>0.3</v>
      </c>
      <c r="F281" s="63">
        <v>0.25</v>
      </c>
      <c r="G281" s="63">
        <v>0.25</v>
      </c>
      <c r="H281" s="63">
        <v>0.2</v>
      </c>
      <c r="I281" s="53">
        <f t="shared" si="10"/>
        <v>4</v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>
        <v>75</v>
      </c>
      <c r="B282" s="55">
        <v>261</v>
      </c>
      <c r="C282" s="55">
        <v>12</v>
      </c>
      <c r="D282" s="55">
        <v>9</v>
      </c>
      <c r="E282" s="64">
        <v>0.4</v>
      </c>
      <c r="F282" s="64">
        <v>0.2</v>
      </c>
      <c r="G282" s="64">
        <v>0.2</v>
      </c>
      <c r="H282" s="64">
        <v>0.2</v>
      </c>
      <c r="I282" s="53">
        <f t="shared" si="10"/>
        <v>3.6</v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>
        <v>80</v>
      </c>
      <c r="B283" s="60">
        <v>267</v>
      </c>
      <c r="C283" s="88" t="s">
        <v>324</v>
      </c>
      <c r="D283" s="60">
        <v>267</v>
      </c>
      <c r="E283" s="54">
        <v>0.6</v>
      </c>
      <c r="F283" s="54">
        <v>0.1</v>
      </c>
      <c r="G283" s="54">
        <v>0.1</v>
      </c>
      <c r="H283" s="54">
        <v>0.2</v>
      </c>
      <c r="I283" s="53">
        <f t="shared" si="10"/>
        <v>3</v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2" zoomScaleNormal="100" workbookViewId="0">
      <selection activeCell="G24" sqref="G24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92" t="s">
        <v>191</v>
      </c>
      <c r="C2" s="293"/>
      <c r="D2" s="293"/>
      <c r="E2" s="293"/>
      <c r="F2" s="293"/>
      <c r="G2" s="29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91"/>
      <c r="C4" s="291"/>
      <c r="D4" s="291"/>
      <c r="E4" s="291"/>
      <c r="F4" s="291"/>
      <c r="G4" s="29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98" t="s">
        <v>176</v>
      </c>
      <c r="C1" s="299"/>
      <c r="D1" s="299"/>
      <c r="E1" s="299"/>
      <c r="F1" s="299"/>
      <c r="G1" s="299"/>
      <c r="H1" s="300"/>
      <c r="I1" s="295" t="str">
        <f>IF('Données projet'!$B$9="","",'Données projet'!$B$9)</f>
        <v>Pin laricio</v>
      </c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7"/>
      <c r="AD1" s="296" t="str">
        <f>IF('Données projet'!$B$10="","",'Données projet'!$B$10)</f>
        <v>Pin laricio</v>
      </c>
      <c r="AE1" s="296"/>
      <c r="AF1" s="296"/>
      <c r="AG1" s="296"/>
      <c r="AH1" s="296"/>
      <c r="AI1" s="296"/>
      <c r="AJ1" s="296"/>
      <c r="AK1" s="296"/>
      <c r="AL1" s="296"/>
      <c r="AM1" s="296"/>
      <c r="AN1" s="296"/>
      <c r="AO1" s="296"/>
      <c r="AP1" s="296"/>
      <c r="AQ1" s="296"/>
      <c r="AR1" s="296"/>
      <c r="AS1" s="296"/>
      <c r="AT1" s="296"/>
      <c r="AU1" s="296"/>
      <c r="AV1" s="296"/>
      <c r="AW1" s="296"/>
      <c r="AX1" s="297"/>
      <c r="AY1" s="295" t="str">
        <f>IF('Données projet'!$B$11="","",'Données projet'!$B$11)</f>
        <v>Mélèze d'Europe</v>
      </c>
      <c r="AZ1" s="296"/>
      <c r="BA1" s="296"/>
      <c r="BB1" s="296"/>
      <c r="BC1" s="296"/>
      <c r="BD1" s="296"/>
      <c r="BE1" s="296"/>
      <c r="BF1" s="296"/>
      <c r="BG1" s="296"/>
      <c r="BH1" s="296"/>
      <c r="BI1" s="296"/>
      <c r="BJ1" s="296"/>
      <c r="BK1" s="296"/>
      <c r="BL1" s="296"/>
      <c r="BM1" s="296"/>
      <c r="BN1" s="296"/>
      <c r="BO1" s="296"/>
      <c r="BP1" s="296"/>
      <c r="BQ1" s="296"/>
      <c r="BR1" s="296"/>
      <c r="BS1" s="297"/>
      <c r="BT1" s="295" t="str">
        <f>IF('Données projet'!$B$12="","",'Données projet'!$B$12)</f>
        <v>Cèdre de l'Atlas</v>
      </c>
      <c r="BU1" s="296"/>
      <c r="BV1" s="296"/>
      <c r="BW1" s="296"/>
      <c r="BX1" s="296"/>
      <c r="BY1" s="296"/>
      <c r="BZ1" s="296"/>
      <c r="CA1" s="296"/>
      <c r="CB1" s="296"/>
      <c r="CC1" s="296"/>
      <c r="CD1" s="296"/>
      <c r="CE1" s="296"/>
      <c r="CF1" s="296"/>
      <c r="CG1" s="296"/>
      <c r="CH1" s="296"/>
      <c r="CI1" s="296"/>
      <c r="CJ1" s="296"/>
      <c r="CK1" s="296"/>
      <c r="CL1" s="296"/>
      <c r="CM1" s="296"/>
      <c r="CN1" s="297"/>
      <c r="CO1" s="295" t="str">
        <f>IF('Données projet'!$B$13="","",'Données projet'!$B$13)</f>
        <v>Erable plane</v>
      </c>
      <c r="CP1" s="296"/>
      <c r="CQ1" s="296"/>
      <c r="CR1" s="296"/>
      <c r="CS1" s="296"/>
      <c r="CT1" s="296"/>
      <c r="CU1" s="296"/>
      <c r="CV1" s="296"/>
      <c r="CW1" s="296"/>
      <c r="CX1" s="296"/>
      <c r="CY1" s="296"/>
      <c r="CZ1" s="296"/>
      <c r="DA1" s="296"/>
      <c r="DB1" s="296"/>
      <c r="DC1" s="296"/>
      <c r="DD1" s="296"/>
      <c r="DE1" s="296"/>
      <c r="DF1" s="296"/>
      <c r="DG1" s="296"/>
      <c r="DH1" s="296"/>
      <c r="DI1" s="297"/>
      <c r="DJ1" s="295" t="str">
        <f>IF('Données projet'!$B$14="","",'Données projet'!$B$14)</f>
        <v>Chêne pubescent</v>
      </c>
      <c r="DK1" s="296"/>
      <c r="DL1" s="296"/>
      <c r="DM1" s="296"/>
      <c r="DN1" s="296"/>
      <c r="DO1" s="296"/>
      <c r="DP1" s="296"/>
      <c r="DQ1" s="296"/>
      <c r="DR1" s="296"/>
      <c r="DS1" s="296"/>
      <c r="DT1" s="296"/>
      <c r="DU1" s="296"/>
      <c r="DV1" s="296"/>
      <c r="DW1" s="296"/>
      <c r="DX1" s="296"/>
      <c r="DY1" s="296"/>
      <c r="DZ1" s="296"/>
      <c r="EA1" s="296"/>
      <c r="EB1" s="296"/>
      <c r="EC1" s="296"/>
      <c r="ED1" s="297"/>
      <c r="EE1" s="295" t="str">
        <f>IF('Données projet'!$B$15="","",'Données projet'!$B$15)</f>
        <v>Alisier torminal</v>
      </c>
      <c r="EF1" s="296"/>
      <c r="EG1" s="296"/>
      <c r="EH1" s="296"/>
      <c r="EI1" s="296"/>
      <c r="EJ1" s="296"/>
      <c r="EK1" s="296"/>
      <c r="EL1" s="296"/>
      <c r="EM1" s="296"/>
      <c r="EN1" s="296"/>
      <c r="EO1" s="296"/>
      <c r="EP1" s="296"/>
      <c r="EQ1" s="296"/>
      <c r="ER1" s="296"/>
      <c r="ES1" s="296"/>
      <c r="ET1" s="296"/>
      <c r="EU1" s="296"/>
      <c r="EV1" s="296"/>
      <c r="EW1" s="296"/>
      <c r="EX1" s="296"/>
      <c r="EY1" s="297"/>
      <c r="EZ1" s="295" t="str">
        <f>IF('Données projet'!$B$16="","",'Données projet'!$B$16)</f>
        <v>Merisier</v>
      </c>
      <c r="FA1" s="296"/>
      <c r="FB1" s="296"/>
      <c r="FC1" s="296"/>
      <c r="FD1" s="296"/>
      <c r="FE1" s="296"/>
      <c r="FF1" s="296"/>
      <c r="FG1" s="296"/>
      <c r="FH1" s="296"/>
      <c r="FI1" s="296"/>
      <c r="FJ1" s="296"/>
      <c r="FK1" s="296"/>
      <c r="FL1" s="296"/>
      <c r="FM1" s="296"/>
      <c r="FN1" s="296"/>
      <c r="FO1" s="296"/>
      <c r="FP1" s="296"/>
      <c r="FQ1" s="296"/>
      <c r="FR1" s="296"/>
      <c r="FS1" s="296"/>
      <c r="FT1" s="297"/>
      <c r="FU1" s="295" t="str">
        <f>IF('Données projet'!$B$17="","",'Données projet'!$B$17)</f>
        <v>Mélèze hybride</v>
      </c>
      <c r="FV1" s="296"/>
      <c r="FW1" s="296"/>
      <c r="FX1" s="296"/>
      <c r="FY1" s="296"/>
      <c r="FZ1" s="296"/>
      <c r="GA1" s="296"/>
      <c r="GB1" s="296"/>
      <c r="GC1" s="296"/>
      <c r="GD1" s="296"/>
      <c r="GE1" s="296"/>
      <c r="GF1" s="296"/>
      <c r="GG1" s="296"/>
      <c r="GH1" s="296"/>
      <c r="GI1" s="296"/>
      <c r="GJ1" s="296"/>
      <c r="GK1" s="296"/>
      <c r="GL1" s="296"/>
      <c r="GM1" s="296"/>
      <c r="GN1" s="296"/>
      <c r="GO1" s="297"/>
      <c r="GP1" s="295" t="str">
        <f>IF('Données projet'!$B$18="","",'Données projet'!$B$18)</f>
        <v>Erable sycomore</v>
      </c>
      <c r="GQ1" s="296"/>
      <c r="GR1" s="296"/>
      <c r="GS1" s="296"/>
      <c r="GT1" s="296"/>
      <c r="GU1" s="296"/>
      <c r="GV1" s="296"/>
      <c r="GW1" s="296"/>
      <c r="GX1" s="296"/>
      <c r="GY1" s="296"/>
      <c r="GZ1" s="296"/>
      <c r="HA1" s="296"/>
      <c r="HB1" s="296"/>
      <c r="HC1" s="296"/>
      <c r="HD1" s="296"/>
      <c r="HE1" s="296"/>
      <c r="HF1" s="296"/>
      <c r="HG1" s="296"/>
      <c r="HH1" s="296"/>
      <c r="HI1" s="296"/>
      <c r="HJ1" s="29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295.19075440119076</v>
      </c>
      <c r="T3" s="59">
        <f>IF('Données projet'!E9&gt;30,$R$33-$H$33,LOOKUP('Données projet'!$E$9,$A$3:$A$203,R3:R203)-LOOKUP('Données projet'!$E$9,$A$3:$A$203,$H$3:$H$203))</f>
        <v>173.0182327988216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294.45857786714919</v>
      </c>
      <c r="AO3" s="59">
        <f>IF('Données projet'!E10&gt;30,$AM$33-$H$33,LOOKUP('Données projet'!$E$10,$A$3:$A$203,AM3:AM203)-LOOKUP('Données projet'!$E$10,$A$3:$A$203,$H$3:$H$203))</f>
        <v>221.9773436301067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179.44051550872138</v>
      </c>
      <c r="BJ3" s="59">
        <f>IF('Données projet'!E11&gt;30,$BH$33-$H$33,LOOKUP('Données projet'!$E$11,$A$3:$A$203,BH3:BH203)-LOOKUP('Données projet'!$E$11,$A$3:$A$203,$H$3:$H$203))</f>
        <v>272.9500808380069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259.87681411271632</v>
      </c>
      <c r="CE3" s="59">
        <f>IF('Données projet'!E12&gt;30,$CC$33-$H$33,LOOKUP('Données projet'!$E$12,$A$3:$A$203,CC3:CC203)-LOOKUP('Données projet'!$E$12,$A$3:$A$203,$H$3:$H$203))</f>
        <v>191.8684235641158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198.11534486400666</v>
      </c>
      <c r="CZ3" s="59">
        <f>IF('Données projet'!E13&gt;30,$CX$33-$H$33,LOOKUP('Données projet'!$E$13,$A$3:$A$203,CX3:CX203)-LOOKUP('Données projet'!$E$13,$A$3:$A$203,$H$3:$H$203))</f>
        <v>174.29856796517652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247.92503505485405</v>
      </c>
      <c r="DU3" s="59">
        <f>IF('Données projet'!E14&gt;30,$DS$33-$H$33,LOOKUP('Données projet'!$E$14,$A$3:$A$203,DS3:DS203)-LOOKUP('Données projet'!$E$14,$A$3:$A$203,$H$3:$H$203))</f>
        <v>148.26437652597514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232.99870507181964</v>
      </c>
      <c r="EP3" s="59">
        <f>IF('Données projet'!E15&gt;30,$EN$33-$H$33,LOOKUP('Données projet'!$E$15,$A$3:$A$203,EN3:EN203)-LOOKUP('Données projet'!$E$15,$A$3:$A$203,$H$3:$H$203))</f>
        <v>140.07662669226278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193.47609744163839</v>
      </c>
      <c r="FK3" s="59">
        <f>IF('Données projet'!E16&gt;30,$FI$33-$H$33,LOOKUP('Données projet'!$E$16,$A$3:$A$203,FI3:FI203)-LOOKUP('Données projet'!$E$16,$A$3:$A$203,$H$3:$H$203))</f>
        <v>170.3221892406973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153.43773674911449</v>
      </c>
      <c r="GF3" s="59">
        <f>IF('Données projet'!E17&gt;30,$GD$33-$H$33,LOOKUP('Données projet'!$E$17,$A$3:$A$203,GD3:GD203)-LOOKUP('Données projet'!$E$17,$A$3:$A$203,$H$3:$H$203))</f>
        <v>235.49395036616602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>
        <f>GU3*VLOOKUP('Données projet'!$B$18,Paramètres!$A$1:$I$89,3,0)*VLOOKUP('Données projet'!$B$18,Paramètres!$A$1:$I$89,5,0)</f>
        <v>0</v>
      </c>
      <c r="GW3" s="12">
        <v>0</v>
      </c>
      <c r="GX3" s="14">
        <f>(GV3+GW3)*0.475*44/12</f>
        <v>0</v>
      </c>
      <c r="GY3" s="59">
        <f>GX3+(GP3+GQ3)*44/12</f>
        <v>293.33333333333331</v>
      </c>
      <c r="GZ3" s="59">
        <f ca="1">AVERAGE(OFFSET($GY$3,0,0,'Données projet'!$E$18+1,1))-AVERAGE(OFFSET($H$3,0,0,'Données projet'!$E$18+1,1))</f>
        <v>198.11534486400666</v>
      </c>
      <c r="HA3" s="59">
        <f>IF('Données projet'!E18&gt;30,$GY$33-$H$33,LOOKUP('Données projet'!$E$18,$A$3:$A$203,GY3:GY203)-LOOKUP('Données projet'!$E$18,$A$3:$A$203,$H$3:$H$203))</f>
        <v>174.29856796517652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2.95</v>
      </c>
      <c r="N4" s="13">
        <f>IF('Données projet'!$A$36&gt;35,N3+M4-V3,IF(A4&lt;'Données projet'!$A$36,$K$205^A4,IF(A4='Données projet'!$A$36,'Données projet'!$B$36,N3+M4-V3)))</f>
        <v>1.226147171351889</v>
      </c>
      <c r="O4" s="13">
        <f>N4*VLOOKUP('Données projet'!$B$9,Paramètres!$A$1:$I$89,3,0)*VLOOKUP('Données projet'!$B$9,Paramètres!$A$1:$I$89,5,0)</f>
        <v>0.73323600846842973</v>
      </c>
      <c r="P4" s="13">
        <f>EXP(-1.0587+0.8836*LN(O4)+0.284)</f>
        <v>0.35033334269676686</v>
      </c>
      <c r="Q4" s="20">
        <f t="shared" ref="Q4:Q34" si="2">(O4+P4)*0.475*44/12</f>
        <v>1.8872166199460507</v>
      </c>
      <c r="R4" s="59">
        <f t="shared" si="0"/>
        <v>295.22054995327937</v>
      </c>
      <c r="S4" s="59">
        <f ca="1">AVERAGE(OFFSET($R$3,0,0,'Données projet'!$E$9+1,1))-AVERAGE(OFFSET($H$3,0,0,'Données projet'!$E$9+1,1))</f>
        <v>295.19075440119076</v>
      </c>
      <c r="T4" s="59">
        <f>$T$3</f>
        <v>173.0182327988216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5.5909090909090908</v>
      </c>
      <c r="AI4" s="13">
        <f>IF('Données projet'!$A$62&gt;35,AI3+AH4-AQ3,IF(A4&lt;'Données projet'!$A$62,$AF$205^A4,IF(A4='Données projet'!$A$62,'Données projet'!$B$62,AI3+AH4-AQ3)))</f>
        <v>1.244502252163008</v>
      </c>
      <c r="AJ4" s="13">
        <f>AI4*VLOOKUP('Données projet'!$B$10,Paramètres!$A$1:$I$89,3,0)*VLOOKUP('Données projet'!$B$10,Paramètres!$A$1:$I$89,5,0)</f>
        <v>0.74421234679347892</v>
      </c>
      <c r="AK4" s="13">
        <f>EXP(-1.0587+0.8836*LN(AJ4)+0.284)</f>
        <v>0.3549632728022305</v>
      </c>
      <c r="AL4" s="20">
        <f t="shared" ref="AL4:AL67" si="4">(AJ4+AK4)*0.475*44/12</f>
        <v>1.9143975374625271</v>
      </c>
      <c r="AM4" s="59">
        <f t="shared" ref="AM4:AM67" si="5">AL4+(AD4+AE4)*44/12</f>
        <v>295.24773087079586</v>
      </c>
      <c r="AN4" s="59">
        <f ca="1">AVERAGE(OFFSET($AM$3,0,0,'Données projet'!$E$10+1,1))-AVERAGE(OFFSET($H$3,0,0,'Données projet'!$E$10+1,1))</f>
        <v>294.45857786714919</v>
      </c>
      <c r="AO4" s="59">
        <f>$AO$3</f>
        <v>221.9773436301067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0.81101714507569489</v>
      </c>
      <c r="BF4" s="13">
        <f>EXP(-1.0587+0.8836*LN(BE4)+0.284)</f>
        <v>0.38297551084354686</v>
      </c>
      <c r="BG4" s="20">
        <f t="shared" ref="BG4:BG67" si="7">(BE4+BF4)*0.475*44/12</f>
        <v>2.0795372090593456</v>
      </c>
      <c r="BH4" s="59">
        <f t="shared" ref="BH4:BH67" si="8">BG4+(AY4+AZ4)*44/12</f>
        <v>295.41287054239268</v>
      </c>
      <c r="BI4" s="59">
        <f ca="1">AVERAGE(OFFSET($BH$3,0,0,'Données projet'!$E$11+1,1))-AVERAGE(OFFSET($H$3,0,0,'Données projet'!$E$11+1,1))</f>
        <v>179.44051550872138</v>
      </c>
      <c r="BJ4" s="59">
        <f>$BJ$3</f>
        <v>272.9500808380069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7.9</v>
      </c>
      <c r="BY4" s="12">
        <f>IF('Données projet'!$A$114&gt;35,BY3+BX4-CG3,IF(A4&lt;'Données projet'!$A$114,$BV$205^A4,IF(A4='Données projet'!$A$114,'Données projet'!$B$114,BY3+BX4-CG3)))</f>
        <v>1.2880503926580862</v>
      </c>
      <c r="BZ4" s="13">
        <f>BY4*VLOOKUP('Données projet'!$B$12,Paramètres!$A$1:$I$89,3,0)*VLOOKUP('Données projet'!$B$12,Paramètres!$A$1:$I$89,5,0)</f>
        <v>0.60280758376398436</v>
      </c>
      <c r="CA4" s="13">
        <f>EXP(-1.0587+0.8836*LN(BZ4)+0.284)</f>
        <v>0.29465781953181042</v>
      </c>
      <c r="CB4" s="20">
        <f t="shared" ref="CB4:CB67" si="10">(BZ4+CA4)*0.475*44/12</f>
        <v>1.5630855774068424</v>
      </c>
      <c r="CC4" s="59">
        <f t="shared" ref="CC4:CC67" si="11">CB4+(BT4+BU4)*44/12</f>
        <v>294.89641891074018</v>
      </c>
      <c r="CD4" s="59">
        <f ca="1">AVERAGE(OFFSET($CC$3,0,0,'Données projet'!$E$12+1,1))-AVERAGE(OFFSET($H$3,0,0,'Données projet'!$E$12+1,1))</f>
        <v>259.87681411271632</v>
      </c>
      <c r="CE4" s="59">
        <f>$CE$3</f>
        <v>191.8684235641158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1.4666666666666666</v>
      </c>
      <c r="CT4" s="12">
        <f>IF('Données projet'!$A$140&gt;35,CT3+CS4-DB3,IF(A4&lt;'Données projet'!$A$140,$CQ$205^A4,IF(A4='Données projet'!$A$140,'Données projet'!$B$140,CT3+CS4-DB3)))</f>
        <v>1.2288386014896442</v>
      </c>
      <c r="CU4" s="17">
        <f>CT4*VLOOKUP('Données projet'!$B$13,Paramètres!$A$1:$I$89,3,0)*VLOOKUP('Données projet'!$B$13,Paramètres!$A$1:$I$89,5,0)</f>
        <v>0.97766399134516102</v>
      </c>
      <c r="CV4" s="13">
        <f>EXP(-1.0587+0.8836*LN(CU4)+0.284)</f>
        <v>0.45173486724512302</v>
      </c>
      <c r="CW4" s="20">
        <f t="shared" ref="CW4:CW67" si="13">(CU4+CV4)*0.475*44/12</f>
        <v>2.4895363453780779</v>
      </c>
      <c r="CX4" s="59">
        <f t="shared" ref="CX4:CX67" si="14">CW4+(CO4+CP4)*44/12</f>
        <v>295.82286967871141</v>
      </c>
      <c r="CY4" s="59">
        <f ca="1">AVERAGE(OFFSET($CX$3,0,0,'Données projet'!$E$13+1,1))-AVERAGE(OFFSET($H$3,0,0,'Données projet'!$E$13+1,1))</f>
        <v>198.11534486400666</v>
      </c>
      <c r="CZ4" s="59">
        <f>$CZ$3</f>
        <v>174.29856796517652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2.6904761904761907</v>
      </c>
      <c r="DO4" s="12">
        <f>IF('Données projet'!$A$166&gt;35,DO3+DN4-DW3,IF(A4&lt;'Données projet'!$A$166,$DL$205^A4,IF(A4='Données projet'!$A$166,'Données projet'!$B$166,DO3+DN4-DW3)))</f>
        <v>2.6904761904761907</v>
      </c>
      <c r="DP4" s="17">
        <f>DO4*VLOOKUP('Données projet'!$B$14,Paramètres!$A$1:$I$89,3,0)*VLOOKUP('Données projet'!$B$14,Paramètres!$A$1:$I$89,5,0)</f>
        <v>2.7281428571428576</v>
      </c>
      <c r="DQ4" s="13">
        <f>EXP(-1.0587+0.8836*LN(DP4)+0.284)</f>
        <v>1.1186242800369344</v>
      </c>
      <c r="DR4" s="20">
        <f t="shared" ref="DR4:DR67" si="16">(DP4+DQ4)*0.475*44/12</f>
        <v>6.6997860972548038</v>
      </c>
      <c r="DS4" s="59">
        <f t="shared" ref="DS4:DS67" si="17">DR4+(DJ4+DK4)*44/12</f>
        <v>300.0331194305881</v>
      </c>
      <c r="DT4" s="59">
        <f ca="1">AVERAGE(OFFSET($DS$3,0,0,'Données projet'!$E$14+1,1))-AVERAGE(OFFSET($H$3,0,0,'Données projet'!$E$14+1,1))</f>
        <v>247.92503505485405</v>
      </c>
      <c r="DU4" s="59">
        <f>$DU$3</f>
        <v>148.26437652597514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2.6904761904761907</v>
      </c>
      <c r="EJ4" s="12">
        <f>IF('Données projet'!$A$192&gt;35,EJ3+EI4-ER3,IF(A4&lt;'Données projet'!$A$192,$EG$205^A4,IF(A4='Données projet'!$A$192,'Données projet'!$B$192,EJ3+EI4-ER3)))</f>
        <v>2.6904761904761907</v>
      </c>
      <c r="EK4" s="17">
        <f>EJ4*VLOOKUP('Données projet'!$B$15,Paramètres!$A$1:$I$89,3,0)*VLOOKUP('Données projet'!$B$15,Paramètres!$A$1:$I$89,5,0)</f>
        <v>2.6022285714285718</v>
      </c>
      <c r="EL4" s="13">
        <f>EXP(-1.0587+0.8836*LN(EK4)+0.284)</f>
        <v>1.0728803630968473</v>
      </c>
      <c r="EM4" s="20">
        <f t="shared" ref="EM4:EM67" si="19">(EK4+EL4)*0.475*44/12</f>
        <v>6.4008147276317713</v>
      </c>
      <c r="EN4" s="59">
        <f t="shared" ref="EN4:EN67" si="20">EM4+(EE4+EF4)*44/12</f>
        <v>299.73414806096508</v>
      </c>
      <c r="EO4" s="59">
        <f ca="1">AVERAGE(OFFSET($EN$3,0,0,'Données projet'!$E$15+1,1))-AVERAGE(OFFSET($H$3,0,0,'Données projet'!$E$15+1,1))</f>
        <v>232.99870507181964</v>
      </c>
      <c r="EP4" s="59">
        <f>$EP$3</f>
        <v>140.07662669226278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1.4666666666666666</v>
      </c>
      <c r="FE4" s="12">
        <f>IF('Données projet'!$A$218&gt;35,FE3+FD4-FM3,IF(A4&lt;'Données projet'!$A$218,$FB$205^A4,IF(A4='Données projet'!$A$218,'Données projet'!$B$218,FE3+FD4-FM3)))</f>
        <v>1.2288386014896442</v>
      </c>
      <c r="FF4" s="17">
        <f>FE4*VLOOKUP('Données projet'!$B$16,Paramètres!$A$1:$I$89,3,0)*VLOOKUP('Données projet'!$B$16,Paramètres!$A$1:$I$89,5,0)</f>
        <v>0.95849410916192246</v>
      </c>
      <c r="FG4" s="13">
        <f>EXP(-1.0587+0.8836*LN(FF4)+0.284)</f>
        <v>0.44389934192694425</v>
      </c>
      <c r="FH4" s="20">
        <f t="shared" ref="FH4:FH67" si="22">(FF4+FG4)*0.475*44/12</f>
        <v>2.4425019273131094</v>
      </c>
      <c r="FI4" s="59">
        <f t="shared" ref="FI4:FI67" si="23">FH4+(EZ4+FA4)*44/12</f>
        <v>295.77583526064643</v>
      </c>
      <c r="FJ4" s="59">
        <f ca="1">AVERAGE(OFFSET($FI$3,0,0,'Données projet'!$E$16+1,1))-AVERAGE(OFFSET($H$3,0,0,'Données projet'!$E$16+1,1))</f>
        <v>193.47609744163839</v>
      </c>
      <c r="FK4" s="59">
        <f>$FK$3</f>
        <v>170.3221892406973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6.2222222222222223</v>
      </c>
      <c r="FZ4" s="12">
        <f>IF('Données projet'!$A$244&gt;35,FZ3+FY4-GH3,IF(A4&lt;'Données projet'!$A$244,$FW$205^A4,IF(A4='Données projet'!$A$244,'Données projet'!$B$244,FZ3+FY4-GH3)))</f>
        <v>1.2997069632623315</v>
      </c>
      <c r="GA4" s="17">
        <f>FZ4*VLOOKUP('Données projet'!$B$17,Paramètres!$A$1:$I$89,3,0)*VLOOKUP('Données projet'!$B$17,Paramètres!$A$1:$I$89,5,0)</f>
        <v>0.709640001941233</v>
      </c>
      <c r="GB4" s="13">
        <f>EXP(-1.0587+0.8836*LN(GA4)+0.284)</f>
        <v>0.34035279372785077</v>
      </c>
      <c r="GC4" s="20">
        <f t="shared" ref="GC4:GC67" si="25">(GA4+GB4)*0.475*44/12</f>
        <v>1.8287374524569875</v>
      </c>
      <c r="GD4" s="59">
        <f t="shared" ref="GD4:GD67" si="26">GC4+(FU4+FV4)*44/12</f>
        <v>295.16207078579032</v>
      </c>
      <c r="GE4" s="59">
        <f ca="1">AVERAGE(OFFSET($GD$3,0,0,'Données projet'!$E$17+1,1))-AVERAGE(OFFSET($H$3,0,0,'Données projet'!$E$17+1,1))</f>
        <v>153.43773674911449</v>
      </c>
      <c r="GF4" s="59">
        <f>$GF$3</f>
        <v>235.49395036616602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1.4666666666666666</v>
      </c>
      <c r="GU4" s="12">
        <f>IF('Données projet'!$A$270&gt;35,GU3+GT4-HC3,IF(A4&lt;'Données projet'!$A$270,$GR$205^A4,IF(A4='Données projet'!$A$270,'Données projet'!$B$270,GU3+GT4-HC3)))</f>
        <v>1.2288386014896442</v>
      </c>
      <c r="GV4" s="17">
        <f>GU4*VLOOKUP('Données projet'!$B$18,Paramètres!$A$1:$I$89,3,0)*VLOOKUP('Données projet'!$B$18,Paramètres!$A$1:$I$89,5,0)</f>
        <v>0.97766399134516102</v>
      </c>
      <c r="GW4" s="13">
        <f>EXP(-1.0587+0.8836*LN(GV4)+0.284)</f>
        <v>0.45173486724512302</v>
      </c>
      <c r="GX4" s="20">
        <f t="shared" ref="GX4:GX67" si="28">(GV4+GW4)*0.475*44/12</f>
        <v>2.4895363453780779</v>
      </c>
      <c r="GY4" s="59">
        <f t="shared" ref="GY4:GY67" si="29">GX4+(GP4+GQ4)*44/12</f>
        <v>295.82286967871141</v>
      </c>
      <c r="GZ4" s="59">
        <f ca="1">AVERAGE(OFFSET($GY$3,0,0,'Données projet'!$E$18+1,1))-AVERAGE(OFFSET($H$3,0,0,'Données projet'!$E$18+1,1))</f>
        <v>198.11534486400666</v>
      </c>
      <c r="HA4" s="59">
        <f>$HA$3</f>
        <v>174.29856796517652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>
        <f>EXP(-LN(2)/35)*HG3+(1-EXP(-LN(2)/35))/(LN(2)/35)*HC4*HD4*VLOOKUP('Données projet'!$B$18,Paramètres!$A$1:$I$89,3,0)*0.475*44/12</f>
        <v>0</v>
      </c>
      <c r="HH4" s="21">
        <f>EXP(-LN(2)/25)*HH3+(1-EXP(-LN(2)/25))/(LN(2)/25)*Calculateur!HC4*Calculateur!HE4*VLOOKUP('Données projet'!$B$18,Paramètres!$A$1:$I$89,3,0)*0.475*44/12</f>
        <v>0</v>
      </c>
      <c r="HI4" s="21">
        <f>EXP(-LN(2)/2)*HI3+(1-EXP(-LN(2)/2))/(LN(2)/2)*HC4*HF4*VLOOKUP('Données projet'!$B$18,Paramètres!$A$1:$I$89,3,0)*0.475*44/12</f>
        <v>0</v>
      </c>
      <c r="HJ4" s="22">
        <f t="shared" ref="HJ4:HJ67" si="30">SUM(HG4:HI4)</f>
        <v>0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2.95</v>
      </c>
      <c r="N5" s="13">
        <f>IF('Données projet'!$A$36&gt;35,N4+M5-V4,IF(A5&lt;'Données projet'!$A$36,$K$205^A5,IF(A5='Données projet'!$A$36,'Données projet'!$B$36,N4+M5-V4)))</f>
        <v>1.5034368858142386</v>
      </c>
      <c r="O5" s="13">
        <f>N5*VLOOKUP('Données projet'!$B$9,Paramètres!$A$1:$I$89,3,0)*VLOOKUP('Données projet'!$B$9,Paramètres!$A$1:$I$89,5,0)</f>
        <v>0.89905525771691475</v>
      </c>
      <c r="P5" s="13">
        <f t="shared" ref="P5:P68" si="33">EXP(-1.0587+0.8836*LN(O5)+0.284)</f>
        <v>0.41948623529840945</v>
      </c>
      <c r="Q5" s="20">
        <f t="shared" si="2"/>
        <v>2.2964597670016897</v>
      </c>
      <c r="R5" s="59">
        <f t="shared" si="0"/>
        <v>295.62979310033501</v>
      </c>
      <c r="S5" s="59">
        <f ca="1">AVERAGE(OFFSET($R$3,0,0,'Données projet'!$E$9+1,1))-AVERAGE(OFFSET($H$3,0,0,'Données projet'!$E$9+1,1))</f>
        <v>295.19075440119076</v>
      </c>
      <c r="T5" s="59">
        <f t="shared" ref="T5:T68" si="34">$T$3</f>
        <v>173.0182327988216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5.5909090909090908</v>
      </c>
      <c r="AI5" s="13">
        <f>IF('Données projet'!$A$62&gt;35,AI4+AH5-AQ4,IF(A5&lt;'Données projet'!$A$62,$AF$205^A5,IF(A5='Données projet'!$A$62,'Données projet'!$B$62,AI4+AH5-AQ4)))</f>
        <v>1.5487858556387992</v>
      </c>
      <c r="AJ5" s="13">
        <f>AI5*VLOOKUP('Données projet'!$B$10,Paramètres!$A$1:$I$89,3,0)*VLOOKUP('Données projet'!$B$10,Paramètres!$A$1:$I$89,5,0)</f>
        <v>0.92617394167200195</v>
      </c>
      <c r="AK5" s="13">
        <f t="shared" ref="AK5:AK68" si="35">EXP(-1.0587+0.8836*LN(AJ5)+0.284)</f>
        <v>0.43064718121421069</v>
      </c>
      <c r="AL5" s="20">
        <f t="shared" si="4"/>
        <v>2.3631301223601535</v>
      </c>
      <c r="AM5" s="59">
        <f t="shared" si="5"/>
        <v>295.69646345569345</v>
      </c>
      <c r="AN5" s="59">
        <f ca="1">AVERAGE(OFFSET($AM$3,0,0,'Données projet'!$E$10+1,1))-AVERAGE(OFFSET($H$3,0,0,'Données projet'!$E$10+1,1))</f>
        <v>294.45857786714919</v>
      </c>
      <c r="AO5" s="59">
        <f t="shared" ref="AO5:AO68" si="36">$AO$3</f>
        <v>221.9773436301067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1.0540846307800171</v>
      </c>
      <c r="BF5" s="13">
        <f t="shared" ref="BF5:BF68" si="37">EXP(-1.0587+0.8836*LN(BE5)+0.284)</f>
        <v>0.48279730809434274</v>
      </c>
      <c r="BG5" s="20">
        <f t="shared" si="7"/>
        <v>2.6767360435395098</v>
      </c>
      <c r="BH5" s="59">
        <f t="shared" si="8"/>
        <v>296.01006937687282</v>
      </c>
      <c r="BI5" s="59">
        <f ca="1">AVERAGE(OFFSET($BH$3,0,0,'Données projet'!$E$11+1,1))-AVERAGE(OFFSET($H$3,0,0,'Données projet'!$E$11+1,1))</f>
        <v>179.44051550872138</v>
      </c>
      <c r="BJ5" s="59">
        <f t="shared" ref="BJ5:BJ68" si="38">$BJ$3</f>
        <v>272.9500808380069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7.9</v>
      </c>
      <c r="BY5" s="12">
        <f>IF('Données projet'!$A$114&gt;35,BY4+BX5-CG4,IF(A5&lt;'Données projet'!$A$114,$BV$205^A5,IF(A5='Données projet'!$A$114,'Données projet'!$B$114,BY4+BX5-CG4)))</f>
        <v>1.6590738140266501</v>
      </c>
      <c r="BZ5" s="13">
        <f>BY5*VLOOKUP('Données projet'!$B$12,Paramètres!$A$1:$I$89,3,0)*VLOOKUP('Données projet'!$B$12,Paramètres!$A$1:$I$89,5,0)</f>
        <v>0.77644654496447219</v>
      </c>
      <c r="CA5" s="13">
        <f t="shared" ref="CA5:CA68" si="39">EXP(-1.0587+0.8836*LN(BZ5)+0.284)</f>
        <v>0.36851455096495994</v>
      </c>
      <c r="CB5" s="20">
        <f t="shared" si="10"/>
        <v>1.9941405754104276</v>
      </c>
      <c r="CC5" s="59">
        <f t="shared" si="11"/>
        <v>295.32747390874374</v>
      </c>
      <c r="CD5" s="59">
        <f ca="1">AVERAGE(OFFSET($CC$3,0,0,'Données projet'!$E$12+1,1))-AVERAGE(OFFSET($H$3,0,0,'Données projet'!$E$12+1,1))</f>
        <v>259.87681411271632</v>
      </c>
      <c r="CE5" s="59">
        <f t="shared" ref="CE5:CE68" si="40">$CE$3</f>
        <v>191.8684235641158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1.4666666666666666</v>
      </c>
      <c r="CT5" s="12">
        <f>IF('Données projet'!$A$140&gt;35,CT4+CS5-DB4,IF(A5&lt;'Données projet'!$A$140,$CQ$205^A5,IF(A5='Données projet'!$A$140,'Données projet'!$B$140,CT4+CS5-DB4)))</f>
        <v>1.5100443085110247</v>
      </c>
      <c r="CU5" s="17">
        <f>CT5*VLOOKUP('Données projet'!$B$13,Paramètres!$A$1:$I$89,3,0)*VLOOKUP('Données projet'!$B$13,Paramètres!$A$1:$I$89,5,0)</f>
        <v>1.2013912518513714</v>
      </c>
      <c r="CV5" s="13">
        <f t="shared" ref="CV5:CV68" si="41">EXP(-1.0587+0.8836*LN(CU5)+0.284)</f>
        <v>0.54195254285060313</v>
      </c>
      <c r="CW5" s="20">
        <f t="shared" si="13"/>
        <v>3.036323775772606</v>
      </c>
      <c r="CX5" s="59">
        <f t="shared" si="14"/>
        <v>296.3696571091059</v>
      </c>
      <c r="CY5" s="59">
        <f ca="1">AVERAGE(OFFSET($CX$3,0,0,'Données projet'!$E$13+1,1))-AVERAGE(OFFSET($H$3,0,0,'Données projet'!$E$13+1,1))</f>
        <v>198.11534486400666</v>
      </c>
      <c r="CZ5" s="59">
        <f t="shared" ref="CZ5:CZ68" si="42">$CZ$3</f>
        <v>174.29856796517652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2.6904761904761907</v>
      </c>
      <c r="DO5" s="12">
        <f>IF('Données projet'!$A$166&gt;35,DO4+DN5-DW4,IF(A5&lt;'Données projet'!$A$166,$DL$205^A5,IF(A5='Données projet'!$A$166,'Données projet'!$B$166,DO4+DN5-DW4)))</f>
        <v>5.3809523809523814</v>
      </c>
      <c r="DP5" s="17">
        <f>DO5*VLOOKUP('Données projet'!$B$14,Paramètres!$A$1:$I$89,3,0)*VLOOKUP('Données projet'!$B$14,Paramètres!$A$1:$I$89,5,0)</f>
        <v>5.4562857142857153</v>
      </c>
      <c r="DQ5" s="13">
        <f t="shared" ref="DQ5:DQ68" si="43">EXP(-1.0587+0.8836*LN(DP5)+0.284)</f>
        <v>2.0638320179376533</v>
      </c>
      <c r="DR5" s="20">
        <f t="shared" si="16"/>
        <v>13.097538383622366</v>
      </c>
      <c r="DS5" s="59">
        <f t="shared" si="17"/>
        <v>306.43087171695566</v>
      </c>
      <c r="DT5" s="59">
        <f ca="1">AVERAGE(OFFSET($DS$3,0,0,'Données projet'!$E$14+1,1))-AVERAGE(OFFSET($H$3,0,0,'Données projet'!$E$14+1,1))</f>
        <v>247.92503505485405</v>
      </c>
      <c r="DU5" s="59">
        <f t="shared" ref="DU5:DU68" si="44">$DU$3</f>
        <v>148.26437652597514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2.6904761904761907</v>
      </c>
      <c r="EJ5" s="12">
        <f>IF('Données projet'!$A$192&gt;35,EJ4+EI5-ER4,IF(A5&lt;'Données projet'!$A$192,$EG$205^A5,IF(A5='Données projet'!$A$192,'Données projet'!$B$192,EJ4+EI5-ER4)))</f>
        <v>5.3809523809523814</v>
      </c>
      <c r="EK5" s="17">
        <f>EJ5*VLOOKUP('Données projet'!$B$15,Paramètres!$A$1:$I$89,3,0)*VLOOKUP('Données projet'!$B$15,Paramètres!$A$1:$I$89,5,0)</f>
        <v>5.2044571428571436</v>
      </c>
      <c r="EL5" s="13">
        <f t="shared" ref="EL5:EL68" si="45">EXP(-1.0587+0.8836*LN(EK5)+0.284)</f>
        <v>1.9794357089251979</v>
      </c>
      <c r="EM5" s="20">
        <f t="shared" si="19"/>
        <v>12.511946716854245</v>
      </c>
      <c r="EN5" s="59">
        <f t="shared" si="20"/>
        <v>305.84528005018757</v>
      </c>
      <c r="EO5" s="59">
        <f ca="1">AVERAGE(OFFSET($EN$3,0,0,'Données projet'!$E$15+1,1))-AVERAGE(OFFSET($H$3,0,0,'Données projet'!$E$15+1,1))</f>
        <v>232.99870507181964</v>
      </c>
      <c r="EP5" s="59">
        <f t="shared" ref="EP5:EP68" si="46">$EP$3</f>
        <v>140.07662669226278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1.4666666666666666</v>
      </c>
      <c r="FE5" s="12">
        <f>IF('Données projet'!$A$218&gt;35,FE4+FD5-FM4,IF(A5&lt;'Données projet'!$A$218,$FB$205^A5,IF(A5='Données projet'!$A$218,'Données projet'!$B$218,FE4+FD5-FM4)))</f>
        <v>1.5100443085110247</v>
      </c>
      <c r="FF5" s="17">
        <f>FE5*VLOOKUP('Données projet'!$B$16,Paramètres!$A$1:$I$89,3,0)*VLOOKUP('Données projet'!$B$16,Paramètres!$A$1:$I$89,5,0)</f>
        <v>1.1778345606385994</v>
      </c>
      <c r="FG5" s="13">
        <f t="shared" ref="FG5:FG68" si="47">EXP(-1.0587+0.8836*LN(FF5)+0.284)</f>
        <v>0.53255215519256338</v>
      </c>
      <c r="FH5" s="20">
        <f t="shared" si="22"/>
        <v>2.978923530072608</v>
      </c>
      <c r="FI5" s="59">
        <f t="shared" si="23"/>
        <v>296.31225686340593</v>
      </c>
      <c r="FJ5" s="59">
        <f ca="1">AVERAGE(OFFSET($FI$3,0,0,'Données projet'!$E$16+1,1))-AVERAGE(OFFSET($H$3,0,0,'Données projet'!$E$16+1,1))</f>
        <v>193.47609744163839</v>
      </c>
      <c r="FK5" s="59">
        <f t="shared" ref="FK5:FK68" si="48">$FK$3</f>
        <v>170.3221892406973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6.2222222222222223</v>
      </c>
      <c r="FZ5" s="12">
        <f>IF('Données projet'!$A$244&gt;35,FZ4+FY5-GH4,IF(A5&lt;'Données projet'!$A$244,$FW$205^A5,IF(A5='Données projet'!$A$244,'Données projet'!$B$244,FZ4+FY5-GH4)))</f>
        <v>1.6892381903525915</v>
      </c>
      <c r="GA5" s="17">
        <f>FZ5*VLOOKUP('Données projet'!$B$17,Paramètres!$A$1:$I$89,3,0)*VLOOKUP('Données projet'!$B$17,Paramètres!$A$1:$I$89,5,0)</f>
        <v>0.92232405193251499</v>
      </c>
      <c r="GB5" s="13">
        <f t="shared" ref="GB5:GB68" si="49">EXP(-1.0587+0.8836*LN(GA5)+0.284)</f>
        <v>0.42906506541961126</v>
      </c>
      <c r="GC5" s="20">
        <f t="shared" si="25"/>
        <v>2.3536693793882866</v>
      </c>
      <c r="GD5" s="59">
        <f t="shared" si="26"/>
        <v>295.68700271272161</v>
      </c>
      <c r="GE5" s="59">
        <f ca="1">AVERAGE(OFFSET($GD$3,0,0,'Données projet'!$E$17+1,1))-AVERAGE(OFFSET($H$3,0,0,'Données projet'!$E$17+1,1))</f>
        <v>153.43773674911449</v>
      </c>
      <c r="GF5" s="59">
        <f t="shared" ref="GF5:GF68" si="50">$GF$3</f>
        <v>235.49395036616602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1.4666666666666666</v>
      </c>
      <c r="GU5" s="12">
        <f>IF('Données projet'!$A$270&gt;35,GU4+GT5-HC4,IF(A5&lt;'Données projet'!$A$270,$GR$205^A5,IF(A5='Données projet'!$A$270,'Données projet'!$B$270,GU4+GT5-HC4)))</f>
        <v>1.5100443085110247</v>
      </c>
      <c r="GV5" s="17">
        <f>GU5*VLOOKUP('Données projet'!$B$18,Paramètres!$A$1:$I$89,3,0)*VLOOKUP('Données projet'!$B$18,Paramètres!$A$1:$I$89,5,0)</f>
        <v>1.2013912518513714</v>
      </c>
      <c r="GW5" s="13">
        <f t="shared" ref="GW5:GW68" si="51">EXP(-1.0587+0.8836*LN(GV5)+0.284)</f>
        <v>0.54195254285060313</v>
      </c>
      <c r="GX5" s="20">
        <f t="shared" si="28"/>
        <v>3.036323775772606</v>
      </c>
      <c r="GY5" s="59">
        <f t="shared" si="29"/>
        <v>296.3696571091059</v>
      </c>
      <c r="GZ5" s="59">
        <f ca="1">AVERAGE(OFFSET($GY$3,0,0,'Données projet'!$E$18+1,1))-AVERAGE(OFFSET($H$3,0,0,'Données projet'!$E$18+1,1))</f>
        <v>198.11534486400666</v>
      </c>
      <c r="HA5" s="59">
        <f t="shared" ref="HA5:HA68" si="52">$HA$3</f>
        <v>174.29856796517652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>
        <f>EXP(-LN(2)/35)*HG4+(1-EXP(-LN(2)/35))/(LN(2)/35)*HC5*HD5*VLOOKUP('Données projet'!$B$18,Paramètres!$A$1:$I$89,3,0)*0.475*44/12</f>
        <v>0</v>
      </c>
      <c r="HH5" s="21">
        <f>EXP(-LN(2)/25)*HH4+(1-EXP(-LN(2)/25))/(LN(2)/25)*Calculateur!HC5*Calculateur!HE5*VLOOKUP('Données projet'!$B$18,Paramètres!$A$1:$I$89,3,0)*0.475*44/12</f>
        <v>0</v>
      </c>
      <c r="HI5" s="21">
        <f>EXP(-LN(2)/2)*HI4+(1-EXP(-LN(2)/2))/(LN(2)/2)*HC5*HF5*VLOOKUP('Données projet'!$B$18,Paramètres!$A$1:$I$89,3,0)*0.475*44/12</f>
        <v>0</v>
      </c>
      <c r="HJ5" s="22">
        <f t="shared" si="30"/>
        <v>0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2.95</v>
      </c>
      <c r="N6" s="13">
        <f>IF('Données projet'!$A$36&gt;35,N5+M6-V5,IF(A6&lt;'Données projet'!$A$36,$K$205^A6,IF(A6='Données projet'!$A$36,'Données projet'!$B$36,N5+M6-V5)))</f>
        <v>1.8434348848472215</v>
      </c>
      <c r="O6" s="13">
        <f>N6*VLOOKUP('Données projet'!$B$9,Paramètres!$A$1:$I$89,3,0)*VLOOKUP('Données projet'!$B$9,Paramètres!$A$1:$I$89,5,0)</f>
        <v>1.1023740611386386</v>
      </c>
      <c r="P6" s="13">
        <f t="shared" si="33"/>
        <v>0.50228933463847691</v>
      </c>
      <c r="Q6" s="20">
        <f t="shared" si="2"/>
        <v>2.7947887476451427</v>
      </c>
      <c r="R6" s="59">
        <f t="shared" si="0"/>
        <v>296.12812208097847</v>
      </c>
      <c r="S6" s="59">
        <f ca="1">AVERAGE(OFFSET($R$3,0,0,'Données projet'!$E$9+1,1))-AVERAGE(OFFSET($H$3,0,0,'Données projet'!$E$9+1,1))</f>
        <v>295.19075440119076</v>
      </c>
      <c r="T6" s="59">
        <f t="shared" si="34"/>
        <v>173.0182327988216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5.5909090909090908</v>
      </c>
      <c r="AI6" s="13">
        <f>IF('Données projet'!$A$62&gt;35,AI5+AH6-AQ5,IF(A6&lt;'Données projet'!$A$62,$AF$205^A6,IF(A6='Données projet'!$A$62,'Données projet'!$B$62,AI5+AH6-AQ5)))</f>
        <v>1.927467485460697</v>
      </c>
      <c r="AJ6" s="13">
        <f>AI6*VLOOKUP('Données projet'!$B$10,Paramètres!$A$1:$I$89,3,0)*VLOOKUP('Données projet'!$B$10,Paramètres!$A$1:$I$89,5,0)</f>
        <v>1.152625556305497</v>
      </c>
      <c r="AK6" s="13">
        <f t="shared" si="35"/>
        <v>0.52246812247269758</v>
      </c>
      <c r="AL6" s="20">
        <f t="shared" si="4"/>
        <v>2.9174548238720219</v>
      </c>
      <c r="AM6" s="59">
        <f t="shared" si="5"/>
        <v>296.25078815720536</v>
      </c>
      <c r="AN6" s="59">
        <f ca="1">AVERAGE(OFFSET($AM$3,0,0,'Données projet'!$E$10+1,1))-AVERAGE(OFFSET($H$3,0,0,'Données projet'!$E$10+1,1))</f>
        <v>294.45857786714919</v>
      </c>
      <c r="AO6" s="59">
        <f t="shared" si="36"/>
        <v>221.9773436301067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1.3700011344925918</v>
      </c>
      <c r="BF6" s="13">
        <f t="shared" si="37"/>
        <v>0.60863745619068288</v>
      </c>
      <c r="BG6" s="20">
        <f t="shared" si="7"/>
        <v>3.4461288787733699</v>
      </c>
      <c r="BH6" s="59">
        <f t="shared" si="8"/>
        <v>296.77946221210669</v>
      </c>
      <c r="BI6" s="59">
        <f ca="1">AVERAGE(OFFSET($BH$3,0,0,'Données projet'!$E$11+1,1))-AVERAGE(OFFSET($H$3,0,0,'Données projet'!$E$11+1,1))</f>
        <v>179.44051550872138</v>
      </c>
      <c r="BJ6" s="59">
        <f t="shared" si="38"/>
        <v>272.9500808380069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7.9</v>
      </c>
      <c r="BY6" s="12">
        <f>IF('Données projet'!$A$114&gt;35,BY5+BX6-CG5,IF(A6&lt;'Données projet'!$A$114,$BV$205^A6,IF(A6='Données projet'!$A$114,'Données projet'!$B$114,BY5+BX6-CG5)))</f>
        <v>2.1369706776057753</v>
      </c>
      <c r="BZ6" s="13">
        <f>BY6*VLOOKUP('Données projet'!$B$12,Paramètres!$A$1:$I$89,3,0)*VLOOKUP('Données projet'!$B$12,Paramètres!$A$1:$I$89,5,0)</f>
        <v>1.0001022771195029</v>
      </c>
      <c r="CA6" s="13">
        <f t="shared" si="39"/>
        <v>0.46088365986243646</v>
      </c>
      <c r="CB6" s="20">
        <f t="shared" si="10"/>
        <v>2.5445505069102112</v>
      </c>
      <c r="CC6" s="59">
        <f t="shared" si="11"/>
        <v>295.8778838402435</v>
      </c>
      <c r="CD6" s="59">
        <f ca="1">AVERAGE(OFFSET($CC$3,0,0,'Données projet'!$E$12+1,1))-AVERAGE(OFFSET($H$3,0,0,'Données projet'!$E$12+1,1))</f>
        <v>259.87681411271632</v>
      </c>
      <c r="CE6" s="59">
        <f t="shared" si="40"/>
        <v>191.8684235641158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1.4666666666666666</v>
      </c>
      <c r="CT6" s="12">
        <f>IF('Données projet'!$A$140&gt;35,CT5+CS6-DB5,IF(A6&lt;'Données projet'!$A$140,$CQ$205^A6,IF(A6='Données projet'!$A$140,'Données projet'!$B$140,CT5+CS6-DB5)))</f>
        <v>1.8556007362580844</v>
      </c>
      <c r="CU6" s="17">
        <f>CT6*VLOOKUP('Données projet'!$B$13,Paramètres!$A$1:$I$89,3,0)*VLOOKUP('Données projet'!$B$13,Paramètres!$A$1:$I$89,5,0)</f>
        <v>1.4763159457669321</v>
      </c>
      <c r="CV6" s="13">
        <f t="shared" si="41"/>
        <v>0.65018793101675443</v>
      </c>
      <c r="CW6" s="20">
        <f t="shared" si="13"/>
        <v>3.7036609187315874</v>
      </c>
      <c r="CX6" s="59">
        <f t="shared" si="14"/>
        <v>297.03699425206491</v>
      </c>
      <c r="CY6" s="59">
        <f ca="1">AVERAGE(OFFSET($CX$3,0,0,'Données projet'!$E$13+1,1))-AVERAGE(OFFSET($H$3,0,0,'Données projet'!$E$13+1,1))</f>
        <v>198.11534486400666</v>
      </c>
      <c r="CZ6" s="59">
        <f t="shared" si="42"/>
        <v>174.29856796517652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2.6904761904761907</v>
      </c>
      <c r="DO6" s="12">
        <f>IF('Données projet'!$A$166&gt;35,DO5+DN6-DW5,IF(A6&lt;'Données projet'!$A$166,$DL$205^A6,IF(A6='Données projet'!$A$166,'Données projet'!$B$166,DO5+DN6-DW5)))</f>
        <v>8.071428571428573</v>
      </c>
      <c r="DP6" s="17">
        <f>DO6*VLOOKUP('Données projet'!$B$14,Paramètres!$A$1:$I$89,3,0)*VLOOKUP('Données projet'!$B$14,Paramètres!$A$1:$I$89,5,0)</f>
        <v>8.1844285714285743</v>
      </c>
      <c r="DQ6" s="13">
        <f t="shared" si="43"/>
        <v>2.9530349176942408</v>
      </c>
      <c r="DR6" s="20">
        <f t="shared" si="16"/>
        <v>19.397748910222237</v>
      </c>
      <c r="DS6" s="59">
        <f t="shared" si="17"/>
        <v>312.73108224355553</v>
      </c>
      <c r="DT6" s="59">
        <f ca="1">AVERAGE(OFFSET($DS$3,0,0,'Données projet'!$E$14+1,1))-AVERAGE(OFFSET($H$3,0,0,'Données projet'!$E$14+1,1))</f>
        <v>247.92503505485405</v>
      </c>
      <c r="DU6" s="59">
        <f t="shared" si="44"/>
        <v>148.26437652597514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2.6904761904761907</v>
      </c>
      <c r="EJ6" s="12">
        <f>IF('Données projet'!$A$192&gt;35,EJ5+EI6-ER5,IF(A6&lt;'Données projet'!$A$192,$EG$205^A6,IF(A6='Données projet'!$A$192,'Données projet'!$B$192,EJ5+EI6-ER5)))</f>
        <v>8.071428571428573</v>
      </c>
      <c r="EK6" s="17">
        <f>EJ6*VLOOKUP('Données projet'!$B$15,Paramètres!$A$1:$I$89,3,0)*VLOOKUP('Données projet'!$B$15,Paramètres!$A$1:$I$89,5,0)</f>
        <v>7.8066857142857158</v>
      </c>
      <c r="EL6" s="13">
        <f t="shared" si="45"/>
        <v>2.8322764231694113</v>
      </c>
      <c r="EM6" s="20">
        <f t="shared" si="19"/>
        <v>18.529525722734345</v>
      </c>
      <c r="EN6" s="59">
        <f t="shared" si="20"/>
        <v>311.86285905606763</v>
      </c>
      <c r="EO6" s="59">
        <f ca="1">AVERAGE(OFFSET($EN$3,0,0,'Données projet'!$E$15+1,1))-AVERAGE(OFFSET($H$3,0,0,'Données projet'!$E$15+1,1))</f>
        <v>232.99870507181964</v>
      </c>
      <c r="EP6" s="59">
        <f t="shared" si="46"/>
        <v>140.07662669226278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1.4666666666666666</v>
      </c>
      <c r="FE6" s="12">
        <f>IF('Données projet'!$A$218&gt;35,FE5+FD6-FM5,IF(A6&lt;'Données projet'!$A$218,$FB$205^A6,IF(A6='Données projet'!$A$218,'Données projet'!$B$218,FE5+FD6-FM5)))</f>
        <v>1.8556007362580844</v>
      </c>
      <c r="FF6" s="17">
        <f>FE6*VLOOKUP('Données projet'!$B$16,Paramètres!$A$1:$I$89,3,0)*VLOOKUP('Données projet'!$B$16,Paramètres!$A$1:$I$89,5,0)</f>
        <v>1.4473685742813058</v>
      </c>
      <c r="FG6" s="13">
        <f t="shared" si="47"/>
        <v>0.63891015645371263</v>
      </c>
      <c r="FH6" s="20">
        <f t="shared" si="22"/>
        <v>3.6336021226968236</v>
      </c>
      <c r="FI6" s="59">
        <f t="shared" si="23"/>
        <v>296.96693545603011</v>
      </c>
      <c r="FJ6" s="59">
        <f ca="1">AVERAGE(OFFSET($FI$3,0,0,'Données projet'!$E$16+1,1))-AVERAGE(OFFSET($H$3,0,0,'Données projet'!$E$16+1,1))</f>
        <v>193.47609744163839</v>
      </c>
      <c r="FK6" s="59">
        <f t="shared" si="48"/>
        <v>170.3221892406973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6.2222222222222223</v>
      </c>
      <c r="FZ6" s="12">
        <f>IF('Données projet'!$A$244&gt;35,FZ5+FY6-GH5,IF(A6&lt;'Données projet'!$A$244,$FW$205^A6,IF(A6='Données projet'!$A$244,'Données projet'!$B$244,FZ5+FY6-GH5)))</f>
        <v>2.1955146386099229</v>
      </c>
      <c r="GA6" s="17">
        <f>FZ6*VLOOKUP('Données projet'!$B$17,Paramètres!$A$1:$I$89,3,0)*VLOOKUP('Données projet'!$B$17,Paramètres!$A$1:$I$89,5,0)</f>
        <v>1.198750992681018</v>
      </c>
      <c r="GB6" s="13">
        <f t="shared" si="49"/>
        <v>0.54090001244632302</v>
      </c>
      <c r="GC6" s="20">
        <f t="shared" si="25"/>
        <v>3.0298921672634527</v>
      </c>
      <c r="GD6" s="59">
        <f t="shared" si="26"/>
        <v>296.36322550059674</v>
      </c>
      <c r="GE6" s="59">
        <f ca="1">AVERAGE(OFFSET($GD$3,0,0,'Données projet'!$E$17+1,1))-AVERAGE(OFFSET($H$3,0,0,'Données projet'!$E$17+1,1))</f>
        <v>153.43773674911449</v>
      </c>
      <c r="GF6" s="59">
        <f t="shared" si="50"/>
        <v>235.49395036616602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1.4666666666666666</v>
      </c>
      <c r="GU6" s="12">
        <f>IF('Données projet'!$A$270&gt;35,GU5+GT6-HC5,IF(A6&lt;'Données projet'!$A$270,$GR$205^A6,IF(A6='Données projet'!$A$270,'Données projet'!$B$270,GU5+GT6-HC5)))</f>
        <v>1.8556007362580844</v>
      </c>
      <c r="GV6" s="17">
        <f>GU6*VLOOKUP('Données projet'!$B$18,Paramètres!$A$1:$I$89,3,0)*VLOOKUP('Données projet'!$B$18,Paramètres!$A$1:$I$89,5,0)</f>
        <v>1.4763159457669321</v>
      </c>
      <c r="GW6" s="13">
        <f t="shared" si="51"/>
        <v>0.65018793101675443</v>
      </c>
      <c r="GX6" s="20">
        <f t="shared" si="28"/>
        <v>3.7036609187315874</v>
      </c>
      <c r="GY6" s="59">
        <f t="shared" si="29"/>
        <v>297.03699425206491</v>
      </c>
      <c r="GZ6" s="59">
        <f ca="1">AVERAGE(OFFSET($GY$3,0,0,'Données projet'!$E$18+1,1))-AVERAGE(OFFSET($H$3,0,0,'Données projet'!$E$18+1,1))</f>
        <v>198.11534486400666</v>
      </c>
      <c r="HA6" s="59">
        <f t="shared" si="52"/>
        <v>174.29856796517652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>
        <f>EXP(-LN(2)/35)*HG5+(1-EXP(-LN(2)/35))/(LN(2)/35)*HC6*HD6*VLOOKUP('Données projet'!$B$18,Paramètres!$A$1:$I$89,3,0)*0.475*44/12</f>
        <v>0</v>
      </c>
      <c r="HH6" s="21">
        <f>EXP(-LN(2)/25)*HH5+(1-EXP(-LN(2)/25))/(LN(2)/25)*Calculateur!HC6*Calculateur!HE6*VLOOKUP('Données projet'!$B$18,Paramètres!$A$1:$I$89,3,0)*0.475*44/12</f>
        <v>0</v>
      </c>
      <c r="HI6" s="21">
        <f>EXP(-LN(2)/2)*HI5+(1-EXP(-LN(2)/2))/(LN(2)/2)*HC6*HF6*VLOOKUP('Données projet'!$B$18,Paramètres!$A$1:$I$89,3,0)*0.475*44/12</f>
        <v>0</v>
      </c>
      <c r="HJ6" s="22">
        <f t="shared" si="30"/>
        <v>0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2.95</v>
      </c>
      <c r="N7" s="13">
        <f>IF('Données projet'!$A$36&gt;35,N6+M7-V6,IF(A7&lt;'Données projet'!$A$36,$K$205^A7,IF(A7='Données projet'!$A$36,'Données projet'!$B$36,N6+M7-V6)))</f>
        <v>2.260322469626816</v>
      </c>
      <c r="O7" s="13">
        <f>N7*VLOOKUP('Données projet'!$B$9,Paramètres!$A$1:$I$89,3,0)*VLOOKUP('Données projet'!$B$9,Paramètres!$A$1:$I$89,5,0)</f>
        <v>1.3516728368368363</v>
      </c>
      <c r="P7" s="13">
        <f t="shared" si="33"/>
        <v>0.60143707817275438</v>
      </c>
      <c r="Q7" s="20">
        <f t="shared" si="2"/>
        <v>3.4016664353083708</v>
      </c>
      <c r="R7" s="59">
        <f t="shared" si="0"/>
        <v>296.73499976864167</v>
      </c>
      <c r="S7" s="59">
        <f ca="1">AVERAGE(OFFSET($R$3,0,0,'Données projet'!$E$9+1,1))-AVERAGE(OFFSET($H$3,0,0,'Données projet'!$E$9+1,1))</f>
        <v>295.19075440119076</v>
      </c>
      <c r="T7" s="59">
        <f t="shared" si="34"/>
        <v>173.0182327988216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5.5909090909090908</v>
      </c>
      <c r="AI7" s="13">
        <f>IF('Données projet'!$A$62&gt;35,AI6+AH7-AQ6,IF(A7&lt;'Données projet'!$A$62,$AF$205^A7,IF(A7='Données projet'!$A$62,'Données projet'!$B$62,AI6+AH7-AQ6)))</f>
        <v>2.3987376266268075</v>
      </c>
      <c r="AJ7" s="13">
        <f>AI7*VLOOKUP('Données projet'!$B$10,Paramètres!$A$1:$I$89,3,0)*VLOOKUP('Données projet'!$B$10,Paramètres!$A$1:$I$89,5,0)</f>
        <v>1.4344451007228309</v>
      </c>
      <c r="AK7" s="13">
        <f t="shared" si="35"/>
        <v>0.63386677286612625</v>
      </c>
      <c r="AL7" s="20">
        <f t="shared" si="4"/>
        <v>3.6023098465007668</v>
      </c>
      <c r="AM7" s="59">
        <f t="shared" si="5"/>
        <v>296.93564317983407</v>
      </c>
      <c r="AN7" s="59">
        <f ca="1">AVERAGE(OFFSET($AM$3,0,0,'Données projet'!$E$10+1,1))-AVERAGE(OFFSET($H$3,0,0,'Données projet'!$E$10+1,1))</f>
        <v>294.45857786714919</v>
      </c>
      <c r="AO7" s="59">
        <f t="shared" si="36"/>
        <v>221.9773436301067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1.7806000141773157</v>
      </c>
      <c r="BF7" s="13">
        <f t="shared" si="37"/>
        <v>0.76727758599241935</v>
      </c>
      <c r="BG7" s="20">
        <f t="shared" si="7"/>
        <v>4.4375534869622877</v>
      </c>
      <c r="BH7" s="59">
        <f t="shared" si="8"/>
        <v>297.77088682029563</v>
      </c>
      <c r="BI7" s="59">
        <f ca="1">AVERAGE(OFFSET($BH$3,0,0,'Données projet'!$E$11+1,1))-AVERAGE(OFFSET($H$3,0,0,'Données projet'!$E$11+1,1))</f>
        <v>179.44051550872138</v>
      </c>
      <c r="BJ7" s="59">
        <f t="shared" si="38"/>
        <v>272.9500808380069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7.9</v>
      </c>
      <c r="BY7" s="12">
        <f>IF('Données projet'!$A$114&gt;35,BY6+BX7-CG6,IF(A7&lt;'Données projet'!$A$114,$BV$205^A7,IF(A7='Données projet'!$A$114,'Données projet'!$B$114,BY6+BX7-CG6)))</f>
        <v>2.7525259203889356</v>
      </c>
      <c r="BZ7" s="13">
        <f>BY7*VLOOKUP('Données projet'!$B$12,Paramètres!$A$1:$I$89,3,0)*VLOOKUP('Données projet'!$B$12,Paramètres!$A$1:$I$89,5,0)</f>
        <v>1.2881821307420218</v>
      </c>
      <c r="CA7" s="13">
        <f t="shared" si="39"/>
        <v>0.57640532069082717</v>
      </c>
      <c r="CB7" s="20">
        <f t="shared" si="10"/>
        <v>3.2474898112455457</v>
      </c>
      <c r="CC7" s="59">
        <f t="shared" si="11"/>
        <v>296.58082314457886</v>
      </c>
      <c r="CD7" s="59">
        <f ca="1">AVERAGE(OFFSET($CC$3,0,0,'Données projet'!$E$12+1,1))-AVERAGE(OFFSET($H$3,0,0,'Données projet'!$E$12+1,1))</f>
        <v>259.87681411271632</v>
      </c>
      <c r="CE7" s="59">
        <f t="shared" si="40"/>
        <v>191.8684235641158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1.4666666666666666</v>
      </c>
      <c r="CT7" s="12">
        <f>IF('Données projet'!$A$140&gt;35,CT6+CS7-DB6,IF(A7&lt;'Données projet'!$A$140,$CQ$205^A7,IF(A7='Données projet'!$A$140,'Données projet'!$B$140,CT6+CS7-DB6)))</f>
        <v>2.2802338136665385</v>
      </c>
      <c r="CU7" s="17">
        <f>CT7*VLOOKUP('Données projet'!$B$13,Paramètres!$A$1:$I$89,3,0)*VLOOKUP('Données projet'!$B$13,Paramètres!$A$1:$I$89,5,0)</f>
        <v>1.8141540221530981</v>
      </c>
      <c r="CV7" s="13">
        <f t="shared" si="41"/>
        <v>0.78003941713469038</v>
      </c>
      <c r="CW7" s="20">
        <f t="shared" si="13"/>
        <v>4.5182202400928979</v>
      </c>
      <c r="CX7" s="59">
        <f t="shared" si="14"/>
        <v>297.8515535734262</v>
      </c>
      <c r="CY7" s="59">
        <f ca="1">AVERAGE(OFFSET($CX$3,0,0,'Données projet'!$E$13+1,1))-AVERAGE(OFFSET($H$3,0,0,'Données projet'!$E$13+1,1))</f>
        <v>198.11534486400666</v>
      </c>
      <c r="CZ7" s="59">
        <f t="shared" si="42"/>
        <v>174.29856796517652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2.6904761904761907</v>
      </c>
      <c r="DO7" s="12">
        <f>IF('Données projet'!$A$166&gt;35,DO6+DN7-DW6,IF(A7&lt;'Données projet'!$A$166,$DL$205^A7,IF(A7='Données projet'!$A$166,'Données projet'!$B$166,DO6+DN7-DW6)))</f>
        <v>10.761904761904763</v>
      </c>
      <c r="DP7" s="17">
        <f>DO7*VLOOKUP('Données projet'!$B$14,Paramètres!$A$1:$I$89,3,0)*VLOOKUP('Données projet'!$B$14,Paramètres!$A$1:$I$89,5,0)</f>
        <v>10.912571428571431</v>
      </c>
      <c r="DQ7" s="13">
        <f t="shared" si="43"/>
        <v>3.8077151321299487</v>
      </c>
      <c r="DR7" s="20">
        <f t="shared" si="16"/>
        <v>25.637832426554898</v>
      </c>
      <c r="DS7" s="59">
        <f t="shared" si="17"/>
        <v>318.97116575988821</v>
      </c>
      <c r="DT7" s="59">
        <f ca="1">AVERAGE(OFFSET($DS$3,0,0,'Données projet'!$E$14+1,1))-AVERAGE(OFFSET($H$3,0,0,'Données projet'!$E$14+1,1))</f>
        <v>247.92503505485405</v>
      </c>
      <c r="DU7" s="59">
        <f t="shared" si="44"/>
        <v>148.26437652597514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2.6904761904761907</v>
      </c>
      <c r="EJ7" s="12">
        <f>IF('Données projet'!$A$192&gt;35,EJ6+EI7-ER6,IF(A7&lt;'Données projet'!$A$192,$EG$205^A7,IF(A7='Données projet'!$A$192,'Données projet'!$B$192,EJ6+EI7-ER6)))</f>
        <v>10.761904761904763</v>
      </c>
      <c r="EK7" s="17">
        <f>EJ7*VLOOKUP('Données projet'!$B$15,Paramètres!$A$1:$I$89,3,0)*VLOOKUP('Données projet'!$B$15,Paramètres!$A$1:$I$89,5,0)</f>
        <v>10.408914285714287</v>
      </c>
      <c r="EL7" s="13">
        <f t="shared" si="45"/>
        <v>3.6520061887035524</v>
      </c>
      <c r="EM7" s="20">
        <f t="shared" si="19"/>
        <v>24.489436492944403</v>
      </c>
      <c r="EN7" s="59">
        <f t="shared" si="20"/>
        <v>317.82276982627769</v>
      </c>
      <c r="EO7" s="59">
        <f ca="1">AVERAGE(OFFSET($EN$3,0,0,'Données projet'!$E$15+1,1))-AVERAGE(OFFSET($H$3,0,0,'Données projet'!$E$15+1,1))</f>
        <v>232.99870507181964</v>
      </c>
      <c r="EP7" s="59">
        <f t="shared" si="46"/>
        <v>140.07662669226278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1.4666666666666666</v>
      </c>
      <c r="FE7" s="12">
        <f>IF('Données projet'!$A$218&gt;35,FE6+FD7-FM6,IF(A7&lt;'Données projet'!$A$218,$FB$205^A7,IF(A7='Données projet'!$A$218,'Données projet'!$B$218,FE6+FD7-FM6)))</f>
        <v>2.2802338136665385</v>
      </c>
      <c r="FF7" s="17">
        <f>FE7*VLOOKUP('Données projet'!$B$16,Paramètres!$A$1:$I$89,3,0)*VLOOKUP('Données projet'!$B$16,Paramètres!$A$1:$I$89,5,0)</f>
        <v>1.7785823746599001</v>
      </c>
      <c r="FG7" s="13">
        <f t="shared" si="47"/>
        <v>0.7665093156408429</v>
      </c>
      <c r="FH7" s="20">
        <f t="shared" si="22"/>
        <v>4.4327013606071271</v>
      </c>
      <c r="FI7" s="59">
        <f t="shared" si="23"/>
        <v>297.76603469394047</v>
      </c>
      <c r="FJ7" s="59">
        <f ca="1">AVERAGE(OFFSET($FI$3,0,0,'Données projet'!$E$16+1,1))-AVERAGE(OFFSET($H$3,0,0,'Données projet'!$E$16+1,1))</f>
        <v>193.47609744163839</v>
      </c>
      <c r="FK7" s="59">
        <f t="shared" si="48"/>
        <v>170.3221892406973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6.2222222222222223</v>
      </c>
      <c r="FZ7" s="12">
        <f>IF('Données projet'!$A$244&gt;35,FZ6+FY7-GH6,IF(A7&lt;'Données projet'!$A$244,$FW$205^A7,IF(A7='Données projet'!$A$244,'Données projet'!$B$244,FZ6+FY7-GH6)))</f>
        <v>2.8535256637456983</v>
      </c>
      <c r="GA7" s="17">
        <f>FZ7*VLOOKUP('Données projet'!$B$17,Paramètres!$A$1:$I$89,3,0)*VLOOKUP('Données projet'!$B$17,Paramètres!$A$1:$I$89,5,0)</f>
        <v>1.5580250124051513</v>
      </c>
      <c r="GB7" s="13">
        <f t="shared" si="49"/>
        <v>0.68188451366532465</v>
      </c>
      <c r="GC7" s="20">
        <f t="shared" si="25"/>
        <v>3.9011757579060791</v>
      </c>
      <c r="GD7" s="59">
        <f t="shared" si="26"/>
        <v>297.23450909123937</v>
      </c>
      <c r="GE7" s="59">
        <f ca="1">AVERAGE(OFFSET($GD$3,0,0,'Données projet'!$E$17+1,1))-AVERAGE(OFFSET($H$3,0,0,'Données projet'!$E$17+1,1))</f>
        <v>153.43773674911449</v>
      </c>
      <c r="GF7" s="59">
        <f t="shared" si="50"/>
        <v>235.49395036616602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1.4666666666666666</v>
      </c>
      <c r="GU7" s="12">
        <f>IF('Données projet'!$A$270&gt;35,GU6+GT7-HC6,IF(A7&lt;'Données projet'!$A$270,$GR$205^A7,IF(A7='Données projet'!$A$270,'Données projet'!$B$270,GU6+GT7-HC6)))</f>
        <v>2.2802338136665385</v>
      </c>
      <c r="GV7" s="17">
        <f>GU7*VLOOKUP('Données projet'!$B$18,Paramètres!$A$1:$I$89,3,0)*VLOOKUP('Données projet'!$B$18,Paramètres!$A$1:$I$89,5,0)</f>
        <v>1.8141540221530981</v>
      </c>
      <c r="GW7" s="13">
        <f t="shared" si="51"/>
        <v>0.78003941713469038</v>
      </c>
      <c r="GX7" s="20">
        <f t="shared" si="28"/>
        <v>4.5182202400928979</v>
      </c>
      <c r="GY7" s="59">
        <f t="shared" si="29"/>
        <v>297.8515535734262</v>
      </c>
      <c r="GZ7" s="59">
        <f ca="1">AVERAGE(OFFSET($GY$3,0,0,'Données projet'!$E$18+1,1))-AVERAGE(OFFSET($H$3,0,0,'Données projet'!$E$18+1,1))</f>
        <v>198.11534486400666</v>
      </c>
      <c r="HA7" s="59">
        <f t="shared" si="52"/>
        <v>174.29856796517652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>
        <f>EXP(-LN(2)/35)*HG6+(1-EXP(-LN(2)/35))/(LN(2)/35)*HC7*HD7*VLOOKUP('Données projet'!$B$18,Paramètres!$A$1:$I$89,3,0)*0.475*44/12</f>
        <v>0</v>
      </c>
      <c r="HH7" s="21">
        <f>EXP(-LN(2)/25)*HH6+(1-EXP(-LN(2)/25))/(LN(2)/25)*Calculateur!HC7*Calculateur!HE7*VLOOKUP('Données projet'!$B$18,Paramètres!$A$1:$I$89,3,0)*0.475*44/12</f>
        <v>0</v>
      </c>
      <c r="HI7" s="21">
        <f>EXP(-LN(2)/2)*HI6+(1-EXP(-LN(2)/2))/(LN(2)/2)*HC7*HF7*VLOOKUP('Données projet'!$B$18,Paramètres!$A$1:$I$89,3,0)*0.475*44/12</f>
        <v>0</v>
      </c>
      <c r="HJ7" s="22">
        <f t="shared" si="30"/>
        <v>0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2.95</v>
      </c>
      <c r="N8" s="13">
        <f>IF('Données projet'!$A$36&gt;35,N7+M8-V7,IF(A8&lt;'Données projet'!$A$36,$K$205^A8,IF(A8='Données projet'!$A$36,'Données projet'!$B$36,N7+M8-V7)))</f>
        <v>2.7714880024760364</v>
      </c>
      <c r="O8" s="13">
        <f>N8*VLOOKUP('Données projet'!$B$9,Paramètres!$A$1:$I$89,3,0)*VLOOKUP('Données projet'!$B$9,Paramètres!$A$1:$I$89,5,0)</f>
        <v>1.6573498254806698</v>
      </c>
      <c r="P8" s="13">
        <f t="shared" si="33"/>
        <v>0.72015576293558503</v>
      </c>
      <c r="Q8" s="20">
        <f t="shared" si="2"/>
        <v>4.1408222331583096</v>
      </c>
      <c r="R8" s="59">
        <f t="shared" si="0"/>
        <v>297.47415556649162</v>
      </c>
      <c r="S8" s="59">
        <f ca="1">AVERAGE(OFFSET($R$3,0,0,'Données projet'!$E$9+1,1))-AVERAGE(OFFSET($H$3,0,0,'Données projet'!$E$9+1,1))</f>
        <v>295.19075440119076</v>
      </c>
      <c r="T8" s="59">
        <f t="shared" si="34"/>
        <v>173.0182327988216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5.5909090909090908</v>
      </c>
      <c r="AI8" s="13">
        <f>IF('Données projet'!$A$62&gt;35,AI7+AH8-AQ7,IF(A8&lt;'Données projet'!$A$62,$AF$205^A8,IF(A8='Données projet'!$A$62,'Données projet'!$B$62,AI7+AH8-AQ7)))</f>
        <v>2.9852343786852105</v>
      </c>
      <c r="AJ8" s="13">
        <f>AI8*VLOOKUP('Données projet'!$B$10,Paramètres!$A$1:$I$89,3,0)*VLOOKUP('Données projet'!$B$10,Paramètres!$A$1:$I$89,5,0)</f>
        <v>1.785170158453756</v>
      </c>
      <c r="AK8" s="13">
        <f t="shared" si="35"/>
        <v>0.7690174164926461</v>
      </c>
      <c r="AL8" s="20">
        <f t="shared" si="4"/>
        <v>4.4485433596983173</v>
      </c>
      <c r="AM8" s="59">
        <f t="shared" si="5"/>
        <v>297.78187669303162</v>
      </c>
      <c r="AN8" s="59">
        <f ca="1">AVERAGE(OFFSET($AM$3,0,0,'Données projet'!$E$10+1,1))-AVERAGE(OFFSET($H$3,0,0,'Données projet'!$E$10+1,1))</f>
        <v>294.45857786714919</v>
      </c>
      <c r="AO8" s="59">
        <f t="shared" si="36"/>
        <v>221.9773436301067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2.3142582372112632</v>
      </c>
      <c r="BF8" s="13">
        <f t="shared" si="37"/>
        <v>0.96726694681425085</v>
      </c>
      <c r="BG8" s="20">
        <f t="shared" si="7"/>
        <v>5.7153230288444377</v>
      </c>
      <c r="BH8" s="59">
        <f t="shared" si="8"/>
        <v>299.04865636217778</v>
      </c>
      <c r="BI8" s="59">
        <f ca="1">AVERAGE(OFFSET($BH$3,0,0,'Données projet'!$E$11+1,1))-AVERAGE(OFFSET($H$3,0,0,'Données projet'!$E$11+1,1))</f>
        <v>179.44051550872138</v>
      </c>
      <c r="BJ8" s="59">
        <f t="shared" si="38"/>
        <v>272.9500808380069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7.9</v>
      </c>
      <c r="BY8" s="12">
        <f>IF('Données projet'!$A$114&gt;35,BY7+BX8-CG7,IF(A8&lt;'Données projet'!$A$114,$BV$205^A8,IF(A8='Données projet'!$A$114,'Données projet'!$B$114,BY7+BX8-CG7)))</f>
        <v>3.5453920925585285</v>
      </c>
      <c r="BZ8" s="13">
        <f>BY8*VLOOKUP('Données projet'!$B$12,Paramètres!$A$1:$I$89,3,0)*VLOOKUP('Données projet'!$B$12,Paramètres!$A$1:$I$89,5,0)</f>
        <v>1.6592434993173915</v>
      </c>
      <c r="CA8" s="13">
        <f t="shared" si="39"/>
        <v>0.72088277944126433</v>
      </c>
      <c r="CB8" s="20">
        <f t="shared" si="10"/>
        <v>4.1453866021713255</v>
      </c>
      <c r="CC8" s="59">
        <f t="shared" si="11"/>
        <v>297.47871993550461</v>
      </c>
      <c r="CD8" s="59">
        <f ca="1">AVERAGE(OFFSET($CC$3,0,0,'Données projet'!$E$12+1,1))-AVERAGE(OFFSET($H$3,0,0,'Données projet'!$E$12+1,1))</f>
        <v>259.87681411271632</v>
      </c>
      <c r="CE8" s="59">
        <f t="shared" si="40"/>
        <v>191.8684235641158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1.4666666666666666</v>
      </c>
      <c r="CT8" s="12">
        <f>IF('Données projet'!$A$140&gt;35,CT7+CS8-DB7,IF(A8&lt;'Données projet'!$A$140,$CQ$205^A8,IF(A8='Données projet'!$A$140,'Données projet'!$B$140,CT7+CS8-DB7)))</f>
        <v>2.8020393306553872</v>
      </c>
      <c r="CU8" s="17">
        <f>CT8*VLOOKUP('Données projet'!$B$13,Paramètres!$A$1:$I$89,3,0)*VLOOKUP('Données projet'!$B$13,Paramètres!$A$1:$I$89,5,0)</f>
        <v>2.2293024914694262</v>
      </c>
      <c r="CV8" s="13">
        <f t="shared" si="41"/>
        <v>0.9358240337256406</v>
      </c>
      <c r="CW8" s="20">
        <f t="shared" si="13"/>
        <v>5.5125953647147412</v>
      </c>
      <c r="CX8" s="59">
        <f t="shared" si="14"/>
        <v>298.84592869804806</v>
      </c>
      <c r="CY8" s="59">
        <f ca="1">AVERAGE(OFFSET($CX$3,0,0,'Données projet'!$E$13+1,1))-AVERAGE(OFFSET($H$3,0,0,'Données projet'!$E$13+1,1))</f>
        <v>198.11534486400666</v>
      </c>
      <c r="CZ8" s="59">
        <f t="shared" si="42"/>
        <v>174.29856796517652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2.6904761904761907</v>
      </c>
      <c r="DO8" s="12">
        <f>IF('Données projet'!$A$166&gt;35,DO7+DN8-DW7,IF(A8&lt;'Données projet'!$A$166,$DL$205^A8,IF(A8='Données projet'!$A$166,'Données projet'!$B$166,DO7+DN8-DW7)))</f>
        <v>13.452380952380953</v>
      </c>
      <c r="DP8" s="17">
        <f>DO8*VLOOKUP('Données projet'!$B$14,Paramètres!$A$1:$I$89,3,0)*VLOOKUP('Données projet'!$B$14,Paramètres!$A$1:$I$89,5,0)</f>
        <v>13.640714285714285</v>
      </c>
      <c r="DQ8" s="13">
        <f t="shared" si="43"/>
        <v>4.6376090771358101</v>
      </c>
      <c r="DR8" s="20">
        <f t="shared" si="16"/>
        <v>31.834746523630582</v>
      </c>
      <c r="DS8" s="59">
        <f t="shared" si="17"/>
        <v>325.16807985696391</v>
      </c>
      <c r="DT8" s="59">
        <f ca="1">AVERAGE(OFFSET($DS$3,0,0,'Données projet'!$E$14+1,1))-AVERAGE(OFFSET($H$3,0,0,'Données projet'!$E$14+1,1))</f>
        <v>247.92503505485405</v>
      </c>
      <c r="DU8" s="59">
        <f t="shared" si="44"/>
        <v>148.26437652597514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2.6904761904761907</v>
      </c>
      <c r="EJ8" s="12">
        <f>IF('Données projet'!$A$192&gt;35,EJ7+EI8-ER7,IF(A8&lt;'Données projet'!$A$192,$EG$205^A8,IF(A8='Données projet'!$A$192,'Données projet'!$B$192,EJ7+EI8-ER7)))</f>
        <v>13.452380952380953</v>
      </c>
      <c r="EK8" s="17">
        <f>EJ8*VLOOKUP('Données projet'!$B$15,Paramètres!$A$1:$I$89,3,0)*VLOOKUP('Données projet'!$B$15,Paramètres!$A$1:$I$89,5,0)</f>
        <v>13.011142857142858</v>
      </c>
      <c r="EL8" s="13">
        <f t="shared" si="45"/>
        <v>4.4479632700395335</v>
      </c>
      <c r="EM8" s="20">
        <f t="shared" si="19"/>
        <v>30.407943171509331</v>
      </c>
      <c r="EN8" s="59">
        <f t="shared" si="20"/>
        <v>323.74127650484263</v>
      </c>
      <c r="EO8" s="59">
        <f ca="1">AVERAGE(OFFSET($EN$3,0,0,'Données projet'!$E$15+1,1))-AVERAGE(OFFSET($H$3,0,0,'Données projet'!$E$15+1,1))</f>
        <v>232.99870507181964</v>
      </c>
      <c r="EP8" s="59">
        <f t="shared" si="46"/>
        <v>140.07662669226278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1.4666666666666666</v>
      </c>
      <c r="FE8" s="12">
        <f>IF('Données projet'!$A$218&gt;35,FE7+FD8-FM7,IF(A8&lt;'Données projet'!$A$218,$FB$205^A8,IF(A8='Données projet'!$A$218,'Données projet'!$B$218,FE7+FD8-FM7)))</f>
        <v>2.8020393306553872</v>
      </c>
      <c r="FF8" s="17">
        <f>FE8*VLOOKUP('Données projet'!$B$16,Paramètres!$A$1:$I$89,3,0)*VLOOKUP('Données projet'!$B$16,Paramètres!$A$1:$I$89,5,0)</f>
        <v>2.1855906779112022</v>
      </c>
      <c r="FG8" s="13">
        <f t="shared" si="47"/>
        <v>0.9195917845872571</v>
      </c>
      <c r="FH8" s="20">
        <f t="shared" si="22"/>
        <v>5.4081927888514825</v>
      </c>
      <c r="FI8" s="59">
        <f t="shared" si="23"/>
        <v>298.74152612218478</v>
      </c>
      <c r="FJ8" s="59">
        <f ca="1">AVERAGE(OFFSET($FI$3,0,0,'Données projet'!$E$16+1,1))-AVERAGE(OFFSET($H$3,0,0,'Données projet'!$E$16+1,1))</f>
        <v>193.47609744163839</v>
      </c>
      <c r="FK8" s="59">
        <f t="shared" si="48"/>
        <v>170.3221892406973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</v>
      </c>
      <c r="FS8" s="21">
        <f>EXP(-LN(2)/2)*FS7+(1-EXP(-LN(2)/2))/(LN(2)/2)*FM8*FP8*VLOOKUP('Données projet'!$B$16,Paramètres!$A$1:$I$89,3,0)*0.475*44/12</f>
        <v>0</v>
      </c>
      <c r="FT8" s="22">
        <f t="shared" si="24"/>
        <v>0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6.2222222222222223</v>
      </c>
      <c r="FZ8" s="12">
        <f>IF('Données projet'!$A$244&gt;35,FZ7+FY8-GH7,IF(A8&lt;'Données projet'!$A$244,$FW$205^A8,IF(A8='Données projet'!$A$244,'Données projet'!$B$244,FZ7+FY8-GH7)))</f>
        <v>3.7087471750180505</v>
      </c>
      <c r="GA8" s="17">
        <f>FZ8*VLOOKUP('Données projet'!$B$17,Paramètres!$A$1:$I$89,3,0)*VLOOKUP('Données projet'!$B$17,Paramètres!$A$1:$I$89,5,0)</f>
        <v>2.0249759575598554</v>
      </c>
      <c r="GB8" s="13">
        <f t="shared" si="49"/>
        <v>0.85961634179614299</v>
      </c>
      <c r="GC8" s="20">
        <f t="shared" si="25"/>
        <v>5.0239982547116968</v>
      </c>
      <c r="GD8" s="59">
        <f t="shared" si="26"/>
        <v>298.35733158804499</v>
      </c>
      <c r="GE8" s="59">
        <f ca="1">AVERAGE(OFFSET($GD$3,0,0,'Données projet'!$E$17+1,1))-AVERAGE(OFFSET($H$3,0,0,'Données projet'!$E$17+1,1))</f>
        <v>153.43773674911449</v>
      </c>
      <c r="GF8" s="59">
        <f t="shared" si="50"/>
        <v>235.49395036616602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1.4666666666666666</v>
      </c>
      <c r="GU8" s="12">
        <f>IF('Données projet'!$A$270&gt;35,GU7+GT8-HC7,IF(A8&lt;'Données projet'!$A$270,$GR$205^A8,IF(A8='Données projet'!$A$270,'Données projet'!$B$270,GU7+GT8-HC7)))</f>
        <v>2.8020393306553872</v>
      </c>
      <c r="GV8" s="17">
        <f>GU8*VLOOKUP('Données projet'!$B$18,Paramètres!$A$1:$I$89,3,0)*VLOOKUP('Données projet'!$B$18,Paramètres!$A$1:$I$89,5,0)</f>
        <v>2.2293024914694262</v>
      </c>
      <c r="GW8" s="13">
        <f t="shared" si="51"/>
        <v>0.9358240337256406</v>
      </c>
      <c r="GX8" s="20">
        <f t="shared" si="28"/>
        <v>5.5125953647147412</v>
      </c>
      <c r="GY8" s="59">
        <f t="shared" si="29"/>
        <v>298.84592869804806</v>
      </c>
      <c r="GZ8" s="59">
        <f ca="1">AVERAGE(OFFSET($GY$3,0,0,'Données projet'!$E$18+1,1))-AVERAGE(OFFSET($H$3,0,0,'Données projet'!$E$18+1,1))</f>
        <v>198.11534486400666</v>
      </c>
      <c r="HA8" s="59">
        <f t="shared" si="52"/>
        <v>174.29856796517652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>
        <f>EXP(-LN(2)/35)*HG7+(1-EXP(-LN(2)/35))/(LN(2)/35)*HC8*HD8*VLOOKUP('Données projet'!$B$18,Paramètres!$A$1:$I$89,3,0)*0.475*44/12</f>
        <v>0</v>
      </c>
      <c r="HH8" s="21">
        <f>EXP(-LN(2)/25)*HH7+(1-EXP(-LN(2)/25))/(LN(2)/25)*Calculateur!HC8*Calculateur!HE8*VLOOKUP('Données projet'!$B$18,Paramètres!$A$1:$I$89,3,0)*0.475*44/12</f>
        <v>0</v>
      </c>
      <c r="HI8" s="21">
        <f>EXP(-LN(2)/2)*HI7+(1-EXP(-LN(2)/2))/(LN(2)/2)*HC8*HF8*VLOOKUP('Données projet'!$B$18,Paramètres!$A$1:$I$89,3,0)*0.475*44/12</f>
        <v>0</v>
      </c>
      <c r="HJ8" s="22">
        <f t="shared" si="30"/>
        <v>0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2.95</v>
      </c>
      <c r="N9" s="13">
        <f>IF('Données projet'!$A$36&gt;35,N8+M9-V8,IF(A9&lt;'Données projet'!$A$36,$K$205^A9,IF(A9='Données projet'!$A$36,'Données projet'!$B$36,N8+M9-V8)))</f>
        <v>3.3982521746716894</v>
      </c>
      <c r="O9" s="13">
        <f>N9*VLOOKUP('Données projet'!$B$9,Paramètres!$A$1:$I$89,3,0)*VLOOKUP('Données projet'!$B$9,Paramètres!$A$1:$I$89,5,0)</f>
        <v>2.0321548004536703</v>
      </c>
      <c r="P9" s="13">
        <f t="shared" si="33"/>
        <v>0.86230853020399756</v>
      </c>
      <c r="Q9" s="20">
        <f t="shared" si="2"/>
        <v>5.0411903008954377</v>
      </c>
      <c r="R9" s="59">
        <f t="shared" si="0"/>
        <v>298.37452363422875</v>
      </c>
      <c r="S9" s="59">
        <f ca="1">AVERAGE(OFFSET($R$3,0,0,'Données projet'!$E$9+1,1))-AVERAGE(OFFSET($H$3,0,0,'Données projet'!$E$9+1,1))</f>
        <v>295.19075440119076</v>
      </c>
      <c r="T9" s="59">
        <f t="shared" si="34"/>
        <v>173.0182327988216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5.5909090909090908</v>
      </c>
      <c r="AI9" s="13">
        <f>IF('Données projet'!$A$62&gt;35,AI8+AH9-AQ8,IF(A9&lt;'Données projet'!$A$62,$AF$205^A9,IF(A9='Données projet'!$A$62,'Données projet'!$B$62,AI8+AH9-AQ8)))</f>
        <v>3.7151309075081826</v>
      </c>
      <c r="AJ9" s="13">
        <f>AI9*VLOOKUP('Données projet'!$B$10,Paramètres!$A$1:$I$89,3,0)*VLOOKUP('Données projet'!$B$10,Paramètres!$A$1:$I$89,5,0)</f>
        <v>2.2216482826898933</v>
      </c>
      <c r="AK9" s="13">
        <f t="shared" si="35"/>
        <v>0.93298436230530435</v>
      </c>
      <c r="AL9" s="20">
        <f t="shared" si="4"/>
        <v>5.4943185233666361</v>
      </c>
      <c r="AM9" s="59">
        <f t="shared" si="5"/>
        <v>298.82765185669996</v>
      </c>
      <c r="AN9" s="59">
        <f ca="1">AVERAGE(OFFSET($AM$3,0,0,'Données projet'!$E$10+1,1))-AVERAGE(OFFSET($H$3,0,0,'Données projet'!$E$10+1,1))</f>
        <v>294.45857786714919</v>
      </c>
      <c r="AO9" s="59">
        <f t="shared" si="36"/>
        <v>221.9773436301067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3.0078575456906878</v>
      </c>
      <c r="BF9" s="13">
        <f t="shared" si="37"/>
        <v>1.2193831326236693</v>
      </c>
      <c r="BG9" s="20">
        <f t="shared" si="7"/>
        <v>7.3624441813975059</v>
      </c>
      <c r="BH9" s="59">
        <f t="shared" si="8"/>
        <v>300.69577751473082</v>
      </c>
      <c r="BI9" s="59">
        <f ca="1">AVERAGE(OFFSET($BH$3,0,0,'Données projet'!$E$11+1,1))-AVERAGE(OFFSET($H$3,0,0,'Données projet'!$E$11+1,1))</f>
        <v>179.44051550872138</v>
      </c>
      <c r="BJ9" s="59">
        <f t="shared" si="38"/>
        <v>272.9500808380069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7.9</v>
      </c>
      <c r="BY9" s="12">
        <f>IF('Données projet'!$A$114&gt;35,BY8+BX9-CG8,IF(A9&lt;'Données projet'!$A$114,$BV$205^A9,IF(A9='Données projet'!$A$114,'Données projet'!$B$114,BY8+BX9-CG8)))</f>
        <v>4.566643676946887</v>
      </c>
      <c r="BZ9" s="13">
        <f>BY9*VLOOKUP('Données projet'!$B$12,Paramètres!$A$1:$I$89,3,0)*VLOOKUP('Données projet'!$B$12,Paramètres!$A$1:$I$89,5,0)</f>
        <v>2.1371892408111433</v>
      </c>
      <c r="CA9" s="13">
        <f t="shared" si="39"/>
        <v>0.9015738804633705</v>
      </c>
      <c r="CB9" s="20">
        <f t="shared" si="10"/>
        <v>5.292512436219778</v>
      </c>
      <c r="CC9" s="59">
        <f t="shared" si="11"/>
        <v>298.62584576955311</v>
      </c>
      <c r="CD9" s="59">
        <f ca="1">AVERAGE(OFFSET($CC$3,0,0,'Données projet'!$E$12+1,1))-AVERAGE(OFFSET($H$3,0,0,'Données projet'!$E$12+1,1))</f>
        <v>259.87681411271632</v>
      </c>
      <c r="CE9" s="59">
        <f t="shared" si="40"/>
        <v>191.8684235641158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1.4666666666666666</v>
      </c>
      <c r="CT9" s="12">
        <f>IF('Données projet'!$A$140&gt;35,CT8+CS9-DB8,IF(A9&lt;'Données projet'!$A$140,$CQ$205^A9,IF(A9='Données projet'!$A$140,'Données projet'!$B$140,CT8+CS9-DB8)))</f>
        <v>3.4432540924015447</v>
      </c>
      <c r="CU9" s="17">
        <f>CT9*VLOOKUP('Données projet'!$B$13,Paramètres!$A$1:$I$89,3,0)*VLOOKUP('Données projet'!$B$13,Paramètres!$A$1:$I$89,5,0)</f>
        <v>2.7394529559146688</v>
      </c>
      <c r="CV9" s="13">
        <f t="shared" si="41"/>
        <v>1.1227209841721486</v>
      </c>
      <c r="CW9" s="20">
        <f t="shared" si="13"/>
        <v>6.7266196123178732</v>
      </c>
      <c r="CX9" s="59">
        <f t="shared" si="14"/>
        <v>300.05995294565116</v>
      </c>
      <c r="CY9" s="59">
        <f ca="1">AVERAGE(OFFSET($CX$3,0,0,'Données projet'!$E$13+1,1))-AVERAGE(OFFSET($H$3,0,0,'Données projet'!$E$13+1,1))</f>
        <v>198.11534486400666</v>
      </c>
      <c r="CZ9" s="59">
        <f t="shared" si="42"/>
        <v>174.29856796517652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2.6904761904761907</v>
      </c>
      <c r="DO9" s="12">
        <f>IF('Données projet'!$A$166&gt;35,DO8+DN9-DW8,IF(A9&lt;'Données projet'!$A$166,$DL$205^A9,IF(A9='Données projet'!$A$166,'Données projet'!$B$166,DO8+DN9-DW8)))</f>
        <v>16.142857142857142</v>
      </c>
      <c r="DP9" s="17">
        <f>DO9*VLOOKUP('Données projet'!$B$14,Paramètres!$A$1:$I$89,3,0)*VLOOKUP('Données projet'!$B$14,Paramètres!$A$1:$I$89,5,0)</f>
        <v>16.368857142857145</v>
      </c>
      <c r="DQ9" s="13">
        <f t="shared" si="43"/>
        <v>5.4482708108427866</v>
      </c>
      <c r="DR9" s="20">
        <f t="shared" si="16"/>
        <v>37.998164519360706</v>
      </c>
      <c r="DS9" s="59">
        <f t="shared" si="17"/>
        <v>331.33149785269404</v>
      </c>
      <c r="DT9" s="59">
        <f ca="1">AVERAGE(OFFSET($DS$3,0,0,'Données projet'!$E$14+1,1))-AVERAGE(OFFSET($H$3,0,0,'Données projet'!$E$14+1,1))</f>
        <v>247.92503505485405</v>
      </c>
      <c r="DU9" s="59">
        <f t="shared" si="44"/>
        <v>148.26437652597514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2.6904761904761907</v>
      </c>
      <c r="EJ9" s="12">
        <f>IF('Données projet'!$A$192&gt;35,EJ8+EI9-ER8,IF(A9&lt;'Données projet'!$A$192,$EG$205^A9,IF(A9='Données projet'!$A$192,'Données projet'!$B$192,EJ8+EI9-ER8)))</f>
        <v>16.142857142857142</v>
      </c>
      <c r="EK9" s="17">
        <f>EJ9*VLOOKUP('Données projet'!$B$15,Paramètres!$A$1:$I$89,3,0)*VLOOKUP('Données projet'!$B$15,Paramètres!$A$1:$I$89,5,0)</f>
        <v>15.61337142857143</v>
      </c>
      <c r="EL9" s="13">
        <f t="shared" si="45"/>
        <v>5.2254746031383856</v>
      </c>
      <c r="EM9" s="20">
        <f t="shared" si="19"/>
        <v>36.294323505227922</v>
      </c>
      <c r="EN9" s="59">
        <f t="shared" si="20"/>
        <v>329.62765683856122</v>
      </c>
      <c r="EO9" s="59">
        <f ca="1">AVERAGE(OFFSET($EN$3,0,0,'Données projet'!$E$15+1,1))-AVERAGE(OFFSET($H$3,0,0,'Données projet'!$E$15+1,1))</f>
        <v>232.99870507181964</v>
      </c>
      <c r="EP9" s="59">
        <f t="shared" si="46"/>
        <v>140.07662669226278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1.4666666666666666</v>
      </c>
      <c r="FE9" s="12">
        <f>IF('Données projet'!$A$218&gt;35,FE8+FD9-FM8,IF(A9&lt;'Données projet'!$A$218,$FB$205^A9,IF(A9='Données projet'!$A$218,'Données projet'!$B$218,FE8+FD9-FM8)))</f>
        <v>3.4432540924015447</v>
      </c>
      <c r="FF9" s="17">
        <f>FE9*VLOOKUP('Données projet'!$B$16,Paramètres!$A$1:$I$89,3,0)*VLOOKUP('Données projet'!$B$16,Paramètres!$A$1:$I$89,5,0)</f>
        <v>2.6857381920732051</v>
      </c>
      <c r="FG9" s="13">
        <f t="shared" si="47"/>
        <v>1.103246931282718</v>
      </c>
      <c r="FH9" s="20">
        <f t="shared" si="22"/>
        <v>6.5991490898448992</v>
      </c>
      <c r="FI9" s="59">
        <f t="shared" si="23"/>
        <v>299.93248242317821</v>
      </c>
      <c r="FJ9" s="59">
        <f ca="1">AVERAGE(OFFSET($FI$3,0,0,'Données projet'!$E$16+1,1))-AVERAGE(OFFSET($H$3,0,0,'Données projet'!$E$16+1,1))</f>
        <v>193.47609744163839</v>
      </c>
      <c r="FK9" s="59">
        <f t="shared" si="48"/>
        <v>170.3221892406973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</v>
      </c>
      <c r="FS9" s="21">
        <f>EXP(-LN(2)/2)*FS8+(1-EXP(-LN(2)/2))/(LN(2)/2)*FM9*FP9*VLOOKUP('Données projet'!$B$16,Paramètres!$A$1:$I$89,3,0)*0.475*44/12</f>
        <v>0</v>
      </c>
      <c r="FT9" s="22">
        <f t="shared" si="24"/>
        <v>0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6.2222222222222223</v>
      </c>
      <c r="FZ9" s="12">
        <f>IF('Données projet'!$A$244&gt;35,FZ8+FY9-GH8,IF(A9&lt;'Données projet'!$A$244,$FW$205^A9,IF(A9='Données projet'!$A$244,'Données projet'!$B$244,FZ8+FY9-GH8)))</f>
        <v>4.8202845283504612</v>
      </c>
      <c r="GA9" s="17">
        <f>FZ9*VLOOKUP('Données projet'!$B$17,Paramètres!$A$1:$I$89,3,0)*VLOOKUP('Données projet'!$B$17,Paramètres!$A$1:$I$89,5,0)</f>
        <v>2.6318753524793519</v>
      </c>
      <c r="GB9" s="13">
        <f t="shared" si="49"/>
        <v>1.0836736137487091</v>
      </c>
      <c r="GC9" s="20">
        <f t="shared" si="25"/>
        <v>6.4712477828472066</v>
      </c>
      <c r="GD9" s="59">
        <f t="shared" si="26"/>
        <v>299.80458111618054</v>
      </c>
      <c r="GE9" s="59">
        <f ca="1">AVERAGE(OFFSET($GD$3,0,0,'Données projet'!$E$17+1,1))-AVERAGE(OFFSET($H$3,0,0,'Données projet'!$E$17+1,1))</f>
        <v>153.43773674911449</v>
      </c>
      <c r="GF9" s="59">
        <f t="shared" si="50"/>
        <v>235.49395036616602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1.4666666666666666</v>
      </c>
      <c r="GU9" s="12">
        <f>IF('Données projet'!$A$270&gt;35,GU8+GT9-HC8,IF(A9&lt;'Données projet'!$A$270,$GR$205^A9,IF(A9='Données projet'!$A$270,'Données projet'!$B$270,GU8+GT9-HC8)))</f>
        <v>3.4432540924015447</v>
      </c>
      <c r="GV9" s="17">
        <f>GU9*VLOOKUP('Données projet'!$B$18,Paramètres!$A$1:$I$89,3,0)*VLOOKUP('Données projet'!$B$18,Paramètres!$A$1:$I$89,5,0)</f>
        <v>2.7394529559146688</v>
      </c>
      <c r="GW9" s="13">
        <f t="shared" si="51"/>
        <v>1.1227209841721486</v>
      </c>
      <c r="GX9" s="20">
        <f t="shared" si="28"/>
        <v>6.7266196123178732</v>
      </c>
      <c r="GY9" s="59">
        <f t="shared" si="29"/>
        <v>300.05995294565116</v>
      </c>
      <c r="GZ9" s="59">
        <f ca="1">AVERAGE(OFFSET($GY$3,0,0,'Données projet'!$E$18+1,1))-AVERAGE(OFFSET($H$3,0,0,'Données projet'!$E$18+1,1))</f>
        <v>198.11534486400666</v>
      </c>
      <c r="HA9" s="59">
        <f t="shared" si="52"/>
        <v>174.29856796517652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>
        <f>EXP(-LN(2)/35)*HG8+(1-EXP(-LN(2)/35))/(LN(2)/35)*HC9*HD9*VLOOKUP('Données projet'!$B$18,Paramètres!$A$1:$I$89,3,0)*0.475*44/12</f>
        <v>0</v>
      </c>
      <c r="HH9" s="21">
        <f>EXP(-LN(2)/25)*HH8+(1-EXP(-LN(2)/25))/(LN(2)/25)*Calculateur!HC9*Calculateur!HE9*VLOOKUP('Données projet'!$B$18,Paramètres!$A$1:$I$89,3,0)*0.475*44/12</f>
        <v>0</v>
      </c>
      <c r="HI9" s="21">
        <f>EXP(-LN(2)/2)*HI8+(1-EXP(-LN(2)/2))/(LN(2)/2)*HC9*HF9*VLOOKUP('Données projet'!$B$18,Paramètres!$A$1:$I$89,3,0)*0.475*44/12</f>
        <v>0</v>
      </c>
      <c r="HJ9" s="22">
        <f t="shared" si="30"/>
        <v>0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2.95</v>
      </c>
      <c r="N10" s="13">
        <f>IF('Données projet'!$A$36&gt;35,N9+M10-V9,IF(A10&lt;'Données projet'!$A$36,$K$205^A10,IF(A10='Données projet'!$A$36,'Données projet'!$B$36,N9+M10-V9)))</f>
        <v>4.1667572915140969</v>
      </c>
      <c r="O10" s="13">
        <f>N10*VLOOKUP('Données projet'!$B$9,Paramètres!$A$1:$I$89,3,0)*VLOOKUP('Données projet'!$B$9,Paramètres!$A$1:$I$89,5,0)</f>
        <v>2.4917208603254299</v>
      </c>
      <c r="P10" s="13">
        <f t="shared" si="33"/>
        <v>1.0325210732627135</v>
      </c>
      <c r="Q10" s="20">
        <f t="shared" si="2"/>
        <v>6.1380547009993505</v>
      </c>
      <c r="R10" s="59">
        <f t="shared" si="0"/>
        <v>299.47138803433268</v>
      </c>
      <c r="S10" s="59">
        <f ca="1">AVERAGE(OFFSET($R$3,0,0,'Données projet'!$E$9+1,1))-AVERAGE(OFFSET($H$3,0,0,'Données projet'!$E$9+1,1))</f>
        <v>295.19075440119076</v>
      </c>
      <c r="T10" s="59">
        <f t="shared" si="34"/>
        <v>173.0182327988216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5.5909090909090908</v>
      </c>
      <c r="AI10" s="13">
        <f>IF('Données projet'!$A$62&gt;35,AI9+AH10-AQ9,IF(A10&lt;'Données projet'!$A$62,$AF$205^A10,IF(A10='Données projet'!$A$62,'Données projet'!$B$62,AI9+AH10-AQ9)))</f>
        <v>4.6234887814743333</v>
      </c>
      <c r="AJ10" s="13">
        <f>AI10*VLOOKUP('Données projet'!$B$10,Paramètres!$A$1:$I$89,3,0)*VLOOKUP('Données projet'!$B$10,Paramètres!$A$1:$I$89,5,0)</f>
        <v>2.7648462913216516</v>
      </c>
      <c r="AK10" s="13">
        <f t="shared" si="35"/>
        <v>1.1319117118000401</v>
      </c>
      <c r="AL10" s="20">
        <f t="shared" si="4"/>
        <v>6.7868535221036126</v>
      </c>
      <c r="AM10" s="59">
        <f t="shared" si="5"/>
        <v>300.12018685543694</v>
      </c>
      <c r="AN10" s="59">
        <f ca="1">AVERAGE(OFFSET($AM$3,0,0,'Données projet'!$E$10+1,1))-AVERAGE(OFFSET($H$3,0,0,'Données projet'!$E$10+1,1))</f>
        <v>294.45857786714919</v>
      </c>
      <c r="AO10" s="59">
        <f t="shared" si="36"/>
        <v>221.9773436301067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3.9093333966353332</v>
      </c>
      <c r="BF10" s="13">
        <f t="shared" si="37"/>
        <v>1.5372128955964925</v>
      </c>
      <c r="BG10" s="20">
        <f t="shared" si="7"/>
        <v>9.4860681256370967</v>
      </c>
      <c r="BH10" s="59">
        <f t="shared" si="8"/>
        <v>302.81940145897039</v>
      </c>
      <c r="BI10" s="59">
        <f ca="1">AVERAGE(OFFSET($BH$3,0,0,'Données projet'!$E$11+1,1))-AVERAGE(OFFSET($H$3,0,0,'Données projet'!$E$11+1,1))</f>
        <v>179.44051550872138</v>
      </c>
      <c r="BJ10" s="59">
        <f t="shared" si="38"/>
        <v>272.9500808380069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7.9</v>
      </c>
      <c r="BY10" s="12">
        <f>IF('Données projet'!$A$114&gt;35,BY9+BX10-CG9,IF(A10&lt;'Données projet'!$A$114,$BV$205^A10,IF(A10='Données projet'!$A$114,'Données projet'!$B$114,BY9+BX10-CG9)))</f>
        <v>5.8820671812210037</v>
      </c>
      <c r="BZ10" s="13">
        <f>BY10*VLOOKUP('Données projet'!$B$12,Paramètres!$A$1:$I$89,3,0)*VLOOKUP('Données projet'!$B$12,Paramètres!$A$1:$I$89,5,0)</f>
        <v>2.7528074408114294</v>
      </c>
      <c r="CA10" s="13">
        <f t="shared" si="39"/>
        <v>1.1275556652411438</v>
      </c>
      <c r="CB10" s="20">
        <f t="shared" si="10"/>
        <v>6.7582990763748976</v>
      </c>
      <c r="CC10" s="59">
        <f t="shared" si="11"/>
        <v>300.09163240970821</v>
      </c>
      <c r="CD10" s="59">
        <f ca="1">AVERAGE(OFFSET($CC$3,0,0,'Données projet'!$E$12+1,1))-AVERAGE(OFFSET($H$3,0,0,'Données projet'!$E$12+1,1))</f>
        <v>259.87681411271632</v>
      </c>
      <c r="CE10" s="59">
        <f t="shared" si="40"/>
        <v>191.8684235641158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1.4666666666666666</v>
      </c>
      <c r="CT10" s="12">
        <f>IF('Données projet'!$A$140&gt;35,CT9+CS10-DB9,IF(A10&lt;'Données projet'!$A$140,$CQ$205^A10,IF(A10='Données projet'!$A$140,'Données projet'!$B$140,CT9+CS10-DB9)))</f>
        <v>4.2312035434802082</v>
      </c>
      <c r="CU10" s="17">
        <f>CT10*VLOOKUP('Données projet'!$B$13,Paramètres!$A$1:$I$89,3,0)*VLOOKUP('Données projet'!$B$13,Paramètres!$A$1:$I$89,5,0)</f>
        <v>3.3663455391928538</v>
      </c>
      <c r="CV10" s="13">
        <f t="shared" si="41"/>
        <v>1.3469438301154217</v>
      </c>
      <c r="CW10" s="20">
        <f t="shared" si="13"/>
        <v>8.2089789848785806</v>
      </c>
      <c r="CX10" s="59">
        <f t="shared" si="14"/>
        <v>301.54231231821188</v>
      </c>
      <c r="CY10" s="59">
        <f ca="1">AVERAGE(OFFSET($CX$3,0,0,'Données projet'!$E$13+1,1))-AVERAGE(OFFSET($H$3,0,0,'Données projet'!$E$13+1,1))</f>
        <v>198.11534486400666</v>
      </c>
      <c r="CZ10" s="59">
        <f t="shared" si="42"/>
        <v>174.29856796517652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2.6904761904761907</v>
      </c>
      <c r="DO10" s="12">
        <f>IF('Données projet'!$A$166&gt;35,DO9+DN10-DW9,IF(A10&lt;'Données projet'!$A$166,$DL$205^A10,IF(A10='Données projet'!$A$166,'Données projet'!$B$166,DO9+DN10-DW9)))</f>
        <v>18.833333333333332</v>
      </c>
      <c r="DP10" s="17">
        <f>DO10*VLOOKUP('Données projet'!$B$14,Paramètres!$A$1:$I$89,3,0)*VLOOKUP('Données projet'!$B$14,Paramètres!$A$1:$I$89,5,0)</f>
        <v>19.097000000000001</v>
      </c>
      <c r="DQ10" s="13">
        <f t="shared" si="43"/>
        <v>6.2432808197771195</v>
      </c>
      <c r="DR10" s="20">
        <f t="shared" si="16"/>
        <v>44.134322427778478</v>
      </c>
      <c r="DS10" s="59">
        <f t="shared" si="17"/>
        <v>337.46765576111181</v>
      </c>
      <c r="DT10" s="59">
        <f ca="1">AVERAGE(OFFSET($DS$3,0,0,'Données projet'!$E$14+1,1))-AVERAGE(OFFSET($H$3,0,0,'Données projet'!$E$14+1,1))</f>
        <v>247.92503505485405</v>
      </c>
      <c r="DU10" s="59">
        <f t="shared" si="44"/>
        <v>148.26437652597514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2.6904761904761907</v>
      </c>
      <c r="EJ10" s="12">
        <f>IF('Données projet'!$A$192&gt;35,EJ9+EI10-ER9,IF(A10&lt;'Données projet'!$A$192,$EG$205^A10,IF(A10='Données projet'!$A$192,'Données projet'!$B$192,EJ9+EI10-ER9)))</f>
        <v>18.833333333333332</v>
      </c>
      <c r="EK10" s="17">
        <f>EJ10*VLOOKUP('Données projet'!$B$15,Paramètres!$A$1:$I$89,3,0)*VLOOKUP('Données projet'!$B$15,Paramètres!$A$1:$I$89,5,0)</f>
        <v>18.215599999999998</v>
      </c>
      <c r="EL10" s="13">
        <f t="shared" si="45"/>
        <v>5.9879742576452015</v>
      </c>
      <c r="EM10" s="20">
        <f t="shared" si="19"/>
        <v>42.154558498732058</v>
      </c>
      <c r="EN10" s="59">
        <f t="shared" si="20"/>
        <v>335.48789183206537</v>
      </c>
      <c r="EO10" s="59">
        <f ca="1">AVERAGE(OFFSET($EN$3,0,0,'Données projet'!$E$15+1,1))-AVERAGE(OFFSET($H$3,0,0,'Données projet'!$E$15+1,1))</f>
        <v>232.99870507181964</v>
      </c>
      <c r="EP10" s="59">
        <f t="shared" si="46"/>
        <v>140.07662669226278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1.4666666666666666</v>
      </c>
      <c r="FE10" s="12">
        <f>IF('Données projet'!$A$218&gt;35,FE9+FD10-FM9,IF(A10&lt;'Données projet'!$A$218,$FB$205^A10,IF(A10='Données projet'!$A$218,'Données projet'!$B$218,FE9+FD10-FM9)))</f>
        <v>4.2312035434802082</v>
      </c>
      <c r="FF10" s="17">
        <f>FE10*VLOOKUP('Données projet'!$B$16,Paramètres!$A$1:$I$89,3,0)*VLOOKUP('Données projet'!$B$16,Paramètres!$A$1:$I$89,5,0)</f>
        <v>3.3003387639145627</v>
      </c>
      <c r="FG10" s="13">
        <f t="shared" si="47"/>
        <v>1.323580540610237</v>
      </c>
      <c r="FH10" s="20">
        <f t="shared" si="22"/>
        <v>8.0533261220473609</v>
      </c>
      <c r="FI10" s="59">
        <f t="shared" si="23"/>
        <v>301.38665945538065</v>
      </c>
      <c r="FJ10" s="59">
        <f ca="1">AVERAGE(OFFSET($FI$3,0,0,'Données projet'!$E$16+1,1))-AVERAGE(OFFSET($H$3,0,0,'Données projet'!$E$16+1,1))</f>
        <v>193.47609744163839</v>
      </c>
      <c r="FK10" s="59">
        <f t="shared" si="48"/>
        <v>170.3221892406973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</v>
      </c>
      <c r="FS10" s="21">
        <f>EXP(-LN(2)/2)*FS9+(1-EXP(-LN(2)/2))/(LN(2)/2)*FM10*FP10*VLOOKUP('Données projet'!$B$16,Paramètres!$A$1:$I$89,3,0)*0.475*44/12</f>
        <v>0</v>
      </c>
      <c r="FT10" s="22">
        <f t="shared" si="24"/>
        <v>0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6.2222222222222223</v>
      </c>
      <c r="FZ10" s="12">
        <f>IF('Données projet'!$A$244&gt;35,FZ9+FY10-GH9,IF(A10&lt;'Données projet'!$A$244,$FW$205^A10,IF(A10='Données projet'!$A$244,'Données projet'!$B$244,FZ9+FY10-GH9)))</f>
        <v>6.2649573664027773</v>
      </c>
      <c r="GA10" s="17">
        <f>FZ10*VLOOKUP('Données projet'!$B$17,Paramètres!$A$1:$I$89,3,0)*VLOOKUP('Données projet'!$B$17,Paramètres!$A$1:$I$89,5,0)</f>
        <v>3.4206667220559162</v>
      </c>
      <c r="GB10" s="13">
        <f t="shared" si="49"/>
        <v>1.3661309633567684</v>
      </c>
      <c r="GC10" s="20">
        <f t="shared" si="25"/>
        <v>8.3370059687604243</v>
      </c>
      <c r="GD10" s="59">
        <f t="shared" si="26"/>
        <v>301.67033930209374</v>
      </c>
      <c r="GE10" s="59">
        <f ca="1">AVERAGE(OFFSET($GD$3,0,0,'Données projet'!$E$17+1,1))-AVERAGE(OFFSET($H$3,0,0,'Données projet'!$E$17+1,1))</f>
        <v>153.43773674911449</v>
      </c>
      <c r="GF10" s="59">
        <f t="shared" si="50"/>
        <v>235.49395036616602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1.4666666666666666</v>
      </c>
      <c r="GU10" s="12">
        <f>IF('Données projet'!$A$270&gt;35,GU9+GT10-HC9,IF(A10&lt;'Données projet'!$A$270,$GR$205^A10,IF(A10='Données projet'!$A$270,'Données projet'!$B$270,GU9+GT10-HC9)))</f>
        <v>4.2312035434802082</v>
      </c>
      <c r="GV10" s="17">
        <f>GU10*VLOOKUP('Données projet'!$B$18,Paramètres!$A$1:$I$89,3,0)*VLOOKUP('Données projet'!$B$18,Paramètres!$A$1:$I$89,5,0)</f>
        <v>3.3663455391928538</v>
      </c>
      <c r="GW10" s="13">
        <f t="shared" si="51"/>
        <v>1.3469438301154217</v>
      </c>
      <c r="GX10" s="20">
        <f t="shared" si="28"/>
        <v>8.2089789848785806</v>
      </c>
      <c r="GY10" s="59">
        <f t="shared" si="29"/>
        <v>301.54231231821188</v>
      </c>
      <c r="GZ10" s="59">
        <f ca="1">AVERAGE(OFFSET($GY$3,0,0,'Données projet'!$E$18+1,1))-AVERAGE(OFFSET($H$3,0,0,'Données projet'!$E$18+1,1))</f>
        <v>198.11534486400666</v>
      </c>
      <c r="HA10" s="59">
        <f t="shared" si="52"/>
        <v>174.29856796517652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>
        <f>EXP(-LN(2)/35)*HG9+(1-EXP(-LN(2)/35))/(LN(2)/35)*HC10*HD10*VLOOKUP('Données projet'!$B$18,Paramètres!$A$1:$I$89,3,0)*0.475*44/12</f>
        <v>0</v>
      </c>
      <c r="HH10" s="21">
        <f>EXP(-LN(2)/25)*HH9+(1-EXP(-LN(2)/25))/(LN(2)/25)*Calculateur!HC10*Calculateur!HE10*VLOOKUP('Données projet'!$B$18,Paramètres!$A$1:$I$89,3,0)*0.475*44/12</f>
        <v>0</v>
      </c>
      <c r="HI10" s="21">
        <f>EXP(-LN(2)/2)*HI9+(1-EXP(-LN(2)/2))/(LN(2)/2)*HC10*HF10*VLOOKUP('Données projet'!$B$18,Paramètres!$A$1:$I$89,3,0)*0.475*44/12</f>
        <v>0</v>
      </c>
      <c r="HJ10" s="22">
        <f t="shared" si="30"/>
        <v>0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2.95</v>
      </c>
      <c r="N11" s="13">
        <f>IF('Données projet'!$A$36&gt;35,N10+M11-V10,IF(A11&lt;'Données projet'!$A$36,$K$205^A11,IF(A11='Données projet'!$A$36,'Données projet'!$B$36,N10+M11-V10)))</f>
        <v>5.1090576666998686</v>
      </c>
      <c r="O11" s="13">
        <f>N11*VLOOKUP('Données projet'!$B$9,Paramètres!$A$1:$I$89,3,0)*VLOOKUP('Données projet'!$B$9,Paramètres!$A$1:$I$89,5,0)</f>
        <v>3.0552164846865217</v>
      </c>
      <c r="P11" s="13">
        <f t="shared" si="33"/>
        <v>1.2363321588380636</v>
      </c>
      <c r="Q11" s="20">
        <f t="shared" si="2"/>
        <v>7.4744472208053194</v>
      </c>
      <c r="R11" s="59">
        <f t="shared" si="0"/>
        <v>300.80778055413862</v>
      </c>
      <c r="S11" s="59">
        <f ca="1">AVERAGE(OFFSET($R$3,0,0,'Données projet'!$E$9+1,1))-AVERAGE(OFFSET($H$3,0,0,'Données projet'!$E$9+1,1))</f>
        <v>295.19075440119076</v>
      </c>
      <c r="T11" s="59">
        <f t="shared" si="34"/>
        <v>173.0182327988216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5.5909090909090908</v>
      </c>
      <c r="AI11" s="13">
        <f>IF('Données projet'!$A$62&gt;35,AI10+AH11-AQ10,IF(A11&lt;'Données projet'!$A$62,$AF$205^A11,IF(A11='Données projet'!$A$62,'Données projet'!$B$62,AI10+AH11-AQ10)))</f>
        <v>5.7539422013952093</v>
      </c>
      <c r="AJ11" s="13">
        <f>AI11*VLOOKUP('Données projet'!$B$10,Paramètres!$A$1:$I$89,3,0)*VLOOKUP('Données projet'!$B$10,Paramètres!$A$1:$I$89,5,0)</f>
        <v>3.4408574364343356</v>
      </c>
      <c r="AK11" s="13">
        <f t="shared" si="35"/>
        <v>1.3732535882427113</v>
      </c>
      <c r="AL11" s="20">
        <f t="shared" si="4"/>
        <v>8.3845767013125236</v>
      </c>
      <c r="AM11" s="59">
        <f t="shared" si="5"/>
        <v>301.71791003464585</v>
      </c>
      <c r="AN11" s="59">
        <f ca="1">AVERAGE(OFFSET($AM$3,0,0,'Données projet'!$E$10+1,1))-AVERAGE(OFFSET($H$3,0,0,'Données projet'!$E$10+1,1))</f>
        <v>294.45857786714919</v>
      </c>
      <c r="AO11" s="59">
        <f t="shared" si="36"/>
        <v>221.9773436301067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5.080987837320925</v>
      </c>
      <c r="BF11" s="13">
        <f t="shared" si="37"/>
        <v>1.9378843475584122</v>
      </c>
      <c r="BG11" s="20">
        <f t="shared" si="7"/>
        <v>12.224535721998178</v>
      </c>
      <c r="BH11" s="59">
        <f t="shared" si="8"/>
        <v>305.55786905533148</v>
      </c>
      <c r="BI11" s="59">
        <f ca="1">AVERAGE(OFFSET($BH$3,0,0,'Données projet'!$E$11+1,1))-AVERAGE(OFFSET($H$3,0,0,'Données projet'!$E$11+1,1))</f>
        <v>179.44051550872138</v>
      </c>
      <c r="BJ11" s="59">
        <f t="shared" si="38"/>
        <v>272.9500808380069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7.9</v>
      </c>
      <c r="BY11" s="12">
        <f>IF('Données projet'!$A$114&gt;35,BY10+BX11-CG10,IF(A11&lt;'Données projet'!$A$114,$BV$205^A11,IF(A11='Données projet'!$A$114,'Données projet'!$B$114,BY10+BX11-CG10)))</f>
        <v>7.5763989424129567</v>
      </c>
      <c r="BZ11" s="13">
        <f>BY11*VLOOKUP('Données projet'!$B$12,Paramètres!$A$1:$I$89,3,0)*VLOOKUP('Données projet'!$B$12,Paramètres!$A$1:$I$89,5,0)</f>
        <v>3.5457547050492639</v>
      </c>
      <c r="CA11" s="13">
        <f t="shared" si="39"/>
        <v>1.4101803587787649</v>
      </c>
      <c r="CB11" s="20">
        <f t="shared" si="10"/>
        <v>8.631586902833817</v>
      </c>
      <c r="CC11" s="59">
        <f t="shared" si="11"/>
        <v>301.96492023616713</v>
      </c>
      <c r="CD11" s="59">
        <f ca="1">AVERAGE(OFFSET($CC$3,0,0,'Données projet'!$E$12+1,1))-AVERAGE(OFFSET($H$3,0,0,'Données projet'!$E$12+1,1))</f>
        <v>259.87681411271632</v>
      </c>
      <c r="CE11" s="59">
        <f t="shared" si="40"/>
        <v>191.8684235641158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1.4666666666666666</v>
      </c>
      <c r="CT11" s="12">
        <f>IF('Données projet'!$A$140&gt;35,CT10+CS11-DB10,IF(A11&lt;'Données projet'!$A$140,$CQ$205^A11,IF(A11='Données projet'!$A$140,'Données projet'!$B$140,CT10+CS11-DB10)))</f>
        <v>5.1994662449882467</v>
      </c>
      <c r="CU11" s="17">
        <f>CT11*VLOOKUP('Données projet'!$B$13,Paramètres!$A$1:$I$89,3,0)*VLOOKUP('Données projet'!$B$13,Paramètres!$A$1:$I$89,5,0)</f>
        <v>4.1366953445126491</v>
      </c>
      <c r="CV11" s="13">
        <f t="shared" si="41"/>
        <v>1.6159470670477993</v>
      </c>
      <c r="CW11" s="20">
        <f t="shared" si="13"/>
        <v>10.019185533467782</v>
      </c>
      <c r="CX11" s="59">
        <f t="shared" si="14"/>
        <v>303.35251886680112</v>
      </c>
      <c r="CY11" s="59">
        <f ca="1">AVERAGE(OFFSET($CX$3,0,0,'Données projet'!$E$13+1,1))-AVERAGE(OFFSET($H$3,0,0,'Données projet'!$E$13+1,1))</f>
        <v>198.11534486400666</v>
      </c>
      <c r="CZ11" s="59">
        <f t="shared" si="42"/>
        <v>174.29856796517652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2.6904761904761907</v>
      </c>
      <c r="DO11" s="12">
        <f>IF('Données projet'!$A$166&gt;35,DO10+DN11-DW10,IF(A11&lt;'Données projet'!$A$166,$DL$205^A11,IF(A11='Données projet'!$A$166,'Données projet'!$B$166,DO10+DN11-DW10)))</f>
        <v>21.523809523809522</v>
      </c>
      <c r="DP11" s="17">
        <f>DO11*VLOOKUP('Données projet'!$B$14,Paramètres!$A$1:$I$89,3,0)*VLOOKUP('Données projet'!$B$14,Paramètres!$A$1:$I$89,5,0)</f>
        <v>21.825142857142858</v>
      </c>
      <c r="DQ11" s="13">
        <f t="shared" si="43"/>
        <v>7.0251330541618673</v>
      </c>
      <c r="DR11" s="20">
        <f t="shared" si="16"/>
        <v>50.247563878855722</v>
      </c>
      <c r="DS11" s="59">
        <f t="shared" si="17"/>
        <v>343.58089721218903</v>
      </c>
      <c r="DT11" s="59">
        <f ca="1">AVERAGE(OFFSET($DS$3,0,0,'Données projet'!$E$14+1,1))-AVERAGE(OFFSET($H$3,0,0,'Données projet'!$E$14+1,1))</f>
        <v>247.92503505485405</v>
      </c>
      <c r="DU11" s="59">
        <f t="shared" si="44"/>
        <v>148.26437652597514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2.6904761904761907</v>
      </c>
      <c r="EJ11" s="12">
        <f>IF('Données projet'!$A$192&gt;35,EJ10+EI11-ER10,IF(A11&lt;'Données projet'!$A$192,$EG$205^A11,IF(A11='Données projet'!$A$192,'Données projet'!$B$192,EJ10+EI11-ER10)))</f>
        <v>21.523809523809522</v>
      </c>
      <c r="EK11" s="17">
        <f>EJ11*VLOOKUP('Données projet'!$B$15,Paramètres!$A$1:$I$89,3,0)*VLOOKUP('Données projet'!$B$15,Paramètres!$A$1:$I$89,5,0)</f>
        <v>20.817828571428571</v>
      </c>
      <c r="EL11" s="13">
        <f t="shared" si="45"/>
        <v>6.7378541986447766</v>
      </c>
      <c r="EM11" s="20">
        <f t="shared" si="19"/>
        <v>47.992814157877746</v>
      </c>
      <c r="EN11" s="59">
        <f t="shared" si="20"/>
        <v>341.32614749121103</v>
      </c>
      <c r="EO11" s="59">
        <f ca="1">AVERAGE(OFFSET($EN$3,0,0,'Données projet'!$E$15+1,1))-AVERAGE(OFFSET($H$3,0,0,'Données projet'!$E$15+1,1))</f>
        <v>232.99870507181964</v>
      </c>
      <c r="EP11" s="59">
        <f t="shared" si="46"/>
        <v>140.07662669226278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1.4666666666666666</v>
      </c>
      <c r="FE11" s="12">
        <f>IF('Données projet'!$A$218&gt;35,FE10+FD11-FM10,IF(A11&lt;'Données projet'!$A$218,$FB$205^A11,IF(A11='Données projet'!$A$218,'Données projet'!$B$218,FE10+FD11-FM10)))</f>
        <v>5.1994662449882467</v>
      </c>
      <c r="FF11" s="17">
        <f>FE11*VLOOKUP('Données projet'!$B$16,Paramètres!$A$1:$I$89,3,0)*VLOOKUP('Données projet'!$B$16,Paramètres!$A$1:$I$89,5,0)</f>
        <v>4.0555836710908322</v>
      </c>
      <c r="FG11" s="13">
        <f t="shared" si="47"/>
        <v>1.5879178068007278</v>
      </c>
      <c r="FH11" s="20">
        <f t="shared" si="22"/>
        <v>9.8290984073278</v>
      </c>
      <c r="FI11" s="59">
        <f t="shared" si="23"/>
        <v>303.16243174066113</v>
      </c>
      <c r="FJ11" s="59">
        <f ca="1">AVERAGE(OFFSET($FI$3,0,0,'Données projet'!$E$16+1,1))-AVERAGE(OFFSET($H$3,0,0,'Données projet'!$E$16+1,1))</f>
        <v>193.47609744163839</v>
      </c>
      <c r="FK11" s="59">
        <f t="shared" si="48"/>
        <v>170.3221892406973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</v>
      </c>
      <c r="FS11" s="21">
        <f>EXP(-LN(2)/2)*FS10+(1-EXP(-LN(2)/2))/(LN(2)/2)*FM11*FP11*VLOOKUP('Données projet'!$B$16,Paramètres!$A$1:$I$89,3,0)*0.475*44/12</f>
        <v>0</v>
      </c>
      <c r="FT11" s="22">
        <f t="shared" si="24"/>
        <v>0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6.2222222222222223</v>
      </c>
      <c r="FZ11" s="12">
        <f>IF('Données projet'!$A$244&gt;35,FZ10+FY11-GH10,IF(A11&lt;'Données projet'!$A$244,$FW$205^A11,IF(A11='Données projet'!$A$244,'Données projet'!$B$244,FZ10+FY11-GH10)))</f>
        <v>8.1426087136553278</v>
      </c>
      <c r="GA11" s="17">
        <f>FZ11*VLOOKUP('Données projet'!$B$17,Paramètres!$A$1:$I$89,3,0)*VLOOKUP('Données projet'!$B$17,Paramètres!$A$1:$I$89,5,0)</f>
        <v>4.4458643576558092</v>
      </c>
      <c r="GB11" s="13">
        <f t="shared" si="49"/>
        <v>1.722210253496925</v>
      </c>
      <c r="GC11" s="20">
        <f t="shared" si="25"/>
        <v>10.742729947757679</v>
      </c>
      <c r="GD11" s="59">
        <f t="shared" si="26"/>
        <v>304.07606328109097</v>
      </c>
      <c r="GE11" s="59">
        <f ca="1">AVERAGE(OFFSET($GD$3,0,0,'Données projet'!$E$17+1,1))-AVERAGE(OFFSET($H$3,0,0,'Données projet'!$E$17+1,1))</f>
        <v>153.43773674911449</v>
      </c>
      <c r="GF11" s="59">
        <f t="shared" si="50"/>
        <v>235.49395036616602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1.4666666666666666</v>
      </c>
      <c r="GU11" s="12">
        <f>IF('Données projet'!$A$270&gt;35,GU10+GT11-HC10,IF(A11&lt;'Données projet'!$A$270,$GR$205^A11,IF(A11='Données projet'!$A$270,'Données projet'!$B$270,GU10+GT11-HC10)))</f>
        <v>5.1994662449882467</v>
      </c>
      <c r="GV11" s="17">
        <f>GU11*VLOOKUP('Données projet'!$B$18,Paramètres!$A$1:$I$89,3,0)*VLOOKUP('Données projet'!$B$18,Paramètres!$A$1:$I$89,5,0)</f>
        <v>4.1366953445126491</v>
      </c>
      <c r="GW11" s="13">
        <f t="shared" si="51"/>
        <v>1.6159470670477993</v>
      </c>
      <c r="GX11" s="20">
        <f t="shared" si="28"/>
        <v>10.019185533467782</v>
      </c>
      <c r="GY11" s="59">
        <f t="shared" si="29"/>
        <v>303.35251886680112</v>
      </c>
      <c r="GZ11" s="59">
        <f ca="1">AVERAGE(OFFSET($GY$3,0,0,'Données projet'!$E$18+1,1))-AVERAGE(OFFSET($H$3,0,0,'Données projet'!$E$18+1,1))</f>
        <v>198.11534486400666</v>
      </c>
      <c r="HA11" s="59">
        <f t="shared" si="52"/>
        <v>174.29856796517652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>
        <f>EXP(-LN(2)/35)*HG10+(1-EXP(-LN(2)/35))/(LN(2)/35)*HC11*HD11*VLOOKUP('Données projet'!$B$18,Paramètres!$A$1:$I$89,3,0)*0.475*44/12</f>
        <v>0</v>
      </c>
      <c r="HH11" s="21">
        <f>EXP(-LN(2)/25)*HH10+(1-EXP(-LN(2)/25))/(LN(2)/25)*Calculateur!HC11*Calculateur!HE11*VLOOKUP('Données projet'!$B$18,Paramètres!$A$1:$I$89,3,0)*0.475*44/12</f>
        <v>0</v>
      </c>
      <c r="HI11" s="21">
        <f>EXP(-LN(2)/2)*HI10+(1-EXP(-LN(2)/2))/(LN(2)/2)*HC11*HF11*VLOOKUP('Données projet'!$B$18,Paramètres!$A$1:$I$89,3,0)*0.475*44/12</f>
        <v>0</v>
      </c>
      <c r="HJ11" s="22">
        <f t="shared" si="30"/>
        <v>0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2.95</v>
      </c>
      <c r="N12" s="13">
        <f>IF('Données projet'!$A$36&gt;35,N11+M12-V11,IF(A12&lt;'Données projet'!$A$36,$K$205^A12,IF(A12='Données projet'!$A$36,'Données projet'!$B$36,N11+M12-V11)))</f>
        <v>6.2644566062977258</v>
      </c>
      <c r="O12" s="13">
        <f>N12*VLOOKUP('Données projet'!$B$9,Paramètres!$A$1:$I$89,3,0)*VLOOKUP('Données projet'!$B$9,Paramètres!$A$1:$I$89,5,0)</f>
        <v>3.7461450505660405</v>
      </c>
      <c r="P12" s="13">
        <f t="shared" si="33"/>
        <v>1.4803738602129943</v>
      </c>
      <c r="Q12" s="20">
        <f t="shared" si="2"/>
        <v>9.1028537696068188</v>
      </c>
      <c r="R12" s="59">
        <f t="shared" si="0"/>
        <v>302.43618710294015</v>
      </c>
      <c r="S12" s="59">
        <f ca="1">AVERAGE(OFFSET($R$3,0,0,'Données projet'!$E$9+1,1))-AVERAGE(OFFSET($H$3,0,0,'Données projet'!$E$9+1,1))</f>
        <v>295.19075440119076</v>
      </c>
      <c r="T12" s="59">
        <f t="shared" si="34"/>
        <v>173.0182327988216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5.5909090909090908</v>
      </c>
      <c r="AI12" s="13">
        <f>IF('Données projet'!$A$62&gt;35,AI11+AH12-AQ11,IF(A12&lt;'Données projet'!$A$62,$AF$205^A12,IF(A12='Données projet'!$A$62,'Données projet'!$B$62,AI11+AH12-AQ11)))</f>
        <v>7.1607940284521145</v>
      </c>
      <c r="AJ12" s="13">
        <f>AI12*VLOOKUP('Données projet'!$B$10,Paramètres!$A$1:$I$89,3,0)*VLOOKUP('Données projet'!$B$10,Paramètres!$A$1:$I$89,5,0)</f>
        <v>4.2821548290143649</v>
      </c>
      <c r="AK12" s="13">
        <f t="shared" si="35"/>
        <v>1.6660534544894132</v>
      </c>
      <c r="AL12" s="20">
        <f t="shared" si="4"/>
        <v>10.359796093769079</v>
      </c>
      <c r="AM12" s="59">
        <f t="shared" si="5"/>
        <v>303.69312942710241</v>
      </c>
      <c r="AN12" s="59">
        <f ca="1">AVERAGE(OFFSET($AM$3,0,0,'Données projet'!$E$10+1,1))-AVERAGE(OFFSET($H$3,0,0,'Données projet'!$E$10+1,1))</f>
        <v>294.45857786714919</v>
      </c>
      <c r="AO12" s="59">
        <f t="shared" si="36"/>
        <v>221.9773436301067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6.6037952724172193</v>
      </c>
      <c r="BF12" s="13">
        <f t="shared" si="37"/>
        <v>2.4429900082608067</v>
      </c>
      <c r="BG12" s="20">
        <f t="shared" si="7"/>
        <v>15.75648436384756</v>
      </c>
      <c r="BH12" s="59">
        <f t="shared" si="8"/>
        <v>309.08981769718088</v>
      </c>
      <c r="BI12" s="59">
        <f ca="1">AVERAGE(OFFSET($BH$3,0,0,'Données projet'!$E$11+1,1))-AVERAGE(OFFSET($H$3,0,0,'Données projet'!$E$11+1,1))</f>
        <v>179.44051550872138</v>
      </c>
      <c r="BJ12" s="59">
        <f t="shared" si="38"/>
        <v>272.9500808380069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7.9</v>
      </c>
      <c r="BY12" s="12">
        <f>IF('Données projet'!$A$114&gt;35,BY11+BX12-CG11,IF(A12&lt;'Données projet'!$A$114,$BV$205^A12,IF(A12='Données projet'!$A$114,'Données projet'!$B$114,BY11+BX12-CG11)))</f>
        <v>9.7587836327093171</v>
      </c>
      <c r="BZ12" s="13">
        <f>BY12*VLOOKUP('Données projet'!$B$12,Paramètres!$A$1:$I$89,3,0)*VLOOKUP('Données projet'!$B$12,Paramètres!$A$1:$I$89,5,0)</f>
        <v>4.5671107401079603</v>
      </c>
      <c r="CA12" s="13">
        <f t="shared" si="39"/>
        <v>1.763645650133036</v>
      </c>
      <c r="CB12" s="20">
        <f t="shared" si="10"/>
        <v>11.026067379669733</v>
      </c>
      <c r="CC12" s="59">
        <f t="shared" si="11"/>
        <v>304.35940071300303</v>
      </c>
      <c r="CD12" s="59">
        <f ca="1">AVERAGE(OFFSET($CC$3,0,0,'Données projet'!$E$12+1,1))-AVERAGE(OFFSET($H$3,0,0,'Données projet'!$E$12+1,1))</f>
        <v>259.87681411271632</v>
      </c>
      <c r="CE12" s="59">
        <f t="shared" si="40"/>
        <v>191.8684235641158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1.4666666666666666</v>
      </c>
      <c r="CT12" s="12">
        <f>IF('Données projet'!$A$140&gt;35,CT11+CS12-DB11,IF(A12&lt;'Données projet'!$A$140,$CQ$205^A12,IF(A12='Données projet'!$A$140,'Données projet'!$B$140,CT11+CS12-DB11)))</f>
        <v>6.3893048289839687</v>
      </c>
      <c r="CU12" s="17">
        <f>CT12*VLOOKUP('Données projet'!$B$13,Paramètres!$A$1:$I$89,3,0)*VLOOKUP('Données projet'!$B$13,Paramètres!$A$1:$I$89,5,0)</f>
        <v>5.0833309219396456</v>
      </c>
      <c r="CV12" s="13">
        <f t="shared" si="41"/>
        <v>1.9386739558966015</v>
      </c>
      <c r="CW12" s="20">
        <f t="shared" si="13"/>
        <v>12.229991828898131</v>
      </c>
      <c r="CX12" s="59">
        <f t="shared" si="14"/>
        <v>305.56332516223142</v>
      </c>
      <c r="CY12" s="59">
        <f ca="1">AVERAGE(OFFSET($CX$3,0,0,'Données projet'!$E$13+1,1))-AVERAGE(OFFSET($H$3,0,0,'Données projet'!$E$13+1,1))</f>
        <v>198.11534486400666</v>
      </c>
      <c r="CZ12" s="59">
        <f t="shared" si="42"/>
        <v>174.29856796517652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2.6904761904761907</v>
      </c>
      <c r="DO12" s="12">
        <f>IF('Données projet'!$A$166&gt;35,DO11+DN12-DW11,IF(A12&lt;'Données projet'!$A$166,$DL$205^A12,IF(A12='Données projet'!$A$166,'Données projet'!$B$166,DO11+DN12-DW11)))</f>
        <v>24.214285714285712</v>
      </c>
      <c r="DP12" s="17">
        <f>DO12*VLOOKUP('Données projet'!$B$14,Paramètres!$A$1:$I$89,3,0)*VLOOKUP('Données projet'!$B$14,Paramètres!$A$1:$I$89,5,0)</f>
        <v>24.553285714285714</v>
      </c>
      <c r="DQ12" s="13">
        <f t="shared" si="43"/>
        <v>7.7956605991365588</v>
      </c>
      <c r="DR12" s="20">
        <f t="shared" si="16"/>
        <v>56.341081495877127</v>
      </c>
      <c r="DS12" s="59">
        <f t="shared" si="17"/>
        <v>349.67441482921043</v>
      </c>
      <c r="DT12" s="59">
        <f ca="1">AVERAGE(OFFSET($DS$3,0,0,'Données projet'!$E$14+1,1))-AVERAGE(OFFSET($H$3,0,0,'Données projet'!$E$14+1,1))</f>
        <v>247.92503505485405</v>
      </c>
      <c r="DU12" s="59">
        <f t="shared" si="44"/>
        <v>148.26437652597514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2.6904761904761907</v>
      </c>
      <c r="EJ12" s="12">
        <f>IF('Données projet'!$A$192&gt;35,EJ11+EI12-ER11,IF(A12&lt;'Données projet'!$A$192,$EG$205^A12,IF(A12='Données projet'!$A$192,'Données projet'!$B$192,EJ11+EI12-ER11)))</f>
        <v>24.214285714285712</v>
      </c>
      <c r="EK12" s="17">
        <f>EJ12*VLOOKUP('Données projet'!$B$15,Paramètres!$A$1:$I$89,3,0)*VLOOKUP('Données projet'!$B$15,Paramètres!$A$1:$I$89,5,0)</f>
        <v>23.420057142857143</v>
      </c>
      <c r="EL12" s="13">
        <f t="shared" si="45"/>
        <v>7.4768725509026694</v>
      </c>
      <c r="EM12" s="20">
        <f t="shared" si="19"/>
        <v>53.812152549965013</v>
      </c>
      <c r="EN12" s="59">
        <f t="shared" si="20"/>
        <v>347.14548588329831</v>
      </c>
      <c r="EO12" s="59">
        <f ca="1">AVERAGE(OFFSET($EN$3,0,0,'Données projet'!$E$15+1,1))-AVERAGE(OFFSET($H$3,0,0,'Données projet'!$E$15+1,1))</f>
        <v>232.99870507181964</v>
      </c>
      <c r="EP12" s="59">
        <f t="shared" si="46"/>
        <v>140.07662669226278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1.4666666666666666</v>
      </c>
      <c r="FE12" s="12">
        <f>IF('Données projet'!$A$218&gt;35,FE11+FD12-FM11,IF(A12&lt;'Données projet'!$A$218,$FB$205^A12,IF(A12='Données projet'!$A$218,'Données projet'!$B$218,FE11+FD12-FM11)))</f>
        <v>6.3893048289839687</v>
      </c>
      <c r="FF12" s="17">
        <f>FE12*VLOOKUP('Données projet'!$B$16,Paramètres!$A$1:$I$89,3,0)*VLOOKUP('Données projet'!$B$16,Paramètres!$A$1:$I$89,5,0)</f>
        <v>4.9836577666074957</v>
      </c>
      <c r="FG12" s="13">
        <f t="shared" si="47"/>
        <v>1.9050468662770645</v>
      </c>
      <c r="FH12" s="20">
        <f t="shared" si="22"/>
        <v>11.997827235607275</v>
      </c>
      <c r="FI12" s="59">
        <f t="shared" si="23"/>
        <v>305.33116056894062</v>
      </c>
      <c r="FJ12" s="59">
        <f ca="1">AVERAGE(OFFSET($FI$3,0,0,'Données projet'!$E$16+1,1))-AVERAGE(OFFSET($H$3,0,0,'Données projet'!$E$16+1,1))</f>
        <v>193.47609744163839</v>
      </c>
      <c r="FK12" s="59">
        <f t="shared" si="48"/>
        <v>170.3221892406973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</v>
      </c>
      <c r="FS12" s="21">
        <f>EXP(-LN(2)/2)*FS11+(1-EXP(-LN(2)/2))/(LN(2)/2)*FM12*FP12*VLOOKUP('Données projet'!$B$16,Paramètres!$A$1:$I$89,3,0)*0.475*44/12</f>
        <v>0</v>
      </c>
      <c r="FT12" s="22">
        <f t="shared" si="24"/>
        <v>0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6.2222222222222223</v>
      </c>
      <c r="FZ12" s="12">
        <f>IF('Données projet'!$A$244&gt;35,FZ11+FY12-GH11,IF(A12&lt;'Données projet'!$A$244,$FW$205^A12,IF(A12='Données projet'!$A$244,'Données projet'!$B$244,FZ11+FY12-GH11)))</f>
        <v>10.583005244258365</v>
      </c>
      <c r="GA12" s="17">
        <f>FZ12*VLOOKUP('Données projet'!$B$17,Paramètres!$A$1:$I$89,3,0)*VLOOKUP('Données projet'!$B$17,Paramètres!$A$1:$I$89,5,0)</f>
        <v>5.7783208633650665</v>
      </c>
      <c r="GB12" s="13">
        <f t="shared" si="49"/>
        <v>2.1711008950137973</v>
      </c>
      <c r="GC12" s="20">
        <f t="shared" si="25"/>
        <v>13.845242895843187</v>
      </c>
      <c r="GD12" s="59">
        <f t="shared" si="26"/>
        <v>307.17857622917649</v>
      </c>
      <c r="GE12" s="59">
        <f ca="1">AVERAGE(OFFSET($GD$3,0,0,'Données projet'!$E$17+1,1))-AVERAGE(OFFSET($H$3,0,0,'Données projet'!$E$17+1,1))</f>
        <v>153.43773674911449</v>
      </c>
      <c r="GF12" s="59">
        <f t="shared" si="50"/>
        <v>235.49395036616602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1.4666666666666666</v>
      </c>
      <c r="GU12" s="12">
        <f>IF('Données projet'!$A$270&gt;35,GU11+GT12-HC11,IF(A12&lt;'Données projet'!$A$270,$GR$205^A12,IF(A12='Données projet'!$A$270,'Données projet'!$B$270,GU11+GT12-HC11)))</f>
        <v>6.3893048289839687</v>
      </c>
      <c r="GV12" s="17">
        <f>GU12*VLOOKUP('Données projet'!$B$18,Paramètres!$A$1:$I$89,3,0)*VLOOKUP('Données projet'!$B$18,Paramètres!$A$1:$I$89,5,0)</f>
        <v>5.0833309219396456</v>
      </c>
      <c r="GW12" s="13">
        <f t="shared" si="51"/>
        <v>1.9386739558966015</v>
      </c>
      <c r="GX12" s="20">
        <f t="shared" si="28"/>
        <v>12.229991828898131</v>
      </c>
      <c r="GY12" s="59">
        <f t="shared" si="29"/>
        <v>305.56332516223142</v>
      </c>
      <c r="GZ12" s="59">
        <f ca="1">AVERAGE(OFFSET($GY$3,0,0,'Données projet'!$E$18+1,1))-AVERAGE(OFFSET($H$3,0,0,'Données projet'!$E$18+1,1))</f>
        <v>198.11534486400666</v>
      </c>
      <c r="HA12" s="59">
        <f t="shared" si="52"/>
        <v>174.29856796517652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>
        <f>EXP(-LN(2)/35)*HG11+(1-EXP(-LN(2)/35))/(LN(2)/35)*HC12*HD12*VLOOKUP('Données projet'!$B$18,Paramètres!$A$1:$I$89,3,0)*0.475*44/12</f>
        <v>0</v>
      </c>
      <c r="HH12" s="21">
        <f>EXP(-LN(2)/25)*HH11+(1-EXP(-LN(2)/25))/(LN(2)/25)*Calculateur!HC12*Calculateur!HE12*VLOOKUP('Données projet'!$B$18,Paramètres!$A$1:$I$89,3,0)*0.475*44/12</f>
        <v>0</v>
      </c>
      <c r="HI12" s="21">
        <f>EXP(-LN(2)/2)*HI11+(1-EXP(-LN(2)/2))/(LN(2)/2)*HC12*HF12*VLOOKUP('Données projet'!$B$18,Paramètres!$A$1:$I$89,3,0)*0.475*44/12</f>
        <v>0</v>
      </c>
      <c r="HJ12" s="22">
        <f t="shared" si="30"/>
        <v>0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2.95</v>
      </c>
      <c r="N13" s="13">
        <f>IF('Données projet'!$A$36&gt;35,N12+M13-V12,IF(A13&lt;'Données projet'!$A$36,$K$205^A13,IF(A13='Données projet'!$A$36,'Données projet'!$B$36,N12+M13-V12)))</f>
        <v>7.6811457478686105</v>
      </c>
      <c r="O13" s="13">
        <f>N13*VLOOKUP('Données projet'!$B$9,Paramètres!$A$1:$I$89,3,0)*VLOOKUP('Données projet'!$B$9,Paramètres!$A$1:$I$89,5,0)</f>
        <v>4.5933251572254292</v>
      </c>
      <c r="P13" s="13">
        <f t="shared" si="33"/>
        <v>1.7725873668622805</v>
      </c>
      <c r="Q13" s="20">
        <f t="shared" si="2"/>
        <v>11.087297646119426</v>
      </c>
      <c r="R13" s="59">
        <f t="shared" si="0"/>
        <v>304.42063097945277</v>
      </c>
      <c r="S13" s="59">
        <f ca="1">AVERAGE(OFFSET($R$3,0,0,'Données projet'!$E$9+1,1))-AVERAGE(OFFSET($H$3,0,0,'Données projet'!$E$9+1,1))</f>
        <v>295.19075440119076</v>
      </c>
      <c r="T13" s="59">
        <f t="shared" si="34"/>
        <v>173.0182327988216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5.5909090909090908</v>
      </c>
      <c r="AI13" s="13">
        <f>IF('Données projet'!$A$62&gt;35,AI12+AH13-AQ12,IF(A13&lt;'Données projet'!$A$62,$AF$205^A13,IF(A13='Données projet'!$A$62,'Données projet'!$B$62,AI12+AH13-AQ12)))</f>
        <v>8.9116242956840761</v>
      </c>
      <c r="AJ13" s="13">
        <f>AI13*VLOOKUP('Données projet'!$B$10,Paramètres!$A$1:$I$89,3,0)*VLOOKUP('Données projet'!$B$10,Paramètres!$A$1:$I$89,5,0)</f>
        <v>5.3291513288190782</v>
      </c>
      <c r="AK13" s="13">
        <f t="shared" si="35"/>
        <v>2.0212829858817885</v>
      </c>
      <c r="AL13" s="20">
        <f t="shared" si="4"/>
        <v>12.802006431437341</v>
      </c>
      <c r="AM13" s="59">
        <f t="shared" si="5"/>
        <v>306.13533976477066</v>
      </c>
      <c r="AN13" s="59">
        <f ca="1">AVERAGE(OFFSET($AM$3,0,0,'Données projet'!$E$10+1,1))-AVERAGE(OFFSET($H$3,0,0,'Données projet'!$E$10+1,1))</f>
        <v>294.45857786714919</v>
      </c>
      <c r="AO13" s="59">
        <f t="shared" si="36"/>
        <v>221.9773436301067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8.5829986995195267</v>
      </c>
      <c r="BF13" s="13">
        <f t="shared" si="37"/>
        <v>3.0797504443346257</v>
      </c>
      <c r="BG13" s="20">
        <f t="shared" si="7"/>
        <v>20.312621425545984</v>
      </c>
      <c r="BH13" s="59">
        <f t="shared" si="8"/>
        <v>313.64595475887927</v>
      </c>
      <c r="BI13" s="59">
        <f ca="1">AVERAGE(OFFSET($BH$3,0,0,'Données projet'!$E$11+1,1))-AVERAGE(OFFSET($H$3,0,0,'Données projet'!$E$11+1,1))</f>
        <v>179.44051550872138</v>
      </c>
      <c r="BJ13" s="59">
        <f t="shared" si="38"/>
        <v>272.9500808380069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7.9</v>
      </c>
      <c r="BY13" s="12">
        <f>IF('Données projet'!$A$114&gt;35,BY12+BX13-CG12,IF(A13&lt;'Données projet'!$A$114,$BV$205^A13,IF(A13='Données projet'!$A$114,'Données projet'!$B$114,BY12+BX13-CG12)))</f>
        <v>12.569805089976542</v>
      </c>
      <c r="BZ13" s="13">
        <f>BY13*VLOOKUP('Données projet'!$B$12,Paramètres!$A$1:$I$89,3,0)*VLOOKUP('Données projet'!$B$12,Paramètres!$A$1:$I$89,5,0)</f>
        <v>5.8826687821090227</v>
      </c>
      <c r="CA13" s="13">
        <f t="shared" si="39"/>
        <v>2.2057079152108381</v>
      </c>
      <c r="CB13" s="20">
        <f t="shared" si="10"/>
        <v>14.087256081165423</v>
      </c>
      <c r="CC13" s="59">
        <f t="shared" si="11"/>
        <v>307.42058941449875</v>
      </c>
      <c r="CD13" s="59">
        <f ca="1">AVERAGE(OFFSET($CC$3,0,0,'Données projet'!$E$12+1,1))-AVERAGE(OFFSET($H$3,0,0,'Données projet'!$E$12+1,1))</f>
        <v>259.87681411271632</v>
      </c>
      <c r="CE13" s="59">
        <f t="shared" si="40"/>
        <v>191.8684235641158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1.4666666666666666</v>
      </c>
      <c r="CT13" s="12">
        <f>IF('Données projet'!$A$140&gt;35,CT12+CS13-DB12,IF(A13&lt;'Données projet'!$A$140,$CQ$205^A13,IF(A13='Données projet'!$A$140,'Données projet'!$B$140,CT12+CS13-DB12)))</f>
        <v>7.8514244105396909</v>
      </c>
      <c r="CU13" s="17">
        <f>CT13*VLOOKUP('Données projet'!$B$13,Paramètres!$A$1:$I$89,3,0)*VLOOKUP('Données projet'!$B$13,Paramètres!$A$1:$I$89,5,0)</f>
        <v>6.246593261025378</v>
      </c>
      <c r="CV13" s="13">
        <f t="shared" si="41"/>
        <v>2.3258538499891372</v>
      </c>
      <c r="CW13" s="20">
        <f t="shared" si="13"/>
        <v>14.930345385016949</v>
      </c>
      <c r="CX13" s="59">
        <f t="shared" si="14"/>
        <v>308.26367871835026</v>
      </c>
      <c r="CY13" s="59">
        <f ca="1">AVERAGE(OFFSET($CX$3,0,0,'Données projet'!$E$13+1,1))-AVERAGE(OFFSET($H$3,0,0,'Données projet'!$E$13+1,1))</f>
        <v>198.11534486400666</v>
      </c>
      <c r="CZ13" s="59">
        <f t="shared" si="42"/>
        <v>174.29856796517652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2.6904761904761907</v>
      </c>
      <c r="DO13" s="12">
        <f>IF('Données projet'!$A$166&gt;35,DO12+DN13-DW12,IF(A13&lt;'Données projet'!$A$166,$DL$205^A13,IF(A13='Données projet'!$A$166,'Données projet'!$B$166,DO12+DN13-DW12)))</f>
        <v>26.904761904761902</v>
      </c>
      <c r="DP13" s="17">
        <f>DO13*VLOOKUP('Données projet'!$B$14,Paramètres!$A$1:$I$89,3,0)*VLOOKUP('Données projet'!$B$14,Paramètres!$A$1:$I$89,5,0)</f>
        <v>27.28142857142857</v>
      </c>
      <c r="DQ13" s="13">
        <f t="shared" si="43"/>
        <v>8.5562652902144691</v>
      </c>
      <c r="DR13" s="20">
        <f t="shared" si="16"/>
        <v>62.417316809028286</v>
      </c>
      <c r="DS13" s="59">
        <f t="shared" si="17"/>
        <v>355.75065014236162</v>
      </c>
      <c r="DT13" s="59">
        <f ca="1">AVERAGE(OFFSET($DS$3,0,0,'Données projet'!$E$14+1,1))-AVERAGE(OFFSET($H$3,0,0,'Données projet'!$E$14+1,1))</f>
        <v>247.92503505485405</v>
      </c>
      <c r="DU13" s="59">
        <f t="shared" si="44"/>
        <v>148.26437652597514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2.6904761904761907</v>
      </c>
      <c r="EJ13" s="12">
        <f>IF('Données projet'!$A$192&gt;35,EJ12+EI13-ER12,IF(A13&lt;'Données projet'!$A$192,$EG$205^A13,IF(A13='Données projet'!$A$192,'Données projet'!$B$192,EJ12+EI13-ER12)))</f>
        <v>26.904761904761902</v>
      </c>
      <c r="EK13" s="17">
        <f>EJ13*VLOOKUP('Données projet'!$B$15,Paramètres!$A$1:$I$89,3,0)*VLOOKUP('Données projet'!$B$15,Paramètres!$A$1:$I$89,5,0)</f>
        <v>26.022285714285715</v>
      </c>
      <c r="EL13" s="13">
        <f t="shared" si="45"/>
        <v>8.2063738246546478</v>
      </c>
      <c r="EM13" s="20">
        <f t="shared" si="19"/>
        <v>59.614915363654461</v>
      </c>
      <c r="EN13" s="59">
        <f t="shared" si="20"/>
        <v>352.94824869698778</v>
      </c>
      <c r="EO13" s="59">
        <f ca="1">AVERAGE(OFFSET($EN$3,0,0,'Données projet'!$E$15+1,1))-AVERAGE(OFFSET($H$3,0,0,'Données projet'!$E$15+1,1))</f>
        <v>232.99870507181964</v>
      </c>
      <c r="EP13" s="59">
        <f t="shared" si="46"/>
        <v>140.07662669226278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1.4666666666666666</v>
      </c>
      <c r="FE13" s="12">
        <f>IF('Données projet'!$A$218&gt;35,FE12+FD13-FM12,IF(A13&lt;'Données projet'!$A$218,$FB$205^A13,IF(A13='Données projet'!$A$218,'Données projet'!$B$218,FE12+FD13-FM12)))</f>
        <v>7.8514244105396909</v>
      </c>
      <c r="FF13" s="17">
        <f>FE13*VLOOKUP('Données projet'!$B$16,Paramètres!$A$1:$I$89,3,0)*VLOOKUP('Données projet'!$B$16,Paramètres!$A$1:$I$89,5,0)</f>
        <v>6.1241110402209591</v>
      </c>
      <c r="FG13" s="13">
        <f t="shared" si="47"/>
        <v>2.2855109673617391</v>
      </c>
      <c r="FH13" s="20">
        <f t="shared" si="22"/>
        <v>14.646758329873199</v>
      </c>
      <c r="FI13" s="59">
        <f t="shared" si="23"/>
        <v>307.98009166320651</v>
      </c>
      <c r="FJ13" s="59">
        <f ca="1">AVERAGE(OFFSET($FI$3,0,0,'Données projet'!$E$16+1,1))-AVERAGE(OFFSET($H$3,0,0,'Données projet'!$E$16+1,1))</f>
        <v>193.47609744163839</v>
      </c>
      <c r="FK13" s="59">
        <f t="shared" si="48"/>
        <v>170.3221892406973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0</v>
      </c>
      <c r="FS13" s="21">
        <f>EXP(-LN(2)/2)*FS12+(1-EXP(-LN(2)/2))/(LN(2)/2)*FM13*FP13*VLOOKUP('Données projet'!$B$16,Paramètres!$A$1:$I$89,3,0)*0.475*44/12</f>
        <v>0</v>
      </c>
      <c r="FT13" s="22">
        <f t="shared" si="24"/>
        <v>0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6.2222222222222223</v>
      </c>
      <c r="FZ13" s="12">
        <f>IF('Données projet'!$A$244&gt;35,FZ12+FY13-GH12,IF(A13&lt;'Données projet'!$A$244,$FW$205^A13,IF(A13='Données projet'!$A$244,'Données projet'!$B$244,FZ12+FY13-GH12)))</f>
        <v>13.754805608204368</v>
      </c>
      <c r="GA13" s="17">
        <f>FZ13*VLOOKUP('Données projet'!$B$17,Paramètres!$A$1:$I$89,3,0)*VLOOKUP('Données projet'!$B$17,Paramètres!$A$1:$I$89,5,0)</f>
        <v>7.5101238620795847</v>
      </c>
      <c r="GB13" s="13">
        <f t="shared" si="49"/>
        <v>2.7369939801244656</v>
      </c>
      <c r="GC13" s="20">
        <f t="shared" si="25"/>
        <v>17.847063575172051</v>
      </c>
      <c r="GD13" s="59">
        <f t="shared" si="26"/>
        <v>311.18039690850537</v>
      </c>
      <c r="GE13" s="59">
        <f ca="1">AVERAGE(OFFSET($GD$3,0,0,'Données projet'!$E$17+1,1))-AVERAGE(OFFSET($H$3,0,0,'Données projet'!$E$17+1,1))</f>
        <v>153.43773674911449</v>
      </c>
      <c r="GF13" s="59">
        <f t="shared" si="50"/>
        <v>235.49395036616602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1.4666666666666666</v>
      </c>
      <c r="GU13" s="12">
        <f>IF('Données projet'!$A$270&gt;35,GU12+GT13-HC12,IF(A13&lt;'Données projet'!$A$270,$GR$205^A13,IF(A13='Données projet'!$A$270,'Données projet'!$B$270,GU12+GT13-HC12)))</f>
        <v>7.8514244105396909</v>
      </c>
      <c r="GV13" s="17">
        <f>GU13*VLOOKUP('Données projet'!$B$18,Paramètres!$A$1:$I$89,3,0)*VLOOKUP('Données projet'!$B$18,Paramètres!$A$1:$I$89,5,0)</f>
        <v>6.246593261025378</v>
      </c>
      <c r="GW13" s="13">
        <f t="shared" si="51"/>
        <v>2.3258538499891372</v>
      </c>
      <c r="GX13" s="20">
        <f t="shared" si="28"/>
        <v>14.930345385016949</v>
      </c>
      <c r="GY13" s="59">
        <f t="shared" si="29"/>
        <v>308.26367871835026</v>
      </c>
      <c r="GZ13" s="59">
        <f ca="1">AVERAGE(OFFSET($GY$3,0,0,'Données projet'!$E$18+1,1))-AVERAGE(OFFSET($H$3,0,0,'Données projet'!$E$18+1,1))</f>
        <v>198.11534486400666</v>
      </c>
      <c r="HA13" s="59">
        <f t="shared" si="52"/>
        <v>174.29856796517652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>
        <f>EXP(-LN(2)/35)*HG12+(1-EXP(-LN(2)/35))/(LN(2)/35)*HC13*HD13*VLOOKUP('Données projet'!$B$18,Paramètres!$A$1:$I$89,3,0)*0.475*44/12</f>
        <v>0</v>
      </c>
      <c r="HH13" s="21">
        <f>EXP(-LN(2)/25)*HH12+(1-EXP(-LN(2)/25))/(LN(2)/25)*Calculateur!HC13*Calculateur!HE13*VLOOKUP('Données projet'!$B$18,Paramètres!$A$1:$I$89,3,0)*0.475*44/12</f>
        <v>0</v>
      </c>
      <c r="HI13" s="21">
        <f>EXP(-LN(2)/2)*HI12+(1-EXP(-LN(2)/2))/(LN(2)/2)*HC13*HF13*VLOOKUP('Données projet'!$B$18,Paramètres!$A$1:$I$89,3,0)*0.475*44/12</f>
        <v>0</v>
      </c>
      <c r="HJ13" s="22">
        <f t="shared" si="30"/>
        <v>0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2.95</v>
      </c>
      <c r="N14" s="13">
        <f>IF('Données projet'!$A$36&gt;35,N13+M14-V13,IF(A14&lt;'Données projet'!$A$36,$K$205^A14,IF(A14='Données projet'!$A$36,'Données projet'!$B$36,N13+M14-V13)))</f>
        <v>9.4182151314906868</v>
      </c>
      <c r="O14" s="13">
        <f>N14*VLOOKUP('Données projet'!$B$9,Paramètres!$A$1:$I$89,3,0)*VLOOKUP('Données projet'!$B$9,Paramètres!$A$1:$I$89,5,0)</f>
        <v>5.6320926486314313</v>
      </c>
      <c r="P14" s="13">
        <f t="shared" si="33"/>
        <v>2.1224813931175985</v>
      </c>
      <c r="Q14" s="20">
        <f t="shared" si="2"/>
        <v>13.505883122712893</v>
      </c>
      <c r="R14" s="59">
        <f t="shared" si="0"/>
        <v>306.83921645604619</v>
      </c>
      <c r="S14" s="59">
        <f ca="1">AVERAGE(OFFSET($R$3,0,0,'Données projet'!$E$9+1,1))-AVERAGE(OFFSET($H$3,0,0,'Données projet'!$E$9+1,1))</f>
        <v>295.19075440119076</v>
      </c>
      <c r="T14" s="59">
        <f t="shared" si="34"/>
        <v>173.0182327988216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5.5909090909090908</v>
      </c>
      <c r="AI14" s="13">
        <f>IF('Données projet'!$A$62&gt;35,AI13+AH14-AQ13,IF(A14&lt;'Données projet'!$A$62,$AF$205^A14,IF(A14='Données projet'!$A$62,'Données projet'!$B$62,AI13+AH14-AQ13)))</f>
        <v>11.090536506409412</v>
      </c>
      <c r="AJ14" s="13">
        <f>AI14*VLOOKUP('Données projet'!$B$10,Paramètres!$A$1:$I$89,3,0)*VLOOKUP('Données projet'!$B$10,Paramètres!$A$1:$I$89,5,0)</f>
        <v>6.6321408308328289</v>
      </c>
      <c r="AK14" s="13">
        <f t="shared" si="35"/>
        <v>2.4522531963221348</v>
      </c>
      <c r="AL14" s="20">
        <f t="shared" si="4"/>
        <v>15.821986263961561</v>
      </c>
      <c r="AM14" s="59">
        <f t="shared" si="5"/>
        <v>309.15531959729486</v>
      </c>
      <c r="AN14" s="59">
        <f ca="1">AVERAGE(OFFSET($AM$3,0,0,'Données projet'!$E$10+1,1))-AVERAGE(OFFSET($H$3,0,0,'Données projet'!$E$10+1,1))</f>
        <v>294.45857786714919</v>
      </c>
      <c r="AO14" s="59">
        <f t="shared" si="36"/>
        <v>221.9773436301067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11.155383175437063</v>
      </c>
      <c r="BF14" s="13">
        <f t="shared" si="37"/>
        <v>3.8824812083990929</v>
      </c>
      <c r="BG14" s="20">
        <f t="shared" si="7"/>
        <v>26.1909471351813</v>
      </c>
      <c r="BH14" s="59">
        <f t="shared" si="8"/>
        <v>319.52428046851463</v>
      </c>
      <c r="BI14" s="59">
        <f ca="1">AVERAGE(OFFSET($BH$3,0,0,'Données projet'!$E$11+1,1))-AVERAGE(OFFSET($H$3,0,0,'Données projet'!$E$11+1,1))</f>
        <v>179.44051550872138</v>
      </c>
      <c r="BJ14" s="59">
        <f t="shared" si="38"/>
        <v>272.9500808380069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7.9</v>
      </c>
      <c r="BY14" s="12">
        <f>IF('Données projet'!$A$114&gt;35,BY13+BX14-CG13,IF(A14&lt;'Données projet'!$A$114,$BV$205^A14,IF(A14='Données projet'!$A$114,'Données projet'!$B$114,BY13+BX14-CG13)))</f>
        <v>16.190542381779895</v>
      </c>
      <c r="BZ14" s="13">
        <f>BY14*VLOOKUP('Données projet'!$B$12,Paramètres!$A$1:$I$89,3,0)*VLOOKUP('Données projet'!$B$12,Paramètres!$A$1:$I$89,5,0)</f>
        <v>7.5771738346729904</v>
      </c>
      <c r="CA14" s="13">
        <f t="shared" si="39"/>
        <v>2.7585742106736397</v>
      </c>
      <c r="CB14" s="20">
        <f t="shared" si="10"/>
        <v>18.001427845645381</v>
      </c>
      <c r="CC14" s="59">
        <f t="shared" si="11"/>
        <v>311.33476117897868</v>
      </c>
      <c r="CD14" s="59">
        <f ca="1">AVERAGE(OFFSET($CC$3,0,0,'Données projet'!$E$12+1,1))-AVERAGE(OFFSET($H$3,0,0,'Données projet'!$E$12+1,1))</f>
        <v>259.87681411271632</v>
      </c>
      <c r="CE14" s="59">
        <f t="shared" si="40"/>
        <v>191.8684235641158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1.4666666666666666</v>
      </c>
      <c r="CT14" s="12">
        <f>IF('Données projet'!$A$140&gt;35,CT13+CS14-DB13,IF(A14&lt;'Données projet'!$A$140,$CQ$205^A14,IF(A14='Données projet'!$A$140,'Données projet'!$B$140,CT13+CS14-DB13)))</f>
        <v>9.6481333923492478</v>
      </c>
      <c r="CU14" s="17">
        <f>CT14*VLOOKUP('Données projet'!$B$13,Paramètres!$A$1:$I$89,3,0)*VLOOKUP('Données projet'!$B$13,Paramètres!$A$1:$I$89,5,0)</f>
        <v>7.6760549269530616</v>
      </c>
      <c r="CV14" s="13">
        <f t="shared" si="41"/>
        <v>2.79035890230828</v>
      </c>
      <c r="CW14" s="20">
        <f t="shared" si="13"/>
        <v>18.229004085963499</v>
      </c>
      <c r="CX14" s="59">
        <f t="shared" si="14"/>
        <v>311.5623374192968</v>
      </c>
      <c r="CY14" s="59">
        <f ca="1">AVERAGE(OFFSET($CX$3,0,0,'Données projet'!$E$13+1,1))-AVERAGE(OFFSET($H$3,0,0,'Données projet'!$E$13+1,1))</f>
        <v>198.11534486400666</v>
      </c>
      <c r="CZ14" s="59">
        <f t="shared" si="42"/>
        <v>174.29856796517652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2.6904761904761907</v>
      </c>
      <c r="DO14" s="12">
        <f>IF('Données projet'!$A$166&gt;35,DO13+DN14-DW13,IF(A14&lt;'Données projet'!$A$166,$DL$205^A14,IF(A14='Données projet'!$A$166,'Données projet'!$B$166,DO13+DN14-DW13)))</f>
        <v>29.595238095238091</v>
      </c>
      <c r="DP14" s="17">
        <f>DO14*VLOOKUP('Données projet'!$B$14,Paramètres!$A$1:$I$89,3,0)*VLOOKUP('Données projet'!$B$14,Paramètres!$A$1:$I$89,5,0)</f>
        <v>30.009571428571427</v>
      </c>
      <c r="DQ14" s="13">
        <f t="shared" si="43"/>
        <v>9.3080523717113106</v>
      </c>
      <c r="DR14" s="20">
        <f t="shared" si="16"/>
        <v>68.478194785492434</v>
      </c>
      <c r="DS14" s="59">
        <f t="shared" si="17"/>
        <v>361.81152811882578</v>
      </c>
      <c r="DT14" s="59">
        <f ca="1">AVERAGE(OFFSET($DS$3,0,0,'Données projet'!$E$14+1,1))-AVERAGE(OFFSET($H$3,0,0,'Données projet'!$E$14+1,1))</f>
        <v>247.92503505485405</v>
      </c>
      <c r="DU14" s="59">
        <f t="shared" si="44"/>
        <v>148.26437652597514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2.6904761904761907</v>
      </c>
      <c r="EJ14" s="12">
        <f>IF('Données projet'!$A$192&gt;35,EJ13+EI14-ER13,IF(A14&lt;'Données projet'!$A$192,$EG$205^A14,IF(A14='Données projet'!$A$192,'Données projet'!$B$192,EJ13+EI14-ER13)))</f>
        <v>29.595238095238091</v>
      </c>
      <c r="EK14" s="17">
        <f>EJ14*VLOOKUP('Données projet'!$B$15,Paramètres!$A$1:$I$89,3,0)*VLOOKUP('Données projet'!$B$15,Paramètres!$A$1:$I$89,5,0)</f>
        <v>28.624514285714284</v>
      </c>
      <c r="EL14" s="13">
        <f t="shared" si="45"/>
        <v>8.9274180674465384</v>
      </c>
      <c r="EM14" s="20">
        <f t="shared" si="19"/>
        <v>65.402948848421758</v>
      </c>
      <c r="EN14" s="59">
        <f t="shared" si="20"/>
        <v>358.73628218175509</v>
      </c>
      <c r="EO14" s="59">
        <f ca="1">AVERAGE(OFFSET($EN$3,0,0,'Données projet'!$E$15+1,1))-AVERAGE(OFFSET($H$3,0,0,'Données projet'!$E$15+1,1))</f>
        <v>232.99870507181964</v>
      </c>
      <c r="EP14" s="59">
        <f t="shared" si="46"/>
        <v>140.07662669226278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1.4666666666666666</v>
      </c>
      <c r="FE14" s="12">
        <f>IF('Données projet'!$A$218&gt;35,FE13+FD14-FM13,IF(A14&lt;'Données projet'!$A$218,$FB$205^A14,IF(A14='Données projet'!$A$218,'Données projet'!$B$218,FE13+FD14-FM13)))</f>
        <v>9.6481333923492478</v>
      </c>
      <c r="FF14" s="17">
        <f>FE14*VLOOKUP('Données projet'!$B$16,Paramètres!$A$1:$I$89,3,0)*VLOOKUP('Données projet'!$B$16,Paramètres!$A$1:$I$89,5,0)</f>
        <v>7.5255440460324134</v>
      </c>
      <c r="FG14" s="13">
        <f t="shared" si="47"/>
        <v>2.7419589902997652</v>
      </c>
      <c r="FH14" s="20">
        <f t="shared" si="22"/>
        <v>17.882567788278546</v>
      </c>
      <c r="FI14" s="59">
        <f t="shared" si="23"/>
        <v>311.21590112161186</v>
      </c>
      <c r="FJ14" s="59">
        <f ca="1">AVERAGE(OFFSET($FI$3,0,0,'Données projet'!$E$16+1,1))-AVERAGE(OFFSET($H$3,0,0,'Données projet'!$E$16+1,1))</f>
        <v>193.47609744163839</v>
      </c>
      <c r="FK14" s="59">
        <f t="shared" si="48"/>
        <v>170.3221892406973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0</v>
      </c>
      <c r="FS14" s="21">
        <f>EXP(-LN(2)/2)*FS13+(1-EXP(-LN(2)/2))/(LN(2)/2)*FM14*FP14*VLOOKUP('Données projet'!$B$16,Paramètres!$A$1:$I$89,3,0)*0.475*44/12</f>
        <v>0</v>
      </c>
      <c r="FT14" s="22">
        <f t="shared" si="24"/>
        <v>0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6.2222222222222223</v>
      </c>
      <c r="FZ14" s="12">
        <f>IF('Données projet'!$A$244&gt;35,FZ13+FY14-GH13,IF(A14&lt;'Données projet'!$A$244,$FW$205^A14,IF(A14='Données projet'!$A$244,'Données projet'!$B$244,FZ13+FY14-GH13)))</f>
        <v>17.877216627302985</v>
      </c>
      <c r="GA14" s="17">
        <f>FZ14*VLOOKUP('Données projet'!$B$17,Paramètres!$A$1:$I$89,3,0)*VLOOKUP('Données projet'!$B$17,Paramètres!$A$1:$I$89,5,0)</f>
        <v>9.7609602785074294</v>
      </c>
      <c r="GB14" s="13">
        <f t="shared" si="49"/>
        <v>3.4503859606165186</v>
      </c>
      <c r="GC14" s="20">
        <f t="shared" si="25"/>
        <v>23.009761366474208</v>
      </c>
      <c r="GD14" s="59">
        <f t="shared" si="26"/>
        <v>316.34309469980752</v>
      </c>
      <c r="GE14" s="59">
        <f ca="1">AVERAGE(OFFSET($GD$3,0,0,'Données projet'!$E$17+1,1))-AVERAGE(OFFSET($H$3,0,0,'Données projet'!$E$17+1,1))</f>
        <v>153.43773674911449</v>
      </c>
      <c r="GF14" s="59">
        <f t="shared" si="50"/>
        <v>235.49395036616602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1.4666666666666666</v>
      </c>
      <c r="GU14" s="12">
        <f>IF('Données projet'!$A$270&gt;35,GU13+GT14-HC13,IF(A14&lt;'Données projet'!$A$270,$GR$205^A14,IF(A14='Données projet'!$A$270,'Données projet'!$B$270,GU13+GT14-HC13)))</f>
        <v>9.6481333923492478</v>
      </c>
      <c r="GV14" s="17">
        <f>GU14*VLOOKUP('Données projet'!$B$18,Paramètres!$A$1:$I$89,3,0)*VLOOKUP('Données projet'!$B$18,Paramètres!$A$1:$I$89,5,0)</f>
        <v>7.6760549269530616</v>
      </c>
      <c r="GW14" s="13">
        <f t="shared" si="51"/>
        <v>2.79035890230828</v>
      </c>
      <c r="GX14" s="20">
        <f t="shared" si="28"/>
        <v>18.229004085963499</v>
      </c>
      <c r="GY14" s="59">
        <f t="shared" si="29"/>
        <v>311.5623374192968</v>
      </c>
      <c r="GZ14" s="59">
        <f ca="1">AVERAGE(OFFSET($GY$3,0,0,'Données projet'!$E$18+1,1))-AVERAGE(OFFSET($H$3,0,0,'Données projet'!$E$18+1,1))</f>
        <v>198.11534486400666</v>
      </c>
      <c r="HA14" s="59">
        <f t="shared" si="52"/>
        <v>174.29856796517652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>
        <f>EXP(-LN(2)/35)*HG13+(1-EXP(-LN(2)/35))/(LN(2)/35)*HC14*HD14*VLOOKUP('Données projet'!$B$18,Paramètres!$A$1:$I$89,3,0)*0.475*44/12</f>
        <v>0</v>
      </c>
      <c r="HH14" s="21">
        <f>EXP(-LN(2)/25)*HH13+(1-EXP(-LN(2)/25))/(LN(2)/25)*Calculateur!HC14*Calculateur!HE14*VLOOKUP('Données projet'!$B$18,Paramètres!$A$1:$I$89,3,0)*0.475*44/12</f>
        <v>0</v>
      </c>
      <c r="HI14" s="21">
        <f>EXP(-LN(2)/2)*HI13+(1-EXP(-LN(2)/2))/(LN(2)/2)*HC14*HF14*VLOOKUP('Données projet'!$B$18,Paramètres!$A$1:$I$89,3,0)*0.475*44/12</f>
        <v>0</v>
      </c>
      <c r="HJ14" s="22">
        <f t="shared" si="30"/>
        <v>0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2.95</v>
      </c>
      <c r="N15" s="13">
        <f>IF('Données projet'!$A$36&gt;35,N14+M15-V14,IF(A15&lt;'Données projet'!$A$36,$K$205^A15,IF(A15='Données projet'!$A$36,'Données projet'!$B$36,N14+M15-V14)))</f>
        <v>11.548117842660865</v>
      </c>
      <c r="O15" s="13">
        <f>N15*VLOOKUP('Données projet'!$B$9,Paramètres!$A$1:$I$89,3,0)*VLOOKUP('Données projet'!$B$9,Paramètres!$A$1:$I$89,5,0)</f>
        <v>6.905774469911198</v>
      </c>
      <c r="P15" s="13">
        <f t="shared" si="33"/>
        <v>2.5414415945571998</v>
      </c>
      <c r="Q15" s="20">
        <f t="shared" si="2"/>
        <v>16.453901312282458</v>
      </c>
      <c r="R15" s="59">
        <f t="shared" si="0"/>
        <v>309.7872346456158</v>
      </c>
      <c r="S15" s="59">
        <f ca="1">AVERAGE(OFFSET($R$3,0,0,'Données projet'!$E$9+1,1))-AVERAGE(OFFSET($H$3,0,0,'Données projet'!$E$9+1,1))</f>
        <v>295.19075440119076</v>
      </c>
      <c r="T15" s="59">
        <f t="shared" si="34"/>
        <v>173.0182327988216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5.5909090909090908</v>
      </c>
      <c r="AI15" s="13">
        <f>IF('Données projet'!$A$62&gt;35,AI14+AH15-AQ14,IF(A15&lt;'Données projet'!$A$62,$AF$205^A15,IF(A15='Données projet'!$A$62,'Données projet'!$B$62,AI14+AH15-AQ14)))</f>
        <v>13.802197659922571</v>
      </c>
      <c r="AJ15" s="13">
        <f>AI15*VLOOKUP('Données projet'!$B$10,Paramètres!$A$1:$I$89,3,0)*VLOOKUP('Données projet'!$B$10,Paramètres!$A$1:$I$89,5,0)</f>
        <v>8.2537142006336985</v>
      </c>
      <c r="AK15" s="13">
        <f t="shared" si="35"/>
        <v>2.9751132230743558</v>
      </c>
      <c r="AL15" s="20">
        <f t="shared" si="4"/>
        <v>19.556874429624859</v>
      </c>
      <c r="AM15" s="59">
        <f t="shared" si="5"/>
        <v>312.8902077629582</v>
      </c>
      <c r="AN15" s="59">
        <f ca="1">AVERAGE(OFFSET($AM$3,0,0,'Données projet'!$E$10+1,1))-AVERAGE(OFFSET($H$3,0,0,'Données projet'!$E$10+1,1))</f>
        <v>294.45857786714919</v>
      </c>
      <c r="AO15" s="59">
        <f t="shared" si="36"/>
        <v>221.9773436301067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14.498729190975009</v>
      </c>
      <c r="BF15" s="13">
        <f t="shared" si="37"/>
        <v>4.8944421329010357</v>
      </c>
      <c r="BG15" s="20">
        <f t="shared" si="7"/>
        <v>33.776440055750776</v>
      </c>
      <c r="BH15" s="59">
        <f t="shared" si="8"/>
        <v>327.10977338908407</v>
      </c>
      <c r="BI15" s="59">
        <f ca="1">AVERAGE(OFFSET($BH$3,0,0,'Données projet'!$E$11+1,1))-AVERAGE(OFFSET($H$3,0,0,'Données projet'!$E$11+1,1))</f>
        <v>179.44051550872138</v>
      </c>
      <c r="BJ15" s="59">
        <f t="shared" si="38"/>
        <v>272.9500808380069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7.9</v>
      </c>
      <c r="BY15" s="12">
        <f>IF('Données projet'!$A$114&gt;35,BY14+BX15-CG14,IF(A15&lt;'Données projet'!$A$114,$BV$205^A15,IF(A15='Données projet'!$A$114,'Données projet'!$B$114,BY14+BX15-CG14)))</f>
        <v>20.854234472198982</v>
      </c>
      <c r="BZ15" s="13">
        <f>BY15*VLOOKUP('Données projet'!$B$12,Paramètres!$A$1:$I$89,3,0)*VLOOKUP('Données projet'!$B$12,Paramètres!$A$1:$I$89,5,0)</f>
        <v>9.7597817329891239</v>
      </c>
      <c r="CA15" s="13">
        <f t="shared" si="39"/>
        <v>3.4500178483814818</v>
      </c>
      <c r="CB15" s="20">
        <f t="shared" si="10"/>
        <v>23.00706760422047</v>
      </c>
      <c r="CC15" s="59">
        <f t="shared" si="11"/>
        <v>316.3404009375538</v>
      </c>
      <c r="CD15" s="59">
        <f ca="1">AVERAGE(OFFSET($CC$3,0,0,'Données projet'!$E$12+1,1))-AVERAGE(OFFSET($H$3,0,0,'Données projet'!$E$12+1,1))</f>
        <v>259.87681411271632</v>
      </c>
      <c r="CE15" s="59">
        <f t="shared" si="40"/>
        <v>191.8684235641158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1.4666666666666666</v>
      </c>
      <c r="CT15" s="12">
        <f>IF('Données projet'!$A$140&gt;35,CT14+CS15-DB14,IF(A15&lt;'Données projet'!$A$140,$CQ$205^A15,IF(A15='Données projet'!$A$140,'Données projet'!$B$140,CT14+CS15-DB14)))</f>
        <v>11.855998744839987</v>
      </c>
      <c r="CU15" s="17">
        <f>CT15*VLOOKUP('Données projet'!$B$13,Paramètres!$A$1:$I$89,3,0)*VLOOKUP('Données projet'!$B$13,Paramètres!$A$1:$I$89,5,0)</f>
        <v>9.4326326013946939</v>
      </c>
      <c r="CV15" s="13">
        <f t="shared" si="41"/>
        <v>3.3476320121006027</v>
      </c>
      <c r="CW15" s="20">
        <f t="shared" si="13"/>
        <v>22.258960868504307</v>
      </c>
      <c r="CX15" s="59">
        <f t="shared" si="14"/>
        <v>315.5922942018376</v>
      </c>
      <c r="CY15" s="59">
        <f ca="1">AVERAGE(OFFSET($CX$3,0,0,'Données projet'!$E$13+1,1))-AVERAGE(OFFSET($H$3,0,0,'Données projet'!$E$13+1,1))</f>
        <v>198.11534486400666</v>
      </c>
      <c r="CZ15" s="59">
        <f t="shared" si="42"/>
        <v>174.29856796517652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2.6904761904761907</v>
      </c>
      <c r="DO15" s="12">
        <f>IF('Données projet'!$A$166&gt;35,DO14+DN15-DW14,IF(A15&lt;'Données projet'!$A$166,$DL$205^A15,IF(A15='Données projet'!$A$166,'Données projet'!$B$166,DO14+DN15-DW14)))</f>
        <v>32.285714285714285</v>
      </c>
      <c r="DP15" s="17">
        <f>DO15*VLOOKUP('Données projet'!$B$14,Paramètres!$A$1:$I$89,3,0)*VLOOKUP('Données projet'!$B$14,Paramètres!$A$1:$I$89,5,0)</f>
        <v>32.73771428571429</v>
      </c>
      <c r="DQ15" s="13">
        <f t="shared" si="43"/>
        <v>10.051914608398462</v>
      </c>
      <c r="DR15" s="20">
        <f t="shared" si="16"/>
        <v>74.525270323913048</v>
      </c>
      <c r="DS15" s="59">
        <f t="shared" si="17"/>
        <v>367.85860365724636</v>
      </c>
      <c r="DT15" s="59">
        <f ca="1">AVERAGE(OFFSET($DS$3,0,0,'Données projet'!$E$14+1,1))-AVERAGE(OFFSET($H$3,0,0,'Données projet'!$E$14+1,1))</f>
        <v>247.92503505485405</v>
      </c>
      <c r="DU15" s="59">
        <f t="shared" si="44"/>
        <v>148.26437652597514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2.6904761904761907</v>
      </c>
      <c r="EJ15" s="12">
        <f>IF('Données projet'!$A$192&gt;35,EJ14+EI15-ER14,IF(A15&lt;'Données projet'!$A$192,$EG$205^A15,IF(A15='Données projet'!$A$192,'Données projet'!$B$192,EJ14+EI15-ER14)))</f>
        <v>32.285714285714285</v>
      </c>
      <c r="EK15" s="17">
        <f>EJ15*VLOOKUP('Données projet'!$B$15,Paramètres!$A$1:$I$89,3,0)*VLOOKUP('Données projet'!$B$15,Paramètres!$A$1:$I$89,5,0)</f>
        <v>31.22674285714286</v>
      </c>
      <c r="EL15" s="13">
        <f t="shared" si="45"/>
        <v>9.6408615362085364</v>
      </c>
      <c r="EM15" s="20">
        <f t="shared" si="19"/>
        <v>71.177744318420352</v>
      </c>
      <c r="EN15" s="59">
        <f t="shared" si="20"/>
        <v>364.51107765175368</v>
      </c>
      <c r="EO15" s="59">
        <f ca="1">AVERAGE(OFFSET($EN$3,0,0,'Données projet'!$E$15+1,1))-AVERAGE(OFFSET($H$3,0,0,'Données projet'!$E$15+1,1))</f>
        <v>232.99870507181964</v>
      </c>
      <c r="EP15" s="59">
        <f t="shared" si="46"/>
        <v>140.07662669226278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1.4666666666666666</v>
      </c>
      <c r="FE15" s="12">
        <f>IF('Données projet'!$A$218&gt;35,FE14+FD15-FM14,IF(A15&lt;'Données projet'!$A$218,$FB$205^A15,IF(A15='Données projet'!$A$218,'Données projet'!$B$218,FE14+FD15-FM14)))</f>
        <v>11.855998744839987</v>
      </c>
      <c r="FF15" s="17">
        <f>FE15*VLOOKUP('Données projet'!$B$16,Paramètres!$A$1:$I$89,3,0)*VLOOKUP('Données projet'!$B$16,Paramètres!$A$1:$I$89,5,0)</f>
        <v>9.2476790209751893</v>
      </c>
      <c r="FG15" s="13">
        <f t="shared" si="47"/>
        <v>3.289565970958539</v>
      </c>
      <c r="FH15" s="20">
        <f t="shared" si="22"/>
        <v>21.835701694284577</v>
      </c>
      <c r="FI15" s="59">
        <f t="shared" si="23"/>
        <v>315.16903502761789</v>
      </c>
      <c r="FJ15" s="59">
        <f ca="1">AVERAGE(OFFSET($FI$3,0,0,'Données projet'!$E$16+1,1))-AVERAGE(OFFSET($H$3,0,0,'Données projet'!$E$16+1,1))</f>
        <v>193.47609744163839</v>
      </c>
      <c r="FK15" s="59">
        <f t="shared" si="48"/>
        <v>170.3221892406973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0</v>
      </c>
      <c r="FS15" s="21">
        <f>EXP(-LN(2)/2)*FS14+(1-EXP(-LN(2)/2))/(LN(2)/2)*FM15*FP15*VLOOKUP('Données projet'!$B$16,Paramètres!$A$1:$I$89,3,0)*0.475*44/12</f>
        <v>0</v>
      </c>
      <c r="FT15" s="22">
        <f t="shared" si="24"/>
        <v>0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6.2222222222222223</v>
      </c>
      <c r="FZ15" s="12">
        <f>IF('Données projet'!$A$244&gt;35,FZ14+FY15-GH14,IF(A15&lt;'Données projet'!$A$244,$FW$205^A15,IF(A15='Données projet'!$A$244,'Données projet'!$B$244,FZ14+FY15-GH14)))</f>
        <v>23.235142934254824</v>
      </c>
      <c r="GA15" s="17">
        <f>FZ15*VLOOKUP('Données projet'!$B$17,Paramètres!$A$1:$I$89,3,0)*VLOOKUP('Données projet'!$B$17,Paramètres!$A$1:$I$89,5,0)</f>
        <v>12.686388042103133</v>
      </c>
      <c r="GB15" s="13">
        <f t="shared" si="49"/>
        <v>4.3497221271484792</v>
      </c>
      <c r="GC15" s="20">
        <f t="shared" si="25"/>
        <v>29.671225211446551</v>
      </c>
      <c r="GD15" s="59">
        <f t="shared" si="26"/>
        <v>323.00455854477985</v>
      </c>
      <c r="GE15" s="59">
        <f ca="1">AVERAGE(OFFSET($GD$3,0,0,'Données projet'!$E$17+1,1))-AVERAGE(OFFSET($H$3,0,0,'Données projet'!$E$17+1,1))</f>
        <v>153.43773674911449</v>
      </c>
      <c r="GF15" s="59">
        <f t="shared" si="50"/>
        <v>235.49395036616602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1.4666666666666666</v>
      </c>
      <c r="GU15" s="12">
        <f>IF('Données projet'!$A$270&gt;35,GU14+GT15-HC14,IF(A15&lt;'Données projet'!$A$270,$GR$205^A15,IF(A15='Données projet'!$A$270,'Données projet'!$B$270,GU14+GT15-HC14)))</f>
        <v>11.855998744839987</v>
      </c>
      <c r="GV15" s="17">
        <f>GU15*VLOOKUP('Données projet'!$B$18,Paramètres!$A$1:$I$89,3,0)*VLOOKUP('Données projet'!$B$18,Paramètres!$A$1:$I$89,5,0)</f>
        <v>9.4326326013946939</v>
      </c>
      <c r="GW15" s="13">
        <f t="shared" si="51"/>
        <v>3.3476320121006027</v>
      </c>
      <c r="GX15" s="20">
        <f t="shared" si="28"/>
        <v>22.258960868504307</v>
      </c>
      <c r="GY15" s="59">
        <f t="shared" si="29"/>
        <v>315.5922942018376</v>
      </c>
      <c r="GZ15" s="59">
        <f ca="1">AVERAGE(OFFSET($GY$3,0,0,'Données projet'!$E$18+1,1))-AVERAGE(OFFSET($H$3,0,0,'Données projet'!$E$18+1,1))</f>
        <v>198.11534486400666</v>
      </c>
      <c r="HA15" s="59">
        <f t="shared" si="52"/>
        <v>174.29856796517652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>
        <f>EXP(-LN(2)/35)*HG14+(1-EXP(-LN(2)/35))/(LN(2)/35)*HC15*HD15*VLOOKUP('Données projet'!$B$18,Paramètres!$A$1:$I$89,3,0)*0.475*44/12</f>
        <v>0</v>
      </c>
      <c r="HH15" s="21">
        <f>EXP(-LN(2)/25)*HH14+(1-EXP(-LN(2)/25))/(LN(2)/25)*Calculateur!HC15*Calculateur!HE15*VLOOKUP('Données projet'!$B$18,Paramètres!$A$1:$I$89,3,0)*0.475*44/12</f>
        <v>0</v>
      </c>
      <c r="HI15" s="21">
        <f>EXP(-LN(2)/2)*HI14+(1-EXP(-LN(2)/2))/(LN(2)/2)*HC15*HF15*VLOOKUP('Données projet'!$B$18,Paramètres!$A$1:$I$89,3,0)*0.475*44/12</f>
        <v>0</v>
      </c>
      <c r="HJ15" s="22">
        <f t="shared" si="30"/>
        <v>0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2.95</v>
      </c>
      <c r="N16" s="13">
        <f>IF('Données projet'!$A$36&gt;35,N15+M16-V15,IF(A16&lt;'Données projet'!$A$36,$K$205^A16,IF(A16='Données projet'!$A$36,'Données projet'!$B$36,N15+M16-V15)))</f>
        <v>14.159692027216899</v>
      </c>
      <c r="O16" s="13">
        <f>N16*VLOOKUP('Données projet'!$B$9,Paramètres!$A$1:$I$89,3,0)*VLOOKUP('Données projet'!$B$9,Paramètres!$A$1:$I$89,5,0)</f>
        <v>8.4674958322757057</v>
      </c>
      <c r="P16" s="13">
        <f t="shared" si="33"/>
        <v>3.0431010606214413</v>
      </c>
      <c r="Q16" s="20">
        <f t="shared" si="2"/>
        <v>20.047622921795863</v>
      </c>
      <c r="R16" s="59">
        <f t="shared" si="0"/>
        <v>313.38095625512915</v>
      </c>
      <c r="S16" s="59">
        <f ca="1">AVERAGE(OFFSET($R$3,0,0,'Données projet'!$E$9+1,1))-AVERAGE(OFFSET($H$3,0,0,'Données projet'!$E$9+1,1))</f>
        <v>295.19075440119076</v>
      </c>
      <c r="T16" s="59">
        <f t="shared" si="34"/>
        <v>173.0182327988216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5.5909090909090908</v>
      </c>
      <c r="AI16" s="13">
        <f>IF('Données projet'!$A$62&gt;35,AI15+AH16-AQ15,IF(A16&lt;'Données projet'!$A$62,$AF$205^A16,IF(A16='Données projet'!$A$62,'Données projet'!$B$62,AI15+AH16-AQ15)))</f>
        <v>17.17686607257264</v>
      </c>
      <c r="AJ16" s="13">
        <f>AI16*VLOOKUP('Données projet'!$B$10,Paramètres!$A$1:$I$89,3,0)*VLOOKUP('Données projet'!$B$10,Paramètres!$A$1:$I$89,5,0)</f>
        <v>10.27176591139844</v>
      </c>
      <c r="AK16" s="13">
        <f t="shared" si="35"/>
        <v>3.609455460548272</v>
      </c>
      <c r="AL16" s="20">
        <f t="shared" si="4"/>
        <v>24.176460556140523</v>
      </c>
      <c r="AM16" s="59">
        <f t="shared" si="5"/>
        <v>317.50979388947383</v>
      </c>
      <c r="AN16" s="59">
        <f ca="1">AVERAGE(OFFSET($AM$3,0,0,'Données projet'!$E$10+1,1))-AVERAGE(OFFSET($H$3,0,0,'Données projet'!$E$10+1,1))</f>
        <v>294.45857786714919</v>
      </c>
      <c r="AO16" s="59">
        <f t="shared" si="36"/>
        <v>221.9773436301067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18.844099287965054</v>
      </c>
      <c r="BF16" s="13">
        <f t="shared" si="37"/>
        <v>6.1701686386769925</v>
      </c>
      <c r="BG16" s="20">
        <f t="shared" si="7"/>
        <v>43.566516638901568</v>
      </c>
      <c r="BH16" s="59">
        <f t="shared" si="8"/>
        <v>336.8998499722349</v>
      </c>
      <c r="BI16" s="59">
        <f ca="1">AVERAGE(OFFSET($BH$3,0,0,'Données projet'!$E$11+1,1))-AVERAGE(OFFSET($H$3,0,0,'Données projet'!$E$11+1,1))</f>
        <v>179.44051550872138</v>
      </c>
      <c r="BJ16" s="59">
        <f t="shared" si="38"/>
        <v>272.9500808380069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7.9</v>
      </c>
      <c r="BY16" s="12">
        <f>IF('Données projet'!$A$114&gt;35,BY15+BX16-CG15,IF(A16&lt;'Données projet'!$A$114,$BV$205^A16,IF(A16='Données projet'!$A$114,'Données projet'!$B$114,BY15+BX16-CG15)))</f>
        <v>26.861304900499697</v>
      </c>
      <c r="BZ16" s="13">
        <f>BY16*VLOOKUP('Données projet'!$B$12,Paramètres!$A$1:$I$89,3,0)*VLOOKUP('Données projet'!$B$12,Paramètres!$A$1:$I$89,5,0)</f>
        <v>12.571090693433858</v>
      </c>
      <c r="CA16" s="13">
        <f t="shared" si="39"/>
        <v>4.3147735914069099</v>
      </c>
      <c r="CB16" s="20">
        <f t="shared" si="10"/>
        <v>29.409546962764335</v>
      </c>
      <c r="CC16" s="59">
        <f t="shared" si="11"/>
        <v>322.74288029609767</v>
      </c>
      <c r="CD16" s="59">
        <f ca="1">AVERAGE(OFFSET($CC$3,0,0,'Données projet'!$E$12+1,1))-AVERAGE(OFFSET($H$3,0,0,'Données projet'!$E$12+1,1))</f>
        <v>259.87681411271632</v>
      </c>
      <c r="CE16" s="59">
        <f t="shared" si="40"/>
        <v>191.8684235641158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1.4666666666666666</v>
      </c>
      <c r="CT16" s="12">
        <f>IF('Données projet'!$A$140&gt;35,CT15+CS16-DB15,IF(A16&lt;'Données projet'!$A$140,$CQ$205^A16,IF(A16='Données projet'!$A$140,'Données projet'!$B$140,CT15+CS16-DB15)))</f>
        <v>14.569108916872146</v>
      </c>
      <c r="CU16" s="17">
        <f>CT16*VLOOKUP('Données projet'!$B$13,Paramètres!$A$1:$I$89,3,0)*VLOOKUP('Données projet'!$B$13,Paramètres!$A$1:$I$89,5,0)</f>
        <v>11.59118305426348</v>
      </c>
      <c r="CV16" s="13">
        <f t="shared" si="41"/>
        <v>4.0162002383170918</v>
      </c>
      <c r="CW16" s="20">
        <f t="shared" si="13"/>
        <v>27.18285923457783</v>
      </c>
      <c r="CX16" s="59">
        <f t="shared" si="14"/>
        <v>320.51619256791116</v>
      </c>
      <c r="CY16" s="59">
        <f ca="1">AVERAGE(OFFSET($CX$3,0,0,'Données projet'!$E$13+1,1))-AVERAGE(OFFSET($H$3,0,0,'Données projet'!$E$13+1,1))</f>
        <v>198.11534486400666</v>
      </c>
      <c r="CZ16" s="59">
        <f t="shared" si="42"/>
        <v>174.29856796517652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2.6904761904761907</v>
      </c>
      <c r="DO16" s="12">
        <f>IF('Données projet'!$A$166&gt;35,DO15+DN16-DW15,IF(A16&lt;'Données projet'!$A$166,$DL$205^A16,IF(A16='Données projet'!$A$166,'Données projet'!$B$166,DO15+DN16-DW15)))</f>
        <v>34.976190476190474</v>
      </c>
      <c r="DP16" s="17">
        <f>DO16*VLOOKUP('Données projet'!$B$14,Paramètres!$A$1:$I$89,3,0)*VLOOKUP('Données projet'!$B$14,Paramètres!$A$1:$I$89,5,0)</f>
        <v>35.465857142857146</v>
      </c>
      <c r="DQ16" s="13">
        <f t="shared" si="43"/>
        <v>10.78858748604973</v>
      </c>
      <c r="DR16" s="20">
        <f t="shared" si="16"/>
        <v>80.559824395346126</v>
      </c>
      <c r="DS16" s="59">
        <f t="shared" si="17"/>
        <v>373.89315772867945</v>
      </c>
      <c r="DT16" s="59">
        <f ca="1">AVERAGE(OFFSET($DS$3,0,0,'Données projet'!$E$14+1,1))-AVERAGE(OFFSET($H$3,0,0,'Données projet'!$E$14+1,1))</f>
        <v>247.92503505485405</v>
      </c>
      <c r="DU16" s="59">
        <f t="shared" si="44"/>
        <v>148.26437652597514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2.6904761904761907</v>
      </c>
      <c r="EJ16" s="12">
        <f>IF('Données projet'!$A$192&gt;35,EJ15+EI16-ER15,IF(A16&lt;'Données projet'!$A$192,$EG$205^A16,IF(A16='Données projet'!$A$192,'Données projet'!$B$192,EJ15+EI16-ER15)))</f>
        <v>34.976190476190474</v>
      </c>
      <c r="EK16" s="17">
        <f>EJ16*VLOOKUP('Données projet'!$B$15,Paramètres!$A$1:$I$89,3,0)*VLOOKUP('Données projet'!$B$15,Paramètres!$A$1:$I$89,5,0)</f>
        <v>33.828971428571428</v>
      </c>
      <c r="EL16" s="13">
        <f t="shared" si="45"/>
        <v>10.347409640485331</v>
      </c>
      <c r="EM16" s="20">
        <f t="shared" si="19"/>
        <v>76.940530361940517</v>
      </c>
      <c r="EN16" s="59">
        <f t="shared" si="20"/>
        <v>370.2738636952738</v>
      </c>
      <c r="EO16" s="59">
        <f ca="1">AVERAGE(OFFSET($EN$3,0,0,'Données projet'!$E$15+1,1))-AVERAGE(OFFSET($H$3,0,0,'Données projet'!$E$15+1,1))</f>
        <v>232.99870507181964</v>
      </c>
      <c r="EP16" s="59">
        <f t="shared" si="46"/>
        <v>140.07662669226278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1.4666666666666666</v>
      </c>
      <c r="FE16" s="12">
        <f>IF('Données projet'!$A$218&gt;35,FE15+FD16-FM15,IF(A16&lt;'Données projet'!$A$218,$FB$205^A16,IF(A16='Données projet'!$A$218,'Données projet'!$B$218,FE15+FD16-FM15)))</f>
        <v>14.569108916872146</v>
      </c>
      <c r="FF16" s="17">
        <f>FE16*VLOOKUP('Données projet'!$B$16,Paramètres!$A$1:$I$89,3,0)*VLOOKUP('Données projet'!$B$16,Paramètres!$A$1:$I$89,5,0)</f>
        <v>11.363904955160274</v>
      </c>
      <c r="FG16" s="13">
        <f t="shared" si="47"/>
        <v>3.9465376089032467</v>
      </c>
      <c r="FH16" s="20">
        <f t="shared" si="22"/>
        <v>26.665687465743968</v>
      </c>
      <c r="FI16" s="59">
        <f t="shared" si="23"/>
        <v>319.9990207990773</v>
      </c>
      <c r="FJ16" s="59">
        <f ca="1">AVERAGE(OFFSET($FI$3,0,0,'Données projet'!$E$16+1,1))-AVERAGE(OFFSET($H$3,0,0,'Données projet'!$E$16+1,1))</f>
        <v>193.47609744163839</v>
      </c>
      <c r="FK16" s="59">
        <f t="shared" si="48"/>
        <v>170.3221892406973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0</v>
      </c>
      <c r="FS16" s="21">
        <f>EXP(-LN(2)/2)*FS15+(1-EXP(-LN(2)/2))/(LN(2)/2)*FM16*FP16*VLOOKUP('Données projet'!$B$16,Paramètres!$A$1:$I$89,3,0)*0.475*44/12</f>
        <v>0</v>
      </c>
      <c r="FT16" s="22">
        <f t="shared" si="24"/>
        <v>0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6.2222222222222223</v>
      </c>
      <c r="FZ16" s="12">
        <f>IF('Données projet'!$A$244&gt;35,FZ15+FY16-GH15,IF(A16&lt;'Données projet'!$A$244,$FW$205^A16,IF(A16='Données projet'!$A$244,'Données projet'!$B$244,FZ15+FY16-GH15)))</f>
        <v>30.19887706404656</v>
      </c>
      <c r="GA16" s="17">
        <f>FZ16*VLOOKUP('Données projet'!$B$17,Paramètres!$A$1:$I$89,3,0)*VLOOKUP('Données projet'!$B$17,Paramètres!$A$1:$I$89,5,0)</f>
        <v>16.488586876969421</v>
      </c>
      <c r="GB16" s="13">
        <f t="shared" si="49"/>
        <v>5.483468458127053</v>
      </c>
      <c r="GC16" s="20">
        <f t="shared" si="25"/>
        <v>38.267996375293023</v>
      </c>
      <c r="GD16" s="59">
        <f t="shared" si="26"/>
        <v>331.60132970862634</v>
      </c>
      <c r="GE16" s="59">
        <f ca="1">AVERAGE(OFFSET($GD$3,0,0,'Données projet'!$E$17+1,1))-AVERAGE(OFFSET($H$3,0,0,'Données projet'!$E$17+1,1))</f>
        <v>153.43773674911449</v>
      </c>
      <c r="GF16" s="59">
        <f t="shared" si="50"/>
        <v>235.49395036616602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1.4666666666666666</v>
      </c>
      <c r="GU16" s="12">
        <f>IF('Données projet'!$A$270&gt;35,GU15+GT16-HC15,IF(A16&lt;'Données projet'!$A$270,$GR$205^A16,IF(A16='Données projet'!$A$270,'Données projet'!$B$270,GU15+GT16-HC15)))</f>
        <v>14.569108916872146</v>
      </c>
      <c r="GV16" s="17">
        <f>GU16*VLOOKUP('Données projet'!$B$18,Paramètres!$A$1:$I$89,3,0)*VLOOKUP('Données projet'!$B$18,Paramètres!$A$1:$I$89,5,0)</f>
        <v>11.59118305426348</v>
      </c>
      <c r="GW16" s="13">
        <f t="shared" si="51"/>
        <v>4.0162002383170918</v>
      </c>
      <c r="GX16" s="20">
        <f t="shared" si="28"/>
        <v>27.18285923457783</v>
      </c>
      <c r="GY16" s="59">
        <f t="shared" si="29"/>
        <v>320.51619256791116</v>
      </c>
      <c r="GZ16" s="59">
        <f ca="1">AVERAGE(OFFSET($GY$3,0,0,'Données projet'!$E$18+1,1))-AVERAGE(OFFSET($H$3,0,0,'Données projet'!$E$18+1,1))</f>
        <v>198.11534486400666</v>
      </c>
      <c r="HA16" s="59">
        <f t="shared" si="52"/>
        <v>174.29856796517652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>
        <f>EXP(-LN(2)/35)*HG15+(1-EXP(-LN(2)/35))/(LN(2)/35)*HC16*HD16*VLOOKUP('Données projet'!$B$18,Paramètres!$A$1:$I$89,3,0)*0.475*44/12</f>
        <v>0</v>
      </c>
      <c r="HH16" s="21">
        <f>EXP(-LN(2)/25)*HH15+(1-EXP(-LN(2)/25))/(LN(2)/25)*Calculateur!HC16*Calculateur!HE16*VLOOKUP('Données projet'!$B$18,Paramètres!$A$1:$I$89,3,0)*0.475*44/12</f>
        <v>0</v>
      </c>
      <c r="HI16" s="21">
        <f>EXP(-LN(2)/2)*HI15+(1-EXP(-LN(2)/2))/(LN(2)/2)*HC16*HF16*VLOOKUP('Données projet'!$B$18,Paramètres!$A$1:$I$89,3,0)*0.475*44/12</f>
        <v>0</v>
      </c>
      <c r="HJ16" s="22">
        <f t="shared" si="30"/>
        <v>0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2.95</v>
      </c>
      <c r="N17" s="13">
        <f>IF('Données projet'!$A$36&gt;35,N16+M17-V16,IF(A17&lt;'Données projet'!$A$36,$K$205^A17,IF(A17='Données projet'!$A$36,'Données projet'!$B$36,N16+M17-V16)))</f>
        <v>17.361866326385897</v>
      </c>
      <c r="O17" s="13">
        <f>N17*VLOOKUP('Données projet'!$B$9,Paramètres!$A$1:$I$89,3,0)*VLOOKUP('Données projet'!$B$9,Paramètres!$A$1:$I$89,5,0)</f>
        <v>10.382396063178767</v>
      </c>
      <c r="P17" s="13">
        <f t="shared" si="33"/>
        <v>3.6437839393939777</v>
      </c>
      <c r="Q17" s="20">
        <f t="shared" si="2"/>
        <v>24.428930171147528</v>
      </c>
      <c r="R17" s="59">
        <f t="shared" si="0"/>
        <v>317.76226350448087</v>
      </c>
      <c r="S17" s="59">
        <f ca="1">AVERAGE(OFFSET($R$3,0,0,'Données projet'!$E$9+1,1))-AVERAGE(OFFSET($H$3,0,0,'Données projet'!$E$9+1,1))</f>
        <v>295.19075440119076</v>
      </c>
      <c r="T17" s="59">
        <f t="shared" si="34"/>
        <v>173.0182327988216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5.5909090909090908</v>
      </c>
      <c r="AI17" s="13">
        <f>IF('Données projet'!$A$62&gt;35,AI16+AH17-AQ16,IF(A17&lt;'Données projet'!$A$62,$AF$205^A17,IF(A17='Données projet'!$A$62,'Données projet'!$B$62,AI16+AH17-AQ16)))</f>
        <v>21.376648512419013</v>
      </c>
      <c r="AJ17" s="13">
        <f>AI17*VLOOKUP('Données projet'!$B$10,Paramètres!$A$1:$I$89,3,0)*VLOOKUP('Données projet'!$B$10,Paramètres!$A$1:$I$89,5,0)</f>
        <v>12.783235810426572</v>
      </c>
      <c r="AK17" s="13">
        <f t="shared" si="35"/>
        <v>4.3790497183898731</v>
      </c>
      <c r="AL17" s="20">
        <f t="shared" si="4"/>
        <v>29.890980629355308</v>
      </c>
      <c r="AM17" s="59">
        <f t="shared" si="5"/>
        <v>323.2243139626886</v>
      </c>
      <c r="AN17" s="59">
        <f ca="1">AVERAGE(OFFSET($AM$3,0,0,'Données projet'!$E$10+1,1))-AVERAGE(OFFSET($H$3,0,0,'Données projet'!$E$10+1,1))</f>
        <v>294.45857786714919</v>
      </c>
      <c r="AO17" s="59">
        <f t="shared" si="36"/>
        <v>221.9773436301067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24.491807060974921</v>
      </c>
      <c r="BF17" s="13">
        <f t="shared" si="37"/>
        <v>7.7784106944068903</v>
      </c>
      <c r="BG17" s="20">
        <f t="shared" si="7"/>
        <v>56.203962590623313</v>
      </c>
      <c r="BH17" s="59">
        <f t="shared" si="8"/>
        <v>349.53729592395661</v>
      </c>
      <c r="BI17" s="59">
        <f ca="1">AVERAGE(OFFSET($BH$3,0,0,'Données projet'!$E$11+1,1))-AVERAGE(OFFSET($H$3,0,0,'Données projet'!$E$11+1,1))</f>
        <v>179.44051550872138</v>
      </c>
      <c r="BJ17" s="59">
        <f t="shared" si="38"/>
        <v>272.9500808380069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7.9</v>
      </c>
      <c r="BY17" s="12">
        <f>IF('Données projet'!$A$114&gt;35,BY16+BX17-CG16,IF(A17&lt;'Données projet'!$A$114,$BV$205^A17,IF(A17='Données projet'!$A$114,'Données projet'!$B$114,BY16+BX17-CG16)))</f>
        <v>34.598714324397214</v>
      </c>
      <c r="BZ17" s="13">
        <f>BY17*VLOOKUP('Données projet'!$B$12,Paramètres!$A$1:$I$89,3,0)*VLOOKUP('Données projet'!$B$12,Paramètres!$A$1:$I$89,5,0)</f>
        <v>16.192198303817896</v>
      </c>
      <c r="CA17" s="13">
        <f t="shared" si="39"/>
        <v>5.3962825594761723</v>
      </c>
      <c r="CB17" s="20">
        <f t="shared" si="10"/>
        <v>37.599937503570509</v>
      </c>
      <c r="CC17" s="59">
        <f t="shared" si="11"/>
        <v>330.93327083690383</v>
      </c>
      <c r="CD17" s="59">
        <f ca="1">AVERAGE(OFFSET($CC$3,0,0,'Données projet'!$E$12+1,1))-AVERAGE(OFFSET($H$3,0,0,'Données projet'!$E$12+1,1))</f>
        <v>259.87681411271632</v>
      </c>
      <c r="CE17" s="59">
        <f t="shared" si="40"/>
        <v>191.8684235641158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1.4666666666666666</v>
      </c>
      <c r="CT17" s="12">
        <f>IF('Données projet'!$A$140&gt;35,CT16+CS17-DB16,IF(A17&lt;'Données projet'!$A$140,$CQ$205^A17,IF(A17='Données projet'!$A$140,'Données projet'!$B$140,CT16+CS17-DB16)))</f>
        <v>17.903083426359473</v>
      </c>
      <c r="CU17" s="17">
        <f>CT17*VLOOKUP('Données projet'!$B$13,Paramètres!$A$1:$I$89,3,0)*VLOOKUP('Données projet'!$B$13,Paramètres!$A$1:$I$89,5,0)</f>
        <v>14.243693174011597</v>
      </c>
      <c r="CV17" s="13">
        <f t="shared" si="41"/>
        <v>4.8182907487902007</v>
      </c>
      <c r="CW17" s="20">
        <f t="shared" si="13"/>
        <v>33.199621998879799</v>
      </c>
      <c r="CX17" s="59">
        <f t="shared" si="14"/>
        <v>326.53295533221313</v>
      </c>
      <c r="CY17" s="59">
        <f ca="1">AVERAGE(OFFSET($CX$3,0,0,'Données projet'!$E$13+1,1))-AVERAGE(OFFSET($H$3,0,0,'Données projet'!$E$13+1,1))</f>
        <v>198.11534486400666</v>
      </c>
      <c r="CZ17" s="59">
        <f t="shared" si="42"/>
        <v>174.29856796517652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2.6904761904761907</v>
      </c>
      <c r="DO17" s="12">
        <f>IF('Données projet'!$A$166&gt;35,DO16+DN17-DW16,IF(A17&lt;'Données projet'!$A$166,$DL$205^A17,IF(A17='Données projet'!$A$166,'Données projet'!$B$166,DO16+DN17-DW16)))</f>
        <v>37.666666666666664</v>
      </c>
      <c r="DP17" s="17">
        <f>DO17*VLOOKUP('Données projet'!$B$14,Paramètres!$A$1:$I$89,3,0)*VLOOKUP('Données projet'!$B$14,Paramètres!$A$1:$I$89,5,0)</f>
        <v>38.194000000000003</v>
      </c>
      <c r="DQ17" s="13">
        <f t="shared" si="43"/>
        <v>11.518686911039172</v>
      </c>
      <c r="DR17" s="20">
        <f t="shared" si="16"/>
        <v>86.582929703393233</v>
      </c>
      <c r="DS17" s="59">
        <f t="shared" si="17"/>
        <v>379.91626303672655</v>
      </c>
      <c r="DT17" s="59">
        <f ca="1">AVERAGE(OFFSET($DS$3,0,0,'Données projet'!$E$14+1,1))-AVERAGE(OFFSET($H$3,0,0,'Données projet'!$E$14+1,1))</f>
        <v>247.92503505485405</v>
      </c>
      <c r="DU17" s="59">
        <f t="shared" si="44"/>
        <v>148.26437652597514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2.6904761904761907</v>
      </c>
      <c r="EJ17" s="12">
        <f>IF('Données projet'!$A$192&gt;35,EJ16+EI17-ER16,IF(A17&lt;'Données projet'!$A$192,$EG$205^A17,IF(A17='Données projet'!$A$192,'Données projet'!$B$192,EJ16+EI17-ER16)))</f>
        <v>37.666666666666664</v>
      </c>
      <c r="EK17" s="17">
        <f>EJ17*VLOOKUP('Données projet'!$B$15,Paramètres!$A$1:$I$89,3,0)*VLOOKUP('Données projet'!$B$15,Paramètres!$A$1:$I$89,5,0)</f>
        <v>36.431199999999997</v>
      </c>
      <c r="EL17" s="13">
        <f t="shared" si="45"/>
        <v>11.04765310038378</v>
      </c>
      <c r="EM17" s="20">
        <f t="shared" si="19"/>
        <v>82.692335816501739</v>
      </c>
      <c r="EN17" s="59">
        <f t="shared" si="20"/>
        <v>376.02566914983504</v>
      </c>
      <c r="EO17" s="59">
        <f ca="1">AVERAGE(OFFSET($EN$3,0,0,'Données projet'!$E$15+1,1))-AVERAGE(OFFSET($H$3,0,0,'Données projet'!$E$15+1,1))</f>
        <v>232.99870507181964</v>
      </c>
      <c r="EP17" s="59">
        <f t="shared" si="46"/>
        <v>140.07662669226278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1.4666666666666666</v>
      </c>
      <c r="FE17" s="12">
        <f>IF('Données projet'!$A$218&gt;35,FE16+FD17-FM16,IF(A17&lt;'Données projet'!$A$218,$FB$205^A17,IF(A17='Données projet'!$A$218,'Données projet'!$B$218,FE16+FD17-FM16)))</f>
        <v>17.903083426359473</v>
      </c>
      <c r="FF17" s="17">
        <f>FE17*VLOOKUP('Données projet'!$B$16,Paramètres!$A$1:$I$89,3,0)*VLOOKUP('Données projet'!$B$16,Paramètres!$A$1:$I$89,5,0)</f>
        <v>13.964405072560389</v>
      </c>
      <c r="FG17" s="13">
        <f t="shared" si="47"/>
        <v>4.7347155326844987</v>
      </c>
      <c r="FH17" s="20">
        <f t="shared" si="22"/>
        <v>32.56763505413484</v>
      </c>
      <c r="FI17" s="59">
        <f t="shared" si="23"/>
        <v>325.90096838746814</v>
      </c>
      <c r="FJ17" s="59">
        <f ca="1">AVERAGE(OFFSET($FI$3,0,0,'Données projet'!$E$16+1,1))-AVERAGE(OFFSET($H$3,0,0,'Données projet'!$E$16+1,1))</f>
        <v>193.47609744163839</v>
      </c>
      <c r="FK17" s="59">
        <f t="shared" si="48"/>
        <v>170.3221892406973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0</v>
      </c>
      <c r="FS17" s="21">
        <f>EXP(-LN(2)/2)*FS16+(1-EXP(-LN(2)/2))/(LN(2)/2)*FM17*FP17*VLOOKUP('Données projet'!$B$16,Paramètres!$A$1:$I$89,3,0)*0.475*44/12</f>
        <v>0</v>
      </c>
      <c r="FT17" s="22">
        <f t="shared" si="24"/>
        <v>0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6.2222222222222223</v>
      </c>
      <c r="FZ17" s="12">
        <f>IF('Données projet'!$A$244&gt;35,FZ16+FY17-GH16,IF(A17&lt;'Données projet'!$A$244,$FW$205^A17,IF(A17='Données projet'!$A$244,'Données projet'!$B$244,FZ16+FY17-GH16)))</f>
        <v>39.249690802844427</v>
      </c>
      <c r="GA17" s="17">
        <f>FZ17*VLOOKUP('Données projet'!$B$17,Paramètres!$A$1:$I$89,3,0)*VLOOKUP('Données projet'!$B$17,Paramètres!$A$1:$I$89,5,0)</f>
        <v>21.430331178353057</v>
      </c>
      <c r="GB17" s="13">
        <f t="shared" si="49"/>
        <v>6.9127234918305129</v>
      </c>
      <c r="GC17" s="20">
        <f t="shared" si="25"/>
        <v>49.364153550569711</v>
      </c>
      <c r="GD17" s="59">
        <f t="shared" si="26"/>
        <v>342.69748688390303</v>
      </c>
      <c r="GE17" s="59">
        <f ca="1">AVERAGE(OFFSET($GD$3,0,0,'Données projet'!$E$17+1,1))-AVERAGE(OFFSET($H$3,0,0,'Données projet'!$E$17+1,1))</f>
        <v>153.43773674911449</v>
      </c>
      <c r="GF17" s="59">
        <f t="shared" si="50"/>
        <v>235.49395036616602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1.4666666666666666</v>
      </c>
      <c r="GU17" s="12">
        <f>IF('Données projet'!$A$270&gt;35,GU16+GT17-HC16,IF(A17&lt;'Données projet'!$A$270,$GR$205^A17,IF(A17='Données projet'!$A$270,'Données projet'!$B$270,GU16+GT17-HC16)))</f>
        <v>17.903083426359473</v>
      </c>
      <c r="GV17" s="17">
        <f>GU17*VLOOKUP('Données projet'!$B$18,Paramètres!$A$1:$I$89,3,0)*VLOOKUP('Données projet'!$B$18,Paramètres!$A$1:$I$89,5,0)</f>
        <v>14.243693174011597</v>
      </c>
      <c r="GW17" s="13">
        <f t="shared" si="51"/>
        <v>4.8182907487902007</v>
      </c>
      <c r="GX17" s="20">
        <f t="shared" si="28"/>
        <v>33.199621998879799</v>
      </c>
      <c r="GY17" s="59">
        <f t="shared" si="29"/>
        <v>326.53295533221313</v>
      </c>
      <c r="GZ17" s="59">
        <f ca="1">AVERAGE(OFFSET($GY$3,0,0,'Données projet'!$E$18+1,1))-AVERAGE(OFFSET($H$3,0,0,'Données projet'!$E$18+1,1))</f>
        <v>198.11534486400666</v>
      </c>
      <c r="HA17" s="59">
        <f t="shared" si="52"/>
        <v>174.29856796517652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>
        <f>EXP(-LN(2)/35)*HG16+(1-EXP(-LN(2)/35))/(LN(2)/35)*HC17*HD17*VLOOKUP('Données projet'!$B$18,Paramètres!$A$1:$I$89,3,0)*0.475*44/12</f>
        <v>0</v>
      </c>
      <c r="HH17" s="21">
        <f>EXP(-LN(2)/25)*HH16+(1-EXP(-LN(2)/25))/(LN(2)/25)*Calculateur!HC17*Calculateur!HE17*VLOOKUP('Données projet'!$B$18,Paramètres!$A$1:$I$89,3,0)*0.475*44/12</f>
        <v>0</v>
      </c>
      <c r="HI17" s="21">
        <f>EXP(-LN(2)/2)*HI16+(1-EXP(-LN(2)/2))/(LN(2)/2)*HC17*HF17*VLOOKUP('Données projet'!$B$18,Paramètres!$A$1:$I$89,3,0)*0.475*44/12</f>
        <v>0</v>
      </c>
      <c r="HJ17" s="22">
        <f t="shared" si="30"/>
        <v>0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2.95</v>
      </c>
      <c r="N18" s="13">
        <f>IF('Données projet'!$A$36&gt;35,N17+M18-V17,IF(A18&lt;'Données projet'!$A$36,$K$205^A18,IF(A18='Données projet'!$A$36,'Données projet'!$B$36,N17+M18-V17)))</f>
        <v>21.288203285487675</v>
      </c>
      <c r="O18" s="13">
        <f>N18*VLOOKUP('Données projet'!$B$9,Paramètres!$A$1:$I$89,3,0)*VLOOKUP('Données projet'!$B$9,Paramètres!$A$1:$I$89,5,0)</f>
        <v>12.730345564721631</v>
      </c>
      <c r="P18" s="13">
        <f t="shared" si="33"/>
        <v>4.3630366302307833</v>
      </c>
      <c r="Q18" s="20">
        <f t="shared" si="2"/>
        <v>29.770973989542124</v>
      </c>
      <c r="R18" s="59">
        <f t="shared" si="0"/>
        <v>323.10430732287546</v>
      </c>
      <c r="S18" s="59">
        <f ca="1">AVERAGE(OFFSET($R$3,0,0,'Données projet'!$E$9+1,1))-AVERAGE(OFFSET($H$3,0,0,'Données projet'!$E$9+1,1))</f>
        <v>295.19075440119076</v>
      </c>
      <c r="T18" s="59">
        <f t="shared" si="34"/>
        <v>173.0182327988216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5.5909090909090908</v>
      </c>
      <c r="AI18" s="13">
        <f>IF('Données projet'!$A$62&gt;35,AI17+AH18-AQ17,IF(A18&lt;'Données projet'!$A$62,$AF$205^A18,IF(A18='Données projet'!$A$62,'Données projet'!$B$62,AI17+AH18-AQ17)))</f>
        <v>26.603287217402478</v>
      </c>
      <c r="AJ18" s="13">
        <f>AI18*VLOOKUP('Données projet'!$B$10,Paramètres!$A$1:$I$89,3,0)*VLOOKUP('Données projet'!$B$10,Paramètres!$A$1:$I$89,5,0)</f>
        <v>15.908765756006684</v>
      </c>
      <c r="AK18" s="13">
        <f t="shared" si="35"/>
        <v>5.312733913945455</v>
      </c>
      <c r="AL18" s="20">
        <f t="shared" si="4"/>
        <v>36.960778591833304</v>
      </c>
      <c r="AM18" s="59">
        <f t="shared" si="5"/>
        <v>330.29411192516659</v>
      </c>
      <c r="AN18" s="59">
        <f ca="1">AVERAGE(OFFSET($AM$3,0,0,'Données projet'!$E$10+1,1))-AVERAGE(OFFSET($H$3,0,0,'Données projet'!$E$10+1,1))</f>
        <v>294.45857786714919</v>
      </c>
      <c r="AO18" s="59">
        <f t="shared" si="36"/>
        <v>221.9773436301067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31.832172180026642</v>
      </c>
      <c r="BF18" s="13">
        <f t="shared" si="37"/>
        <v>9.8058378099430179</v>
      </c>
      <c r="BG18" s="20">
        <f t="shared" si="7"/>
        <v>72.519534065863823</v>
      </c>
      <c r="BH18" s="59">
        <f t="shared" si="8"/>
        <v>365.85286739919712</v>
      </c>
      <c r="BI18" s="59">
        <f ca="1">AVERAGE(OFFSET($BH$3,0,0,'Données projet'!$E$11+1,1))-AVERAGE(OFFSET($H$3,0,0,'Données projet'!$E$11+1,1))</f>
        <v>179.44051550872138</v>
      </c>
      <c r="BJ18" s="59">
        <f t="shared" si="38"/>
        <v>272.9500808380069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7.9</v>
      </c>
      <c r="BY18" s="12">
        <f>IF('Données projet'!$A$114&gt;35,BY17+BX18-CG17,IF(A18&lt;'Données projet'!$A$114,$BV$205^A18,IF(A18='Données projet'!$A$114,'Données projet'!$B$114,BY17+BX18-CG17)))</f>
        <v>44.564887571004775</v>
      </c>
      <c r="BZ18" s="13">
        <f>BY18*VLOOKUP('Données projet'!$B$12,Paramètres!$A$1:$I$89,3,0)*VLOOKUP('Données projet'!$B$12,Paramètres!$A$1:$I$89,5,0)</f>
        <v>20.856367383230236</v>
      </c>
      <c r="CA18" s="13">
        <f t="shared" si="39"/>
        <v>6.7488744993944465</v>
      </c>
      <c r="CB18" s="20">
        <f t="shared" si="10"/>
        <v>48.079129612237985</v>
      </c>
      <c r="CC18" s="59">
        <f t="shared" si="11"/>
        <v>341.41246294557129</v>
      </c>
      <c r="CD18" s="59">
        <f ca="1">AVERAGE(OFFSET($CC$3,0,0,'Données projet'!$E$12+1,1))-AVERAGE(OFFSET($H$3,0,0,'Données projet'!$E$12+1,1))</f>
        <v>259.87681411271632</v>
      </c>
      <c r="CE18" s="59">
        <f t="shared" si="40"/>
        <v>191.8684235641158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>
        <f>VLOOKUP(A18,'Données projet'!$A$139:$I$159,2,0)</f>
        <v>22</v>
      </c>
      <c r="CR18" s="12">
        <f>VLOOKUP(A18,'Données projet'!$A$139:$I$159,9,0)</f>
        <v>1.4666666666666666</v>
      </c>
      <c r="CS18" s="12">
        <f t="array" ref="CS18">INDEX(CR:CR,MIN(IF(ISNUMBER(CR18:CR214),ROW(CR18:CR214),"")))</f>
        <v>1.4666666666666666</v>
      </c>
      <c r="CT18" s="12">
        <f>IF('Données projet'!$A$140&gt;35,CT17+CS18-DB17,IF(A18&lt;'Données projet'!$A$140,$CQ$205^A18,IF(A18='Données projet'!$A$140,'Données projet'!$B$140,CT17+CS18-DB17)))</f>
        <v>22</v>
      </c>
      <c r="CU18" s="17">
        <f>CT18*VLOOKUP('Données projet'!$B$13,Paramètres!$A$1:$I$89,3,0)*VLOOKUP('Données projet'!$B$13,Paramètres!$A$1:$I$89,5,0)</f>
        <v>17.503200000000003</v>
      </c>
      <c r="CV18" s="13">
        <f t="shared" si="41"/>
        <v>5.7805697829462304</v>
      </c>
      <c r="CW18" s="20">
        <f t="shared" si="13"/>
        <v>40.552565705298015</v>
      </c>
      <c r="CX18" s="59">
        <f t="shared" si="14"/>
        <v>333.88589903863135</v>
      </c>
      <c r="CY18" s="59">
        <f ca="1">AVERAGE(OFFSET($CX$3,0,0,'Données projet'!$E$13+1,1))-AVERAGE(OFFSET($H$3,0,0,'Données projet'!$E$13+1,1))</f>
        <v>198.11534486400666</v>
      </c>
      <c r="CZ18" s="59">
        <f t="shared" si="42"/>
        <v>174.29856796517652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15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2.6904761904761907</v>
      </c>
      <c r="DO18" s="12">
        <f>IF('Données projet'!$A$166&gt;35,DO17+DN18-DW17,IF(A18&lt;'Données projet'!$A$166,$DL$205^A18,IF(A18='Données projet'!$A$166,'Données projet'!$B$166,DO17+DN18-DW17)))</f>
        <v>40.357142857142854</v>
      </c>
      <c r="DP18" s="17">
        <f>DO18*VLOOKUP('Données projet'!$B$14,Paramètres!$A$1:$I$89,3,0)*VLOOKUP('Données projet'!$B$14,Paramètres!$A$1:$I$89,5,0)</f>
        <v>40.922142857142859</v>
      </c>
      <c r="DQ18" s="13">
        <f t="shared" si="43"/>
        <v>12.242735817378851</v>
      </c>
      <c r="DR18" s="20">
        <f t="shared" si="16"/>
        <v>92.595497024791982</v>
      </c>
      <c r="DS18" s="59">
        <f t="shared" si="17"/>
        <v>385.92883035812531</v>
      </c>
      <c r="DT18" s="59">
        <f ca="1">AVERAGE(OFFSET($DS$3,0,0,'Données projet'!$E$14+1,1))-AVERAGE(OFFSET($H$3,0,0,'Données projet'!$E$14+1,1))</f>
        <v>247.92503505485405</v>
      </c>
      <c r="DU18" s="59">
        <f t="shared" si="44"/>
        <v>148.26437652597514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2.6904761904761907</v>
      </c>
      <c r="EJ18" s="12">
        <f>IF('Données projet'!$A$192&gt;35,EJ17+EI18-ER17,IF(A18&lt;'Données projet'!$A$192,$EG$205^A18,IF(A18='Données projet'!$A$192,'Données projet'!$B$192,EJ17+EI18-ER17)))</f>
        <v>40.357142857142854</v>
      </c>
      <c r="EK18" s="17">
        <f>EJ18*VLOOKUP('Données projet'!$B$15,Paramètres!$A$1:$I$89,3,0)*VLOOKUP('Données projet'!$B$15,Paramètres!$A$1:$I$89,5,0)</f>
        <v>39.033428571428566</v>
      </c>
      <c r="EL18" s="13">
        <f t="shared" si="45"/>
        <v>11.742093465568715</v>
      </c>
      <c r="EM18" s="20">
        <f t="shared" si="19"/>
        <v>88.43403421443692</v>
      </c>
      <c r="EN18" s="59">
        <f t="shared" si="20"/>
        <v>381.76736754777022</v>
      </c>
      <c r="EO18" s="59">
        <f ca="1">AVERAGE(OFFSET($EN$3,0,0,'Données projet'!$E$15+1,1))-AVERAGE(OFFSET($H$3,0,0,'Données projet'!$E$15+1,1))</f>
        <v>232.99870507181964</v>
      </c>
      <c r="EP18" s="59">
        <f t="shared" si="46"/>
        <v>140.07662669226278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22</v>
      </c>
      <c r="FC18" s="12">
        <f>VLOOKUP(A18,'Données projet'!$A$217:$I$237,9,0)</f>
        <v>1.4666666666666666</v>
      </c>
      <c r="FD18" s="12">
        <f t="array" ref="FD18">INDEX(FC:FC,MIN(IF(ISNUMBER(FC18:FC214),ROW(FC18:FC214),"")))</f>
        <v>1.4666666666666666</v>
      </c>
      <c r="FE18" s="12">
        <f>IF('Données projet'!$A$218&gt;35,FE17+FD18-FM17,IF(A18&lt;'Données projet'!$A$218,$FB$205^A18,IF(A18='Données projet'!$A$218,'Données projet'!$B$218,FE17+FD18-FM17)))</f>
        <v>22</v>
      </c>
      <c r="FF18" s="17">
        <f>FE18*VLOOKUP('Données projet'!$B$16,Paramètres!$A$1:$I$89,3,0)*VLOOKUP('Données projet'!$B$16,Paramètres!$A$1:$I$89,5,0)</f>
        <v>17.16</v>
      </c>
      <c r="FG18" s="13">
        <f t="shared" si="47"/>
        <v>5.6803034449413845</v>
      </c>
      <c r="FH18" s="20">
        <f t="shared" si="22"/>
        <v>39.780195166606241</v>
      </c>
      <c r="FI18" s="59">
        <f t="shared" si="23"/>
        <v>333.11352849993955</v>
      </c>
      <c r="FJ18" s="59">
        <f ca="1">AVERAGE(OFFSET($FI$3,0,0,'Données projet'!$E$16+1,1))-AVERAGE(OFFSET($H$3,0,0,'Données projet'!$E$16+1,1))</f>
        <v>193.47609744163839</v>
      </c>
      <c r="FK18" s="59">
        <f t="shared" si="48"/>
        <v>170.3221892406973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15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0</v>
      </c>
      <c r="FS18" s="21">
        <f>EXP(-LN(2)/2)*FS17+(1-EXP(-LN(2)/2))/(LN(2)/2)*FM18*FP18*VLOOKUP('Données projet'!$B$16,Paramètres!$A$1:$I$89,3,0)*0.475*44/12</f>
        <v>0</v>
      </c>
      <c r="FT18" s="22">
        <f t="shared" si="24"/>
        <v>0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6.2222222222222223</v>
      </c>
      <c r="FZ18" s="12">
        <f>IF('Données projet'!$A$244&gt;35,FZ17+FY18-GH17,IF(A18&lt;'Données projet'!$A$244,$FW$205^A18,IF(A18='Données projet'!$A$244,'Données projet'!$B$244,FZ17+FY18-GH17)))</f>
        <v>51.013096442350388</v>
      </c>
      <c r="GA18" s="17">
        <f>FZ18*VLOOKUP('Données projet'!$B$17,Paramètres!$A$1:$I$89,3,0)*VLOOKUP('Données projet'!$B$17,Paramètres!$A$1:$I$89,5,0)</f>
        <v>27.853150657523312</v>
      </c>
      <c r="GB18" s="13">
        <f t="shared" si="49"/>
        <v>8.714510977752072</v>
      </c>
      <c r="GC18" s="20">
        <f t="shared" si="25"/>
        <v>63.688677348104626</v>
      </c>
      <c r="GD18" s="59">
        <f t="shared" si="26"/>
        <v>357.02201068143796</v>
      </c>
      <c r="GE18" s="59">
        <f ca="1">AVERAGE(OFFSET($GD$3,0,0,'Données projet'!$E$17+1,1))-AVERAGE(OFFSET($H$3,0,0,'Données projet'!$E$17+1,1))</f>
        <v>153.43773674911449</v>
      </c>
      <c r="GF18" s="59">
        <f t="shared" si="50"/>
        <v>235.49395036616602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>
        <f>VLOOKUP(A18,'Données projet'!$A$269:$I$289,2,0)</f>
        <v>22</v>
      </c>
      <c r="GS18" s="12">
        <f>VLOOKUP(A18,'Données projet'!$A$269:$I$289,9,0)</f>
        <v>1.4666666666666666</v>
      </c>
      <c r="GT18" s="12">
        <f t="array" ref="GT18">INDEX(GS:GS,MIN(IF(ISNUMBER(GS18:GS214),ROW(GS18:GS214),"")))</f>
        <v>1.4666666666666666</v>
      </c>
      <c r="GU18" s="12">
        <f>IF('Données projet'!$A$270&gt;35,GU17+GT18-HC17,IF(A18&lt;'Données projet'!$A$270,$GR$205^A18,IF(A18='Données projet'!$A$270,'Données projet'!$B$270,GU17+GT18-HC17)))</f>
        <v>22</v>
      </c>
      <c r="GV18" s="17">
        <f>GU18*VLOOKUP('Données projet'!$B$18,Paramètres!$A$1:$I$89,3,0)*VLOOKUP('Données projet'!$B$18,Paramètres!$A$1:$I$89,5,0)</f>
        <v>17.503200000000003</v>
      </c>
      <c r="GW18" s="13">
        <f t="shared" si="51"/>
        <v>5.7805697829462304</v>
      </c>
      <c r="GX18" s="20">
        <f t="shared" si="28"/>
        <v>40.552565705298015</v>
      </c>
      <c r="GY18" s="59">
        <f t="shared" si="29"/>
        <v>333.88589903863135</v>
      </c>
      <c r="GZ18" s="59">
        <f ca="1">AVERAGE(OFFSET($GY$3,0,0,'Données projet'!$E$18+1,1))-AVERAGE(OFFSET($H$3,0,0,'Données projet'!$E$18+1,1))</f>
        <v>198.11534486400666</v>
      </c>
      <c r="HA18" s="59">
        <f t="shared" si="52"/>
        <v>174.29856796517652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15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>
        <f>EXP(-LN(2)/35)*HG17+(1-EXP(-LN(2)/35))/(LN(2)/35)*HC18*HD18*VLOOKUP('Données projet'!$B$18,Paramètres!$A$1:$I$89,3,0)*0.475*44/12</f>
        <v>0</v>
      </c>
      <c r="HH18" s="21">
        <f>EXP(-LN(2)/25)*HH17+(1-EXP(-LN(2)/25))/(LN(2)/25)*Calculateur!HC18*Calculateur!HE18*VLOOKUP('Données projet'!$B$18,Paramètres!$A$1:$I$89,3,0)*0.475*44/12</f>
        <v>0</v>
      </c>
      <c r="HI18" s="21">
        <f>EXP(-LN(2)/2)*HI17+(1-EXP(-LN(2)/2))/(LN(2)/2)*HC18*HF18*VLOOKUP('Données projet'!$B$18,Paramètres!$A$1:$I$89,3,0)*0.475*44/12</f>
        <v>0</v>
      </c>
      <c r="HJ18" s="22">
        <f t="shared" si="30"/>
        <v>0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2.95</v>
      </c>
      <c r="N19" s="13">
        <f>IF('Données projet'!$A$36&gt;35,N18+M19-V18,IF(A19&lt;'Données projet'!$A$36,$K$205^A19,IF(A19='Données projet'!$A$36,'Données projet'!$B$36,N18+M19-V18)))</f>
        <v>26.102470241664705</v>
      </c>
      <c r="O19" s="13">
        <f>N19*VLOOKUP('Données projet'!$B$9,Paramètres!$A$1:$I$89,3,0)*VLOOKUP('Données projet'!$B$9,Paramètres!$A$1:$I$89,5,0)</f>
        <v>15.609277204515495</v>
      </c>
      <c r="P19" s="13">
        <f t="shared" si="33"/>
        <v>5.2242638294030153</v>
      </c>
      <c r="Q19" s="20">
        <f t="shared" si="2"/>
        <v>36.28508396740807</v>
      </c>
      <c r="R19" s="59">
        <f t="shared" si="0"/>
        <v>329.61841730074138</v>
      </c>
      <c r="S19" s="59">
        <f ca="1">AVERAGE(OFFSET($R$3,0,0,'Données projet'!$E$9+1,1))-AVERAGE(OFFSET($H$3,0,0,'Données projet'!$E$9+1,1))</f>
        <v>295.19075440119076</v>
      </c>
      <c r="T19" s="59">
        <f t="shared" si="34"/>
        <v>173.0182327988216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5.5909090909090908</v>
      </c>
      <c r="AI19" s="13">
        <f>IF('Données projet'!$A$62&gt;35,AI18+AH19-AQ18,IF(A19&lt;'Données projet'!$A$62,$AF$205^A19,IF(A19='Données projet'!$A$62,'Données projet'!$B$62,AI18+AH19-AQ18)))</f>
        <v>33.107850856996748</v>
      </c>
      <c r="AJ19" s="13">
        <f>AI19*VLOOKUP('Données projet'!$B$10,Paramètres!$A$1:$I$89,3,0)*VLOOKUP('Données projet'!$B$10,Paramètres!$A$1:$I$89,5,0)</f>
        <v>19.798494812484059</v>
      </c>
      <c r="AK19" s="13">
        <f t="shared" si="35"/>
        <v>6.4454946747588586</v>
      </c>
      <c r="AL19" s="20">
        <f t="shared" si="4"/>
        <v>45.70828169028141</v>
      </c>
      <c r="AM19" s="59">
        <f t="shared" si="5"/>
        <v>339.04161502361472</v>
      </c>
      <c r="AN19" s="59">
        <f ca="1">AVERAGE(OFFSET($AM$3,0,0,'Données projet'!$E$10+1,1))-AVERAGE(OFFSET($H$3,0,0,'Données projet'!$E$10+1,1))</f>
        <v>294.45857786714919</v>
      </c>
      <c r="AO19" s="59">
        <f t="shared" si="36"/>
        <v>221.9773436301067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41.372495838146101</v>
      </c>
      <c r="BF19" s="13">
        <f t="shared" si="37"/>
        <v>12.361709728704412</v>
      </c>
      <c r="BG19" s="20">
        <f t="shared" si="7"/>
        <v>93.587074695597963</v>
      </c>
      <c r="BH19" s="59">
        <f t="shared" si="8"/>
        <v>386.92040802893126</v>
      </c>
      <c r="BI19" s="59">
        <f ca="1">AVERAGE(OFFSET($BH$3,0,0,'Données projet'!$E$11+1,1))-AVERAGE(OFFSET($H$3,0,0,'Données projet'!$E$11+1,1))</f>
        <v>179.44051550872138</v>
      </c>
      <c r="BJ19" s="59">
        <f t="shared" si="38"/>
        <v>272.9500808380069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7.9</v>
      </c>
      <c r="BY19" s="12">
        <f>IF('Données projet'!$A$114&gt;35,BY18+BX19-CG18,IF(A19&lt;'Données projet'!$A$114,$BV$205^A19,IF(A19='Données projet'!$A$114,'Données projet'!$B$114,BY18+BX19-CG18)))</f>
        <v>57.401820934596167</v>
      </c>
      <c r="BZ19" s="13">
        <f>BY19*VLOOKUP('Données projet'!$B$12,Paramètres!$A$1:$I$89,3,0)*VLOOKUP('Données projet'!$B$12,Paramètres!$A$1:$I$89,5,0)</f>
        <v>26.864052197391008</v>
      </c>
      <c r="CA19" s="13">
        <f t="shared" si="39"/>
        <v>8.4404970471001413</v>
      </c>
      <c r="CB19" s="20">
        <f t="shared" si="10"/>
        <v>61.488756600822086</v>
      </c>
      <c r="CC19" s="59">
        <f t="shared" si="11"/>
        <v>354.82208993415543</v>
      </c>
      <c r="CD19" s="59">
        <f ca="1">AVERAGE(OFFSET($CC$3,0,0,'Données projet'!$E$12+1,1))-AVERAGE(OFFSET($H$3,0,0,'Données projet'!$E$12+1,1))</f>
        <v>259.87681411271632</v>
      </c>
      <c r="CE19" s="59">
        <f t="shared" si="40"/>
        <v>191.8684235641158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9</v>
      </c>
      <c r="CT19" s="12">
        <f>IF('Données projet'!$A$140&gt;35,CT18+CS19-DB18,IF(A19&lt;'Données projet'!$A$140,$CQ$205^A19,IF(A19='Données projet'!$A$140,'Données projet'!$B$140,CT18+CS19-DB18)))</f>
        <v>16</v>
      </c>
      <c r="CU19" s="17">
        <f>CT19*VLOOKUP('Données projet'!$B$13,Paramètres!$A$1:$I$89,3,0)*VLOOKUP('Données projet'!$B$13,Paramètres!$A$1:$I$89,5,0)</f>
        <v>12.729600000000001</v>
      </c>
      <c r="CV19" s="13">
        <f t="shared" si="41"/>
        <v>4.3628108472491025</v>
      </c>
      <c r="CW19" s="20">
        <f t="shared" si="13"/>
        <v>29.769282225625521</v>
      </c>
      <c r="CX19" s="59">
        <f t="shared" si="14"/>
        <v>323.10261555895886</v>
      </c>
      <c r="CY19" s="59">
        <f ca="1">AVERAGE(OFFSET($CX$3,0,0,'Données projet'!$E$13+1,1))-AVERAGE(OFFSET($H$3,0,0,'Données projet'!$E$13+1,1))</f>
        <v>198.11534486400666</v>
      </c>
      <c r="CZ19" s="59">
        <f t="shared" si="42"/>
        <v>174.29856796517652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2.6904761904761907</v>
      </c>
      <c r="DO19" s="12">
        <f>IF('Données projet'!$A$166&gt;35,DO18+DN19-DW18,IF(A19&lt;'Données projet'!$A$166,$DL$205^A19,IF(A19='Données projet'!$A$166,'Données projet'!$B$166,DO18+DN19-DW18)))</f>
        <v>43.047619047619044</v>
      </c>
      <c r="DP19" s="17">
        <f>DO19*VLOOKUP('Données projet'!$B$14,Paramètres!$A$1:$I$89,3,0)*VLOOKUP('Données projet'!$B$14,Paramètres!$A$1:$I$89,5,0)</f>
        <v>43.650285714285715</v>
      </c>
      <c r="DQ19" s="13">
        <f t="shared" si="43"/>
        <v>12.961183469907045</v>
      </c>
      <c r="DR19" s="20">
        <f t="shared" si="16"/>
        <v>98.598308829135718</v>
      </c>
      <c r="DS19" s="59">
        <f t="shared" si="17"/>
        <v>391.93164216246902</v>
      </c>
      <c r="DT19" s="59">
        <f ca="1">AVERAGE(OFFSET($DS$3,0,0,'Données projet'!$E$14+1,1))-AVERAGE(OFFSET($H$3,0,0,'Données projet'!$E$14+1,1))</f>
        <v>247.92503505485405</v>
      </c>
      <c r="DU19" s="59">
        <f t="shared" si="44"/>
        <v>148.26437652597514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2.6904761904761907</v>
      </c>
      <c r="EJ19" s="12">
        <f>IF('Données projet'!$A$192&gt;35,EJ18+EI19-ER18,IF(A19&lt;'Données projet'!$A$192,$EG$205^A19,IF(A19='Données projet'!$A$192,'Données projet'!$B$192,EJ18+EI19-ER18)))</f>
        <v>43.047619047619044</v>
      </c>
      <c r="EK19" s="17">
        <f>EJ19*VLOOKUP('Données projet'!$B$15,Paramètres!$A$1:$I$89,3,0)*VLOOKUP('Données projet'!$B$15,Paramètres!$A$1:$I$89,5,0)</f>
        <v>41.635657142857141</v>
      </c>
      <c r="EL19" s="13">
        <f t="shared" si="45"/>
        <v>12.431161629085675</v>
      </c>
      <c r="EM19" s="20">
        <f t="shared" si="19"/>
        <v>94.16637602780041</v>
      </c>
      <c r="EN19" s="59">
        <f t="shared" si="20"/>
        <v>387.49970936113374</v>
      </c>
      <c r="EO19" s="59">
        <f ca="1">AVERAGE(OFFSET($EN$3,0,0,'Données projet'!$E$15+1,1))-AVERAGE(OFFSET($H$3,0,0,'Données projet'!$E$15+1,1))</f>
        <v>232.99870507181964</v>
      </c>
      <c r="EP19" s="59">
        <f t="shared" si="46"/>
        <v>140.07662669226278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9</v>
      </c>
      <c r="FE19" s="12">
        <f>IF('Données projet'!$A$218&gt;35,FE18+FD19-FM18,IF(A19&lt;'Données projet'!$A$218,$FB$205^A19,IF(A19='Données projet'!$A$218,'Données projet'!$B$218,FE18+FD19-FM18)))</f>
        <v>16</v>
      </c>
      <c r="FF19" s="17">
        <f>FE19*VLOOKUP('Données projet'!$B$16,Paramètres!$A$1:$I$89,3,0)*VLOOKUP('Données projet'!$B$16,Paramètres!$A$1:$I$89,5,0)</f>
        <v>12.48</v>
      </c>
      <c r="FG19" s="13">
        <f t="shared" si="47"/>
        <v>4.2871361156072432</v>
      </c>
      <c r="FH19" s="20">
        <f t="shared" si="22"/>
        <v>29.202762068015947</v>
      </c>
      <c r="FI19" s="59">
        <f t="shared" si="23"/>
        <v>322.53609540134926</v>
      </c>
      <c r="FJ19" s="59">
        <f ca="1">AVERAGE(OFFSET($FI$3,0,0,'Données projet'!$E$16+1,1))-AVERAGE(OFFSET($H$3,0,0,'Données projet'!$E$16+1,1))</f>
        <v>193.47609744163839</v>
      </c>
      <c r="FK19" s="59">
        <f t="shared" si="48"/>
        <v>170.3221892406973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0</v>
      </c>
      <c r="FS19" s="21">
        <f>EXP(-LN(2)/2)*FS18+(1-EXP(-LN(2)/2))/(LN(2)/2)*FM19*FP19*VLOOKUP('Données projet'!$B$16,Paramètres!$A$1:$I$89,3,0)*0.475*44/12</f>
        <v>0</v>
      </c>
      <c r="FT19" s="22">
        <f t="shared" si="24"/>
        <v>0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6.2222222222222223</v>
      </c>
      <c r="FZ19" s="12">
        <f>IF('Données projet'!$A$244&gt;35,FZ18+FY19-GH18,IF(A19&lt;'Données projet'!$A$244,$FW$205^A19,IF(A19='Données projet'!$A$244,'Données projet'!$B$244,FZ18+FY19-GH18)))</f>
        <v>66.302076663695672</v>
      </c>
      <c r="GA19" s="17">
        <f>FZ19*VLOOKUP('Données projet'!$B$17,Paramètres!$A$1:$I$89,3,0)*VLOOKUP('Données projet'!$B$17,Paramètres!$A$1:$I$89,5,0)</f>
        <v>36.200933858377837</v>
      </c>
      <c r="GB19" s="13">
        <f t="shared" si="49"/>
        <v>10.985930750898797</v>
      </c>
      <c r="GC19" s="20">
        <f t="shared" si="25"/>
        <v>82.183789194490132</v>
      </c>
      <c r="GD19" s="59">
        <f t="shared" si="26"/>
        <v>375.51712252782346</v>
      </c>
      <c r="GE19" s="59">
        <f ca="1">AVERAGE(OFFSET($GD$3,0,0,'Données projet'!$E$17+1,1))-AVERAGE(OFFSET($H$3,0,0,'Données projet'!$E$17+1,1))</f>
        <v>153.43773674911449</v>
      </c>
      <c r="GF19" s="59">
        <f t="shared" si="50"/>
        <v>235.49395036616602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9</v>
      </c>
      <c r="GU19" s="12">
        <f>IF('Données projet'!$A$270&gt;35,GU18+GT19-HC18,IF(A19&lt;'Données projet'!$A$270,$GR$205^A19,IF(A19='Données projet'!$A$270,'Données projet'!$B$270,GU18+GT19-HC18)))</f>
        <v>16</v>
      </c>
      <c r="GV19" s="17">
        <f>GU19*VLOOKUP('Données projet'!$B$18,Paramètres!$A$1:$I$89,3,0)*VLOOKUP('Données projet'!$B$18,Paramètres!$A$1:$I$89,5,0)</f>
        <v>12.729600000000001</v>
      </c>
      <c r="GW19" s="13">
        <f t="shared" si="51"/>
        <v>4.3628108472491025</v>
      </c>
      <c r="GX19" s="20">
        <f t="shared" si="28"/>
        <v>29.769282225625521</v>
      </c>
      <c r="GY19" s="59">
        <f t="shared" si="29"/>
        <v>323.10261555895886</v>
      </c>
      <c r="GZ19" s="59">
        <f ca="1">AVERAGE(OFFSET($GY$3,0,0,'Données projet'!$E$18+1,1))-AVERAGE(OFFSET($H$3,0,0,'Données projet'!$E$18+1,1))</f>
        <v>198.11534486400666</v>
      </c>
      <c r="HA19" s="59">
        <f t="shared" si="52"/>
        <v>174.29856796517652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>
        <f>EXP(-LN(2)/35)*HG18+(1-EXP(-LN(2)/35))/(LN(2)/35)*HC19*HD19*VLOOKUP('Données projet'!$B$18,Paramètres!$A$1:$I$89,3,0)*0.475*44/12</f>
        <v>0</v>
      </c>
      <c r="HH19" s="21">
        <f>EXP(-LN(2)/25)*HH18+(1-EXP(-LN(2)/25))/(LN(2)/25)*Calculateur!HC19*Calculateur!HE19*VLOOKUP('Données projet'!$B$18,Paramètres!$A$1:$I$89,3,0)*0.475*44/12</f>
        <v>0</v>
      </c>
      <c r="HI19" s="21">
        <f>EXP(-LN(2)/2)*HI18+(1-EXP(-LN(2)/2))/(LN(2)/2)*HC19*HF19*VLOOKUP('Données projet'!$B$18,Paramètres!$A$1:$I$89,3,0)*0.475*44/12</f>
        <v>0</v>
      </c>
      <c r="HJ19" s="22">
        <f t="shared" si="30"/>
        <v>0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2.95</v>
      </c>
      <c r="N20" s="13">
        <f>IF('Données projet'!$A$36&gt;35,N19+M20-V19,IF(A20&lt;'Données projet'!$A$36,$K$205^A20,IF(A20='Données projet'!$A$36,'Données projet'!$B$36,N19+M20-V19)))</f>
        <v>32.005470052114035</v>
      </c>
      <c r="O20" s="13">
        <f>N20*VLOOKUP('Données projet'!$B$9,Paramètres!$A$1:$I$89,3,0)*VLOOKUP('Données projet'!$B$9,Paramètres!$A$1:$I$89,5,0)</f>
        <v>19.139271091164193</v>
      </c>
      <c r="P20" s="13">
        <f t="shared" si="33"/>
        <v>6.2554901258679063</v>
      </c>
      <c r="Q20" s="20">
        <f t="shared" si="2"/>
        <v>44.229209119664233</v>
      </c>
      <c r="R20" s="59">
        <f t="shared" si="0"/>
        <v>337.56254245299755</v>
      </c>
      <c r="S20" s="59">
        <f ca="1">AVERAGE(OFFSET($R$3,0,0,'Données projet'!$E$9+1,1))-AVERAGE(OFFSET($H$3,0,0,'Données projet'!$E$9+1,1))</f>
        <v>295.19075440119076</v>
      </c>
      <c r="T20" s="59">
        <f t="shared" si="34"/>
        <v>173.0182327988216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5.5909090909090908</v>
      </c>
      <c r="AI20" s="13">
        <f>IF('Données projet'!$A$62&gt;35,AI19+AH20-AQ19,IF(A20&lt;'Données projet'!$A$62,$AF$205^A20,IF(A20='Données projet'!$A$62,'Données projet'!$B$62,AI19+AH20-AQ19)))</f>
        <v>41.202794955809431</v>
      </c>
      <c r="AJ20" s="13">
        <f>AI20*VLOOKUP('Données projet'!$B$10,Paramètres!$A$1:$I$89,3,0)*VLOOKUP('Données projet'!$B$10,Paramètres!$A$1:$I$89,5,0)</f>
        <v>24.639271383574041</v>
      </c>
      <c r="AK20" s="13">
        <f t="shared" si="35"/>
        <v>7.8197783429910519</v>
      </c>
      <c r="AL20" s="20">
        <f t="shared" si="4"/>
        <v>56.532844940434195</v>
      </c>
      <c r="AM20" s="59">
        <f t="shared" si="5"/>
        <v>349.8661782737675</v>
      </c>
      <c r="AN20" s="59">
        <f ca="1">AVERAGE(OFFSET($AM$3,0,0,'Données projet'!$E$10+1,1))-AVERAGE(OFFSET($H$3,0,0,'Données projet'!$E$10+1,1))</f>
        <v>294.45857786714919</v>
      </c>
      <c r="AO20" s="59">
        <f t="shared" si="36"/>
        <v>221.9773436301067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53.772120928380318</v>
      </c>
      <c r="BF20" s="13">
        <f t="shared" si="37"/>
        <v>15.583764526657339</v>
      </c>
      <c r="BG20" s="20">
        <f t="shared" si="7"/>
        <v>120.79483383419057</v>
      </c>
      <c r="BH20" s="59">
        <f t="shared" si="8"/>
        <v>414.12816716752388</v>
      </c>
      <c r="BI20" s="59">
        <f ca="1">AVERAGE(OFFSET($BH$3,0,0,'Données projet'!$E$11+1,1))-AVERAGE(OFFSET($H$3,0,0,'Données projet'!$E$11+1,1))</f>
        <v>179.44051550872138</v>
      </c>
      <c r="BJ20" s="59">
        <f t="shared" si="38"/>
        <v>272.9500808380069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7.9</v>
      </c>
      <c r="BY20" s="12">
        <f>IF('Données projet'!$A$114&gt;35,BY19+BX20-CG19,IF(A20&lt;'Données projet'!$A$114,$BV$205^A20,IF(A20='Données projet'!$A$114,'Données projet'!$B$114,BY19+BX20-CG19)))</f>
        <v>73.936437994095741</v>
      </c>
      <c r="BZ20" s="13">
        <f>BY20*VLOOKUP('Données projet'!$B$12,Paramètres!$A$1:$I$89,3,0)*VLOOKUP('Données projet'!$B$12,Paramètres!$A$1:$I$89,5,0)</f>
        <v>34.602252981236802</v>
      </c>
      <c r="CA20" s="13">
        <f t="shared" si="39"/>
        <v>10.556129086190376</v>
      </c>
      <c r="CB20" s="20">
        <f t="shared" si="10"/>
        <v>78.650848767435647</v>
      </c>
      <c r="CC20" s="59">
        <f t="shared" si="11"/>
        <v>371.98418210076898</v>
      </c>
      <c r="CD20" s="59">
        <f ca="1">AVERAGE(OFFSET($CC$3,0,0,'Données projet'!$E$12+1,1))-AVERAGE(OFFSET($H$3,0,0,'Données projet'!$E$12+1,1))</f>
        <v>259.87681411271632</v>
      </c>
      <c r="CE20" s="59">
        <f t="shared" si="40"/>
        <v>191.8684235641158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9</v>
      </c>
      <c r="CT20" s="12">
        <f>IF('Données projet'!$A$140&gt;35,CT19+CS20-DB19,IF(A20&lt;'Données projet'!$A$140,$CQ$205^A20,IF(A20='Données projet'!$A$140,'Données projet'!$B$140,CT19+CS20-DB19)))</f>
        <v>25</v>
      </c>
      <c r="CU20" s="17">
        <f>CT20*VLOOKUP('Données projet'!$B$13,Paramètres!$A$1:$I$89,3,0)*VLOOKUP('Données projet'!$B$13,Paramètres!$A$1:$I$89,5,0)</f>
        <v>19.89</v>
      </c>
      <c r="CV20" s="13">
        <f t="shared" si="41"/>
        <v>6.4718100075214293</v>
      </c>
      <c r="CW20" s="20">
        <f t="shared" si="13"/>
        <v>45.913485763099821</v>
      </c>
      <c r="CX20" s="59">
        <f t="shared" si="14"/>
        <v>339.24681909643311</v>
      </c>
      <c r="CY20" s="59">
        <f ca="1">AVERAGE(OFFSET($CX$3,0,0,'Données projet'!$E$13+1,1))-AVERAGE(OFFSET($H$3,0,0,'Données projet'!$E$13+1,1))</f>
        <v>198.11534486400666</v>
      </c>
      <c r="CZ20" s="59">
        <f t="shared" si="42"/>
        <v>174.29856796517652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2.6904761904761907</v>
      </c>
      <c r="DO20" s="12">
        <f>IF('Données projet'!$A$166&gt;35,DO19+DN20-DW19,IF(A20&lt;'Données projet'!$A$166,$DL$205^A20,IF(A20='Données projet'!$A$166,'Données projet'!$B$166,DO19+DN20-DW19)))</f>
        <v>45.738095238095234</v>
      </c>
      <c r="DP20" s="17">
        <f>DO20*VLOOKUP('Données projet'!$B$14,Paramètres!$A$1:$I$89,3,0)*VLOOKUP('Données projet'!$B$14,Paramètres!$A$1:$I$89,5,0)</f>
        <v>46.378428571428572</v>
      </c>
      <c r="DQ20" s="13">
        <f t="shared" si="43"/>
        <v>13.674419801290952</v>
      </c>
      <c r="DR20" s="20">
        <f t="shared" si="16"/>
        <v>104.59204424915316</v>
      </c>
      <c r="DS20" s="59">
        <f t="shared" si="17"/>
        <v>397.92537758248648</v>
      </c>
      <c r="DT20" s="59">
        <f ca="1">AVERAGE(OFFSET($DS$3,0,0,'Données projet'!$E$14+1,1))-AVERAGE(OFFSET($H$3,0,0,'Données projet'!$E$14+1,1))</f>
        <v>247.92503505485405</v>
      </c>
      <c r="DU20" s="59">
        <f t="shared" si="44"/>
        <v>148.26437652597514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2.6904761904761907</v>
      </c>
      <c r="EJ20" s="12">
        <f>IF('Données projet'!$A$192&gt;35,EJ19+EI20-ER19,IF(A20&lt;'Données projet'!$A$192,$EG$205^A20,IF(A20='Données projet'!$A$192,'Données projet'!$B$192,EJ19+EI20-ER19)))</f>
        <v>45.738095238095234</v>
      </c>
      <c r="EK20" s="17">
        <f>EJ20*VLOOKUP('Données projet'!$B$15,Paramètres!$A$1:$I$89,3,0)*VLOOKUP('Données projet'!$B$15,Paramètres!$A$1:$I$89,5,0)</f>
        <v>44.23788571428571</v>
      </c>
      <c r="EL20" s="13">
        <f t="shared" si="45"/>
        <v>13.115231578080314</v>
      </c>
      <c r="EM20" s="20">
        <f t="shared" si="19"/>
        <v>99.890012617537479</v>
      </c>
      <c r="EN20" s="59">
        <f t="shared" si="20"/>
        <v>393.22334595087079</v>
      </c>
      <c r="EO20" s="59">
        <f ca="1">AVERAGE(OFFSET($EN$3,0,0,'Données projet'!$E$15+1,1))-AVERAGE(OFFSET($H$3,0,0,'Données projet'!$E$15+1,1))</f>
        <v>232.99870507181964</v>
      </c>
      <c r="EP20" s="59">
        <f t="shared" si="46"/>
        <v>140.07662669226278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9</v>
      </c>
      <c r="FE20" s="12">
        <f>IF('Données projet'!$A$218&gt;35,FE19+FD20-FM19,IF(A20&lt;'Données projet'!$A$218,$FB$205^A20,IF(A20='Données projet'!$A$218,'Données projet'!$B$218,FE19+FD20-FM19)))</f>
        <v>25</v>
      </c>
      <c r="FF20" s="17">
        <f>FE20*VLOOKUP('Données projet'!$B$16,Paramètres!$A$1:$I$89,3,0)*VLOOKUP('Données projet'!$B$16,Paramètres!$A$1:$I$89,5,0)</f>
        <v>19.5</v>
      </c>
      <c r="FG20" s="13">
        <f t="shared" si="47"/>
        <v>6.359553826196243</v>
      </c>
      <c r="FH20" s="20">
        <f t="shared" si="22"/>
        <v>45.038722913958459</v>
      </c>
      <c r="FI20" s="59">
        <f t="shared" si="23"/>
        <v>338.37205624729177</v>
      </c>
      <c r="FJ20" s="59">
        <f ca="1">AVERAGE(OFFSET($FI$3,0,0,'Données projet'!$E$16+1,1))-AVERAGE(OFFSET($H$3,0,0,'Données projet'!$E$16+1,1))</f>
        <v>193.47609744163839</v>
      </c>
      <c r="FK20" s="59">
        <f t="shared" si="48"/>
        <v>170.3221892406973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0</v>
      </c>
      <c r="FS20" s="21">
        <f>EXP(-LN(2)/2)*FS19+(1-EXP(-LN(2)/2))/(LN(2)/2)*FM20*FP20*VLOOKUP('Données projet'!$B$16,Paramètres!$A$1:$I$89,3,0)*0.475*44/12</f>
        <v>0</v>
      </c>
      <c r="FT20" s="22">
        <f t="shared" si="24"/>
        <v>0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6.2222222222222223</v>
      </c>
      <c r="FZ20" s="12">
        <f>IF('Données projet'!$A$244&gt;35,FZ19+FY20-GH19,IF(A20&lt;'Données projet'!$A$244,$FW$205^A20,IF(A20='Données projet'!$A$244,'Données projet'!$B$244,FZ19+FY20-GH19)))</f>
        <v>86.1732707185582</v>
      </c>
      <c r="GA20" s="17">
        <f>FZ20*VLOOKUP('Données projet'!$B$17,Paramètres!$A$1:$I$89,3,0)*VLOOKUP('Données projet'!$B$17,Paramètres!$A$1:$I$89,5,0)</f>
        <v>47.050605812332776</v>
      </c>
      <c r="GB20" s="13">
        <f t="shared" si="49"/>
        <v>13.849391523134704</v>
      </c>
      <c r="GC20" s="20">
        <f t="shared" si="25"/>
        <v>106.06749535927253</v>
      </c>
      <c r="GD20" s="59">
        <f t="shared" si="26"/>
        <v>399.40082869260584</v>
      </c>
      <c r="GE20" s="59">
        <f ca="1">AVERAGE(OFFSET($GD$3,0,0,'Données projet'!$E$17+1,1))-AVERAGE(OFFSET($H$3,0,0,'Données projet'!$E$17+1,1))</f>
        <v>153.43773674911449</v>
      </c>
      <c r="GF20" s="59">
        <f t="shared" si="50"/>
        <v>235.49395036616602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9</v>
      </c>
      <c r="GU20" s="12">
        <f>IF('Données projet'!$A$270&gt;35,GU19+GT20-HC19,IF(A20&lt;'Données projet'!$A$270,$GR$205^A20,IF(A20='Données projet'!$A$270,'Données projet'!$B$270,GU19+GT20-HC19)))</f>
        <v>25</v>
      </c>
      <c r="GV20" s="17">
        <f>GU20*VLOOKUP('Données projet'!$B$18,Paramètres!$A$1:$I$89,3,0)*VLOOKUP('Données projet'!$B$18,Paramètres!$A$1:$I$89,5,0)</f>
        <v>19.89</v>
      </c>
      <c r="GW20" s="13">
        <f t="shared" si="51"/>
        <v>6.4718100075214293</v>
      </c>
      <c r="GX20" s="20">
        <f t="shared" si="28"/>
        <v>45.913485763099821</v>
      </c>
      <c r="GY20" s="59">
        <f t="shared" si="29"/>
        <v>339.24681909643311</v>
      </c>
      <c r="GZ20" s="59">
        <f ca="1">AVERAGE(OFFSET($GY$3,0,0,'Données projet'!$E$18+1,1))-AVERAGE(OFFSET($H$3,0,0,'Données projet'!$E$18+1,1))</f>
        <v>198.11534486400666</v>
      </c>
      <c r="HA20" s="59">
        <f t="shared" si="52"/>
        <v>174.29856796517652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>
        <f>EXP(-LN(2)/35)*HG19+(1-EXP(-LN(2)/35))/(LN(2)/35)*HC20*HD20*VLOOKUP('Données projet'!$B$18,Paramètres!$A$1:$I$89,3,0)*0.475*44/12</f>
        <v>0</v>
      </c>
      <c r="HH20" s="21">
        <f>EXP(-LN(2)/25)*HH19+(1-EXP(-LN(2)/25))/(LN(2)/25)*Calculateur!HC20*Calculateur!HE20*VLOOKUP('Données projet'!$B$18,Paramètres!$A$1:$I$89,3,0)*0.475*44/12</f>
        <v>0</v>
      </c>
      <c r="HI20" s="21">
        <f>EXP(-LN(2)/2)*HI19+(1-EXP(-LN(2)/2))/(LN(2)/2)*HC20*HF20*VLOOKUP('Données projet'!$B$18,Paramètres!$A$1:$I$89,3,0)*0.475*44/12</f>
        <v>0</v>
      </c>
      <c r="HJ20" s="22">
        <f t="shared" si="30"/>
        <v>0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2.95</v>
      </c>
      <c r="N21" s="13">
        <f>IF('Données projet'!$A$36&gt;35,N20+M21-V20,IF(A21&lt;'Données projet'!$A$36,$K$205^A21,IF(A21='Données projet'!$A$36,'Données projet'!$B$36,N20+M21-V20)))</f>
        <v>39.243416572187222</v>
      </c>
      <c r="O21" s="13">
        <f>N21*VLOOKUP('Données projet'!$B$9,Paramètres!$A$1:$I$89,3,0)*VLOOKUP('Données projet'!$B$9,Paramètres!$A$1:$I$89,5,0)</f>
        <v>23.467563110167958</v>
      </c>
      <c r="P21" s="13">
        <f t="shared" si="33"/>
        <v>7.4902719297203753</v>
      </c>
      <c r="Q21" s="20">
        <f t="shared" si="2"/>
        <v>53.918229361138849</v>
      </c>
      <c r="R21" s="59">
        <f t="shared" si="0"/>
        <v>347.25156269447217</v>
      </c>
      <c r="S21" s="59">
        <f ca="1">AVERAGE(OFFSET($R$3,0,0,'Données projet'!$E$9+1,1))-AVERAGE(OFFSET($H$3,0,0,'Données projet'!$E$9+1,1))</f>
        <v>295.19075440119076</v>
      </c>
      <c r="T21" s="59">
        <f t="shared" si="34"/>
        <v>173.0182327988216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5.5909090909090908</v>
      </c>
      <c r="AI21" s="13">
        <f>IF('Données projet'!$A$62&gt;35,AI20+AH21-AQ20,IF(A21&lt;'Données projet'!$A$62,$AF$205^A21,IF(A21='Données projet'!$A$62,'Données projet'!$B$62,AI20+AH21-AQ20)))</f>
        <v>51.276971117915458</v>
      </c>
      <c r="AJ21" s="13">
        <f>AI21*VLOOKUP('Données projet'!$B$10,Paramètres!$A$1:$I$89,3,0)*VLOOKUP('Données projet'!$B$10,Paramètres!$A$1:$I$89,5,0)</f>
        <v>30.663628728513448</v>
      </c>
      <c r="AK21" s="13">
        <f t="shared" si="35"/>
        <v>9.4870815071768995</v>
      </c>
      <c r="AL21" s="20">
        <f t="shared" si="4"/>
        <v>69.929153660494023</v>
      </c>
      <c r="AM21" s="59">
        <f t="shared" si="5"/>
        <v>363.26248699382734</v>
      </c>
      <c r="AN21" s="59">
        <f ca="1">AVERAGE(OFFSET($AM$3,0,0,'Données projet'!$E$10+1,1))-AVERAGE(OFFSET($H$3,0,0,'Données projet'!$E$10+1,1))</f>
        <v>294.45857786714919</v>
      </c>
      <c r="AO21" s="59">
        <f t="shared" si="36"/>
        <v>221.9773436301067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69.888000000000005</v>
      </c>
      <c r="BF21" s="13">
        <f t="shared" si="37"/>
        <v>19.645641432461961</v>
      </c>
      <c r="BG21" s="20">
        <f t="shared" si="7"/>
        <v>155.93775882820458</v>
      </c>
      <c r="BH21" s="59">
        <f t="shared" si="8"/>
        <v>449.27109216153792</v>
      </c>
      <c r="BI21" s="59">
        <f ca="1">AVERAGE(OFFSET($BH$3,0,0,'Données projet'!$E$11+1,1))-AVERAGE(OFFSET($H$3,0,0,'Données projet'!$E$11+1,1))</f>
        <v>179.44051550872138</v>
      </c>
      <c r="BJ21" s="59">
        <f t="shared" si="38"/>
        <v>272.9500808380069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0.6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9.8942033976948078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9.8942033976948078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7.9</v>
      </c>
      <c r="BY21" s="12">
        <f>IF('Données projet'!$A$114&gt;35,BY20+BX21-CG20,IF(A21&lt;'Données projet'!$A$114,$BV$205^A21,IF(A21='Données projet'!$A$114,'Données projet'!$B$114,BY20+BX21-CG20)))</f>
        <v>95.233857990035276</v>
      </c>
      <c r="BZ21" s="13">
        <f>BY21*VLOOKUP('Données projet'!$B$12,Paramètres!$A$1:$I$89,3,0)*VLOOKUP('Données projet'!$B$12,Paramètres!$A$1:$I$89,5,0)</f>
        <v>44.569445539336513</v>
      </c>
      <c r="CA21" s="13">
        <f t="shared" si="39"/>
        <v>13.202049673437019</v>
      </c>
      <c r="CB21" s="20">
        <f t="shared" si="10"/>
        <v>100.61868749558056</v>
      </c>
      <c r="CC21" s="59">
        <f t="shared" si="11"/>
        <v>393.95202082891387</v>
      </c>
      <c r="CD21" s="59">
        <f ca="1">AVERAGE(OFFSET($CC$3,0,0,'Données projet'!$E$12+1,1))-AVERAGE(OFFSET($H$3,0,0,'Données projet'!$E$12+1,1))</f>
        <v>259.87681411271632</v>
      </c>
      <c r="CE21" s="59">
        <f t="shared" si="40"/>
        <v>191.8684235641158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9</v>
      </c>
      <c r="CT21" s="12">
        <f>IF('Données projet'!$A$140&gt;35,CT20+CS21-DB20,IF(A21&lt;'Données projet'!$A$140,$CQ$205^A21,IF(A21='Données projet'!$A$140,'Données projet'!$B$140,CT20+CS21-DB20)))</f>
        <v>34</v>
      </c>
      <c r="CU21" s="17">
        <f>CT21*VLOOKUP('Données projet'!$B$13,Paramètres!$A$1:$I$89,3,0)*VLOOKUP('Données projet'!$B$13,Paramètres!$A$1:$I$89,5,0)</f>
        <v>27.0504</v>
      </c>
      <c r="CV21" s="13">
        <f t="shared" si="41"/>
        <v>8.4922102654791249</v>
      </c>
      <c r="CW21" s="20">
        <f t="shared" si="13"/>
        <v>61.90337954570947</v>
      </c>
      <c r="CX21" s="59">
        <f t="shared" si="14"/>
        <v>355.23671287904278</v>
      </c>
      <c r="CY21" s="59">
        <f ca="1">AVERAGE(OFFSET($CX$3,0,0,'Données projet'!$E$13+1,1))-AVERAGE(OFFSET($H$3,0,0,'Données projet'!$E$13+1,1))</f>
        <v>198.11534486400666</v>
      </c>
      <c r="CZ21" s="59">
        <f t="shared" si="42"/>
        <v>174.29856796517652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2.6904761904761907</v>
      </c>
      <c r="DO21" s="12">
        <f>IF('Données projet'!$A$166&gt;35,DO20+DN21-DW20,IF(A21&lt;'Données projet'!$A$166,$DL$205^A21,IF(A21='Données projet'!$A$166,'Données projet'!$B$166,DO20+DN21-DW20)))</f>
        <v>48.428571428571423</v>
      </c>
      <c r="DP21" s="17">
        <f>DO21*VLOOKUP('Données projet'!$B$14,Paramètres!$A$1:$I$89,3,0)*VLOOKUP('Données projet'!$B$14,Paramètres!$A$1:$I$89,5,0)</f>
        <v>49.106571428571428</v>
      </c>
      <c r="DQ21" s="13">
        <f t="shared" si="43"/>
        <v>14.382786278286252</v>
      </c>
      <c r="DR21" s="20">
        <f t="shared" si="16"/>
        <v>110.57729800611047</v>
      </c>
      <c r="DS21" s="59">
        <f t="shared" si="17"/>
        <v>403.9106313394438</v>
      </c>
      <c r="DT21" s="59">
        <f ca="1">AVERAGE(OFFSET($DS$3,0,0,'Données projet'!$E$14+1,1))-AVERAGE(OFFSET($H$3,0,0,'Données projet'!$E$14+1,1))</f>
        <v>247.92503505485405</v>
      </c>
      <c r="DU21" s="59">
        <f t="shared" si="44"/>
        <v>148.26437652597514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2.6904761904761907</v>
      </c>
      <c r="EJ21" s="12">
        <f>IF('Données projet'!$A$192&gt;35,EJ20+EI21-ER20,IF(A21&lt;'Données projet'!$A$192,$EG$205^A21,IF(A21='Données projet'!$A$192,'Données projet'!$B$192,EJ20+EI21-ER20)))</f>
        <v>48.428571428571423</v>
      </c>
      <c r="EK21" s="17">
        <f>EJ21*VLOOKUP('Données projet'!$B$15,Paramètres!$A$1:$I$89,3,0)*VLOOKUP('Données projet'!$B$15,Paramètres!$A$1:$I$89,5,0)</f>
        <v>46.840114285714286</v>
      </c>
      <c r="EL21" s="13">
        <f t="shared" si="45"/>
        <v>13.794630815703917</v>
      </c>
      <c r="EM21" s="20">
        <f t="shared" si="19"/>
        <v>105.60551438497004</v>
      </c>
      <c r="EN21" s="59">
        <f t="shared" si="20"/>
        <v>398.93884771830335</v>
      </c>
      <c r="EO21" s="59">
        <f ca="1">AVERAGE(OFFSET($EN$3,0,0,'Données projet'!$E$15+1,1))-AVERAGE(OFFSET($H$3,0,0,'Données projet'!$E$15+1,1))</f>
        <v>232.99870507181964</v>
      </c>
      <c r="EP21" s="59">
        <f t="shared" si="46"/>
        <v>140.07662669226278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9</v>
      </c>
      <c r="FE21" s="12">
        <f>IF('Données projet'!$A$218&gt;35,FE20+FD21-FM20,IF(A21&lt;'Données projet'!$A$218,$FB$205^A21,IF(A21='Données projet'!$A$218,'Données projet'!$B$218,FE20+FD21-FM20)))</f>
        <v>34</v>
      </c>
      <c r="FF21" s="17">
        <f>FE21*VLOOKUP('Données projet'!$B$16,Paramètres!$A$1:$I$89,3,0)*VLOOKUP('Données projet'!$B$16,Paramètres!$A$1:$I$89,5,0)</f>
        <v>26.52</v>
      </c>
      <c r="FG21" s="13">
        <f t="shared" si="47"/>
        <v>8.3449094185282213</v>
      </c>
      <c r="FH21" s="20">
        <f t="shared" si="22"/>
        <v>60.723050570603313</v>
      </c>
      <c r="FI21" s="59">
        <f t="shared" si="23"/>
        <v>354.05638390393665</v>
      </c>
      <c r="FJ21" s="59">
        <f ca="1">AVERAGE(OFFSET($FI$3,0,0,'Données projet'!$E$16+1,1))-AVERAGE(OFFSET($H$3,0,0,'Données projet'!$E$16+1,1))</f>
        <v>193.47609744163839</v>
      </c>
      <c r="FK21" s="59">
        <f t="shared" si="48"/>
        <v>170.3221892406973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0</v>
      </c>
      <c r="FS21" s="21">
        <f>EXP(-LN(2)/2)*FS20+(1-EXP(-LN(2)/2))/(LN(2)/2)*FM21*FP21*VLOOKUP('Données projet'!$B$16,Paramètres!$A$1:$I$89,3,0)*0.475*44/12</f>
        <v>0</v>
      </c>
      <c r="FT21" s="22">
        <f t="shared" si="24"/>
        <v>0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>
        <f>VLOOKUP(A21,'Données projet'!$A$243:$I$263,2,0)</f>
        <v>112</v>
      </c>
      <c r="FX21" s="12">
        <f>VLOOKUP(A21,'Données projet'!$A$243:$I$263,9,0)</f>
        <v>6.2222222222222223</v>
      </c>
      <c r="FY21" s="12">
        <f t="array" ref="FY21">INDEX(FX:FX,MIN(IF(ISNUMBER(FX21:FX217),ROW(FX21:FX217),"")))</f>
        <v>6.2222222222222223</v>
      </c>
      <c r="FZ21" s="12">
        <f>IF('Données projet'!$A$244&gt;35,FZ20+FY21-GH20,IF(A21&lt;'Données projet'!$A$244,$FW$205^A21,IF(A21='Données projet'!$A$244,'Données projet'!$B$244,FZ20+FY21-GH20)))</f>
        <v>112</v>
      </c>
      <c r="GA21" s="17">
        <f>FZ21*VLOOKUP('Données projet'!$B$17,Paramètres!$A$1:$I$89,3,0)*VLOOKUP('Données projet'!$B$17,Paramètres!$A$1:$I$89,5,0)</f>
        <v>61.152000000000001</v>
      </c>
      <c r="GB21" s="13">
        <f t="shared" si="49"/>
        <v>17.459207591071255</v>
      </c>
      <c r="GC21" s="20">
        <f t="shared" si="25"/>
        <v>136.91451988778243</v>
      </c>
      <c r="GD21" s="59">
        <f t="shared" si="26"/>
        <v>430.24785322111575</v>
      </c>
      <c r="GE21" s="59">
        <f ca="1">AVERAGE(OFFSET($GD$3,0,0,'Données projet'!$E$17+1,1))-AVERAGE(OFFSET($H$3,0,0,'Données projet'!$E$17+1,1))</f>
        <v>153.43773674911449</v>
      </c>
      <c r="GF21" s="59">
        <f t="shared" si="50"/>
        <v>235.49395036616602</v>
      </c>
      <c r="GG21" s="15">
        <f>IF(ISNA(VLOOKUP(A21,'Données projet'!$A$243:$I$263,3,0)),0,VLOOKUP(A21,'Données projet'!$A$243:$I$263,3,0))</f>
        <v>1</v>
      </c>
      <c r="GH21" s="15">
        <f>IF(ISNA(VLOOKUP(A21,'Données projet'!$A$243:$I$263,4,0)),0,VLOOKUP(A21,'Données projet'!$A$243:$I$263,4,0))</f>
        <v>20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0.6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8.6574279729829566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8.6574279729829566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9</v>
      </c>
      <c r="GU21" s="12">
        <f>IF('Données projet'!$A$270&gt;35,GU20+GT21-HC20,IF(A21&lt;'Données projet'!$A$270,$GR$205^A21,IF(A21='Données projet'!$A$270,'Données projet'!$B$270,GU20+GT21-HC20)))</f>
        <v>34</v>
      </c>
      <c r="GV21" s="17">
        <f>GU21*VLOOKUP('Données projet'!$B$18,Paramètres!$A$1:$I$89,3,0)*VLOOKUP('Données projet'!$B$18,Paramètres!$A$1:$I$89,5,0)</f>
        <v>27.0504</v>
      </c>
      <c r="GW21" s="13">
        <f t="shared" si="51"/>
        <v>8.4922102654791249</v>
      </c>
      <c r="GX21" s="20">
        <f t="shared" si="28"/>
        <v>61.90337954570947</v>
      </c>
      <c r="GY21" s="59">
        <f t="shared" si="29"/>
        <v>355.23671287904278</v>
      </c>
      <c r="GZ21" s="59">
        <f ca="1">AVERAGE(OFFSET($GY$3,0,0,'Données projet'!$E$18+1,1))-AVERAGE(OFFSET($H$3,0,0,'Données projet'!$E$18+1,1))</f>
        <v>198.11534486400666</v>
      </c>
      <c r="HA21" s="59">
        <f t="shared" si="52"/>
        <v>174.29856796517652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>
        <f>EXP(-LN(2)/35)*HG20+(1-EXP(-LN(2)/35))/(LN(2)/35)*HC21*HD21*VLOOKUP('Données projet'!$B$18,Paramètres!$A$1:$I$89,3,0)*0.475*44/12</f>
        <v>0</v>
      </c>
      <c r="HH21" s="21">
        <f>EXP(-LN(2)/25)*HH20+(1-EXP(-LN(2)/25))/(LN(2)/25)*Calculateur!HC21*Calculateur!HE21*VLOOKUP('Données projet'!$B$18,Paramètres!$A$1:$I$89,3,0)*0.475*44/12</f>
        <v>0</v>
      </c>
      <c r="HI21" s="21">
        <f>EXP(-LN(2)/2)*HI20+(1-EXP(-LN(2)/2))/(LN(2)/2)*HC21*HF21*VLOOKUP('Données projet'!$B$18,Paramètres!$A$1:$I$89,3,0)*0.475*44/12</f>
        <v>0</v>
      </c>
      <c r="HJ21" s="22">
        <f t="shared" si="30"/>
        <v>0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2.95</v>
      </c>
      <c r="N22" s="13">
        <f>IF('Données projet'!$A$36&gt;35,N21+M22-V21,IF(A22&lt;'Données projet'!$A$36,$K$205^A22,IF(A22='Données projet'!$A$36,'Données projet'!$B$36,N21+M22-V21)))</f>
        <v>48.118204224171201</v>
      </c>
      <c r="O22" s="13">
        <f>N22*VLOOKUP('Données projet'!$B$9,Paramètres!$A$1:$I$89,3,0)*VLOOKUP('Données projet'!$B$9,Paramètres!$A$1:$I$89,5,0)</f>
        <v>28.77468612605438</v>
      </c>
      <c r="P22" s="13">
        <f t="shared" si="33"/>
        <v>8.9687894077481118</v>
      </c>
      <c r="Q22" s="20">
        <f t="shared" si="2"/>
        <v>65.736553221372674</v>
      </c>
      <c r="R22" s="59">
        <f t="shared" si="0"/>
        <v>359.06988655470599</v>
      </c>
      <c r="S22" s="59">
        <f ca="1">AVERAGE(OFFSET($R$3,0,0,'Données projet'!$E$9+1,1))-AVERAGE(OFFSET($H$3,0,0,'Données projet'!$E$9+1,1))</f>
        <v>295.19075440119076</v>
      </c>
      <c r="T22" s="59">
        <f t="shared" si="34"/>
        <v>173.0182327988216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5.5909090909090908</v>
      </c>
      <c r="AI22" s="13">
        <f>IF('Données projet'!$A$62&gt;35,AI21+AH22-AQ21,IF(A22&lt;'Données projet'!$A$62,$AF$205^A22,IF(A22='Données projet'!$A$62,'Données projet'!$B$62,AI21+AH22-AQ21)))</f>
        <v>63.814306040343304</v>
      </c>
      <c r="AJ22" s="13">
        <f>AI22*VLOOKUP('Données projet'!$B$10,Paramètres!$A$1:$I$89,3,0)*VLOOKUP('Données projet'!$B$10,Paramètres!$A$1:$I$89,5,0)</f>
        <v>38.160955012125299</v>
      </c>
      <c r="AK22" s="13">
        <f t="shared" si="35"/>
        <v>11.509880661066306</v>
      </c>
      <c r="AL22" s="20">
        <f t="shared" si="4"/>
        <v>86.510038797475374</v>
      </c>
      <c r="AM22" s="59">
        <f t="shared" si="5"/>
        <v>379.84337213080869</v>
      </c>
      <c r="AN22" s="59">
        <f ca="1">AVERAGE(OFFSET($AM$3,0,0,'Données projet'!$E$10+1,1))-AVERAGE(OFFSET($H$3,0,0,'Données projet'!$E$10+1,1))</f>
        <v>294.45857786714919</v>
      </c>
      <c r="AO22" s="59">
        <f t="shared" si="36"/>
        <v>221.9773436301067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68.64</v>
      </c>
      <c r="BF22" s="13">
        <f t="shared" si="37"/>
        <v>19.335336956640202</v>
      </c>
      <c r="BG22" s="20">
        <f t="shared" si="7"/>
        <v>153.22371186614836</v>
      </c>
      <c r="BH22" s="59">
        <f t="shared" si="8"/>
        <v>446.55704519948165</v>
      </c>
      <c r="BI22" s="59">
        <f ca="1">AVERAGE(OFFSET($BH$3,0,0,'Données projet'!$E$11+1,1))-AVERAGE(OFFSET($H$3,0,0,'Données projet'!$E$11+1,1))</f>
        <v>179.44051550872138</v>
      </c>
      <c r="BJ22" s="59">
        <f t="shared" si="38"/>
        <v>272.9500808380069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9.6236458854712996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9.6236458854712996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7.9</v>
      </c>
      <c r="BY22" s="12">
        <f>IF('Données projet'!$A$114&gt;35,BY21+BX22-CG21,IF(A22&lt;'Données projet'!$A$114,$BV$205^A22,IF(A22='Données projet'!$A$114,'Données projet'!$B$114,BY21+BX22-CG21)))</f>
        <v>122.66600817840934</v>
      </c>
      <c r="BZ22" s="13">
        <f>BY22*VLOOKUP('Données projet'!$B$12,Paramètres!$A$1:$I$89,3,0)*VLOOKUP('Données projet'!$B$12,Paramètres!$A$1:$I$89,5,0)</f>
        <v>57.407691827495569</v>
      </c>
      <c r="CA22" s="13">
        <f t="shared" si="39"/>
        <v>16.511176981334152</v>
      </c>
      <c r="CB22" s="20">
        <f t="shared" si="10"/>
        <v>128.7420298420451</v>
      </c>
      <c r="CC22" s="59">
        <f t="shared" si="11"/>
        <v>422.07536317537841</v>
      </c>
      <c r="CD22" s="59">
        <f ca="1">AVERAGE(OFFSET($CC$3,0,0,'Données projet'!$E$12+1,1))-AVERAGE(OFFSET($H$3,0,0,'Données projet'!$E$12+1,1))</f>
        <v>259.87681411271632</v>
      </c>
      <c r="CE22" s="59">
        <f t="shared" si="40"/>
        <v>191.8684235641158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9</v>
      </c>
      <c r="CT22" s="12">
        <f>IF('Données projet'!$A$140&gt;35,CT21+CS22-DB21,IF(A22&lt;'Données projet'!$A$140,$CQ$205^A22,IF(A22='Données projet'!$A$140,'Données projet'!$B$140,CT21+CS22-DB21)))</f>
        <v>43</v>
      </c>
      <c r="CU22" s="17">
        <f>CT22*VLOOKUP('Données projet'!$B$13,Paramètres!$A$1:$I$89,3,0)*VLOOKUP('Données projet'!$B$13,Paramètres!$A$1:$I$89,5,0)</f>
        <v>34.210799999999999</v>
      </c>
      <c r="CV22" s="13">
        <f t="shared" si="41"/>
        <v>10.450539110791825</v>
      </c>
      <c r="CW22" s="20">
        <f t="shared" si="13"/>
        <v>77.78516561796242</v>
      </c>
      <c r="CX22" s="59">
        <f t="shared" si="14"/>
        <v>371.11849895129575</v>
      </c>
      <c r="CY22" s="59">
        <f ca="1">AVERAGE(OFFSET($CX$3,0,0,'Données projet'!$E$13+1,1))-AVERAGE(OFFSET($H$3,0,0,'Données projet'!$E$13+1,1))</f>
        <v>198.11534486400666</v>
      </c>
      <c r="CZ22" s="59">
        <f t="shared" si="42"/>
        <v>174.29856796517652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2.6904761904761907</v>
      </c>
      <c r="DO22" s="12">
        <f>IF('Données projet'!$A$166&gt;35,DO21+DN22-DW21,IF(A22&lt;'Données projet'!$A$166,$DL$205^A22,IF(A22='Données projet'!$A$166,'Données projet'!$B$166,DO21+DN22-DW21)))</f>
        <v>51.119047619047613</v>
      </c>
      <c r="DP22" s="17">
        <f>DO22*VLOOKUP('Données projet'!$B$14,Paramètres!$A$1:$I$89,3,0)*VLOOKUP('Données projet'!$B$14,Paramètres!$A$1:$I$89,5,0)</f>
        <v>51.834714285714277</v>
      </c>
      <c r="DQ22" s="13">
        <f t="shared" si="43"/>
        <v>15.086584284044363</v>
      </c>
      <c r="DR22" s="20">
        <f t="shared" si="16"/>
        <v>116.55459500899632</v>
      </c>
      <c r="DS22" s="59">
        <f t="shared" si="17"/>
        <v>409.88792834232964</v>
      </c>
      <c r="DT22" s="59">
        <f ca="1">AVERAGE(OFFSET($DS$3,0,0,'Données projet'!$E$14+1,1))-AVERAGE(OFFSET($H$3,0,0,'Données projet'!$E$14+1,1))</f>
        <v>247.92503505485405</v>
      </c>
      <c r="DU22" s="59">
        <f t="shared" si="44"/>
        <v>148.26437652597514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2.6904761904761907</v>
      </c>
      <c r="EJ22" s="12">
        <f>IF('Données projet'!$A$192&gt;35,EJ21+EI22-ER21,IF(A22&lt;'Données projet'!$A$192,$EG$205^A22,IF(A22='Données projet'!$A$192,'Données projet'!$B$192,EJ21+EI22-ER21)))</f>
        <v>51.119047619047613</v>
      </c>
      <c r="EK22" s="17">
        <f>EJ22*VLOOKUP('Données projet'!$B$15,Paramètres!$A$1:$I$89,3,0)*VLOOKUP('Données projet'!$B$15,Paramètres!$A$1:$I$89,5,0)</f>
        <v>49.442342857142854</v>
      </c>
      <c r="EL22" s="13">
        <f t="shared" si="45"/>
        <v>14.469648400642876</v>
      </c>
      <c r="EM22" s="20">
        <f t="shared" si="19"/>
        <v>111.31338477397679</v>
      </c>
      <c r="EN22" s="59">
        <f t="shared" si="20"/>
        <v>404.64671810731011</v>
      </c>
      <c r="EO22" s="59">
        <f ca="1">AVERAGE(OFFSET($EN$3,0,0,'Données projet'!$E$15+1,1))-AVERAGE(OFFSET($H$3,0,0,'Données projet'!$E$15+1,1))</f>
        <v>232.99870507181964</v>
      </c>
      <c r="EP22" s="59">
        <f t="shared" si="46"/>
        <v>140.07662669226278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9</v>
      </c>
      <c r="FE22" s="12">
        <f>IF('Données projet'!$A$218&gt;35,FE21+FD22-FM21,IF(A22&lt;'Données projet'!$A$218,$FB$205^A22,IF(A22='Données projet'!$A$218,'Données projet'!$B$218,FE21+FD22-FM21)))</f>
        <v>43</v>
      </c>
      <c r="FF22" s="17">
        <f>FE22*VLOOKUP('Données projet'!$B$16,Paramètres!$A$1:$I$89,3,0)*VLOOKUP('Données projet'!$B$16,Paramètres!$A$1:$I$89,5,0)</f>
        <v>33.54</v>
      </c>
      <c r="FG22" s="13">
        <f t="shared" si="47"/>
        <v>10.269270252156668</v>
      </c>
      <c r="FH22" s="20">
        <f t="shared" si="22"/>
        <v>76.301145689172856</v>
      </c>
      <c r="FI22" s="59">
        <f t="shared" si="23"/>
        <v>369.63447902250618</v>
      </c>
      <c r="FJ22" s="59">
        <f ca="1">AVERAGE(OFFSET($FI$3,0,0,'Données projet'!$E$16+1,1))-AVERAGE(OFFSET($H$3,0,0,'Données projet'!$E$16+1,1))</f>
        <v>193.47609744163839</v>
      </c>
      <c r="FK22" s="59">
        <f t="shared" si="48"/>
        <v>170.3221892406973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0</v>
      </c>
      <c r="FS22" s="21">
        <f>EXP(-LN(2)/2)*FS21+(1-EXP(-LN(2)/2))/(LN(2)/2)*FM22*FP22*VLOOKUP('Données projet'!$B$16,Paramètres!$A$1:$I$89,3,0)*0.475*44/12</f>
        <v>0</v>
      </c>
      <c r="FT22" s="22">
        <f t="shared" si="24"/>
        <v>0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18</v>
      </c>
      <c r="FZ22" s="12">
        <f>IF('Données projet'!$A$244&gt;35,FZ21+FY22-GH21,IF(A22&lt;'Données projet'!$A$244,$FW$205^A22,IF(A22='Données projet'!$A$244,'Données projet'!$B$244,FZ21+FY22-GH21)))</f>
        <v>110</v>
      </c>
      <c r="GA22" s="17">
        <f>FZ22*VLOOKUP('Données projet'!$B$17,Paramètres!$A$1:$I$89,3,0)*VLOOKUP('Données projet'!$B$17,Paramètres!$A$1:$I$89,5,0)</f>
        <v>60.059999999999995</v>
      </c>
      <c r="GB22" s="13">
        <f t="shared" si="49"/>
        <v>17.183438012437968</v>
      </c>
      <c r="GC22" s="20">
        <f t="shared" si="25"/>
        <v>134.53232120499612</v>
      </c>
      <c r="GD22" s="59">
        <f t="shared" si="26"/>
        <v>427.86565453832941</v>
      </c>
      <c r="GE22" s="59">
        <f ca="1">AVERAGE(OFFSET($GD$3,0,0,'Données projet'!$E$17+1,1))-AVERAGE(OFFSET($H$3,0,0,'Données projet'!$E$17+1,1))</f>
        <v>153.43773674911449</v>
      </c>
      <c r="GF22" s="59">
        <f t="shared" si="50"/>
        <v>235.49395036616602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8.4206901497873883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8.4206901497873883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9</v>
      </c>
      <c r="GU22" s="12">
        <f>IF('Données projet'!$A$270&gt;35,GU21+GT22-HC21,IF(A22&lt;'Données projet'!$A$270,$GR$205^A22,IF(A22='Données projet'!$A$270,'Données projet'!$B$270,GU21+GT22-HC21)))</f>
        <v>43</v>
      </c>
      <c r="GV22" s="17">
        <f>GU22*VLOOKUP('Données projet'!$B$18,Paramètres!$A$1:$I$89,3,0)*VLOOKUP('Données projet'!$B$18,Paramètres!$A$1:$I$89,5,0)</f>
        <v>34.210799999999999</v>
      </c>
      <c r="GW22" s="13">
        <f t="shared" si="51"/>
        <v>10.450539110791825</v>
      </c>
      <c r="GX22" s="20">
        <f t="shared" si="28"/>
        <v>77.78516561796242</v>
      </c>
      <c r="GY22" s="59">
        <f t="shared" si="29"/>
        <v>371.11849895129575</v>
      </c>
      <c r="GZ22" s="59">
        <f ca="1">AVERAGE(OFFSET($GY$3,0,0,'Données projet'!$E$18+1,1))-AVERAGE(OFFSET($H$3,0,0,'Données projet'!$E$18+1,1))</f>
        <v>198.11534486400666</v>
      </c>
      <c r="HA22" s="59">
        <f t="shared" si="52"/>
        <v>174.29856796517652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>
        <f>EXP(-LN(2)/35)*HG21+(1-EXP(-LN(2)/35))/(LN(2)/35)*HC22*HD22*VLOOKUP('Données projet'!$B$18,Paramètres!$A$1:$I$89,3,0)*0.475*44/12</f>
        <v>0</v>
      </c>
      <c r="HH22" s="21">
        <f>EXP(-LN(2)/25)*HH21+(1-EXP(-LN(2)/25))/(LN(2)/25)*Calculateur!HC22*Calculateur!HE22*VLOOKUP('Données projet'!$B$18,Paramètres!$A$1:$I$89,3,0)*0.475*44/12</f>
        <v>0</v>
      </c>
      <c r="HI22" s="21">
        <f>EXP(-LN(2)/2)*HI21+(1-EXP(-LN(2)/2))/(LN(2)/2)*HC22*HF22*VLOOKUP('Données projet'!$B$18,Paramètres!$A$1:$I$89,3,0)*0.475*44/12</f>
        <v>0</v>
      </c>
      <c r="HJ22" s="22">
        <f t="shared" si="30"/>
        <v>0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59</v>
      </c>
      <c r="L23" s="12">
        <f>VLOOKUP(A23,'Données projet'!$A$35:$I$55,9,0)</f>
        <v>2.95</v>
      </c>
      <c r="M23" s="12">
        <f t="array" ref="M23">INDEX(L:L,MIN(IF(ISNUMBER(L23:L219),ROW(L23:L219),"")))</f>
        <v>2.95</v>
      </c>
      <c r="N23" s="13">
        <f>IF('Données projet'!$A$36&gt;35,N22+M23-V22,IF(A23&lt;'Données projet'!$A$36,$K$205^A23,IF(A23='Données projet'!$A$36,'Données projet'!$B$36,N22+M23-V22)))</f>
        <v>59</v>
      </c>
      <c r="O23" s="13">
        <f>N23*VLOOKUP('Données projet'!$B$9,Paramètres!$A$1:$I$89,3,0)*VLOOKUP('Données projet'!$B$9,Paramètres!$A$1:$I$89,5,0)</f>
        <v>35.282000000000004</v>
      </c>
      <c r="P23" s="13">
        <f t="shared" si="33"/>
        <v>10.73915395799758</v>
      </c>
      <c r="Q23" s="20">
        <f t="shared" si="2"/>
        <v>80.153509810179131</v>
      </c>
      <c r="R23" s="59">
        <f t="shared" si="0"/>
        <v>373.48684314351243</v>
      </c>
      <c r="S23" s="59">
        <f ca="1">AVERAGE(OFFSET($R$3,0,0,'Données projet'!$E$9+1,1))-AVERAGE(OFFSET($H$3,0,0,'Données projet'!$E$9+1,1))</f>
        <v>295.19075440119076</v>
      </c>
      <c r="T23" s="59">
        <f t="shared" si="34"/>
        <v>173.0182327988216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5.5909090909090908</v>
      </c>
      <c r="AI23" s="13">
        <f>IF('Données projet'!$A$62&gt;35,AI22+AH23-AQ22,IF(A23&lt;'Données projet'!$A$62,$AF$205^A23,IF(A23='Données projet'!$A$62,'Données projet'!$B$62,AI22+AH23-AQ22)))</f>
        <v>79.417047587426694</v>
      </c>
      <c r="AJ23" s="13">
        <f>AI23*VLOOKUP('Données projet'!$B$10,Paramètres!$A$1:$I$89,3,0)*VLOOKUP('Données projet'!$B$10,Paramètres!$A$1:$I$89,5,0)</f>
        <v>47.49139445728116</v>
      </c>
      <c r="AK23" s="13">
        <f t="shared" si="35"/>
        <v>13.96397329692701</v>
      </c>
      <c r="AL23" s="20">
        <f t="shared" si="4"/>
        <v>107.03476550524589</v>
      </c>
      <c r="AM23" s="59">
        <f t="shared" si="5"/>
        <v>400.36809883857921</v>
      </c>
      <c r="AN23" s="59">
        <f ca="1">AVERAGE(OFFSET($AM$3,0,0,'Données projet'!$E$10+1,1))-AVERAGE(OFFSET($H$3,0,0,'Données projet'!$E$10+1,1))</f>
        <v>294.45857786714919</v>
      </c>
      <c r="AO23" s="59">
        <f t="shared" si="36"/>
        <v>221.9773436301067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79.872</v>
      </c>
      <c r="BF23" s="13">
        <f t="shared" si="37"/>
        <v>22.105884547145418</v>
      </c>
      <c r="BG23" s="20">
        <f t="shared" si="7"/>
        <v>177.61148225294494</v>
      </c>
      <c r="BH23" s="59">
        <f t="shared" si="8"/>
        <v>470.94481558627825</v>
      </c>
      <c r="BI23" s="59">
        <f ca="1">AVERAGE(OFFSET($BH$3,0,0,'Données projet'!$E$11+1,1))-AVERAGE(OFFSET($H$3,0,0,'Données projet'!$E$11+1,1))</f>
        <v>179.44051550872138</v>
      </c>
      <c r="BJ23" s="59">
        <f t="shared" si="38"/>
        <v>272.9500808380069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9.3604867826475449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9.3604867826475449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158</v>
      </c>
      <c r="BW23" s="12">
        <f>VLOOKUP(A23,'Données projet'!$A$113:$I$133,9,0)</f>
        <v>7.9</v>
      </c>
      <c r="BX23" s="12">
        <f t="array" ref="BX23">INDEX(BW:BW,MIN(IF(ISNUMBER(BW23:BW219),ROW(BW23:BW219),"")))</f>
        <v>7.9</v>
      </c>
      <c r="BY23" s="12">
        <f>IF('Données projet'!$A$114&gt;35,BY22+BX23-CG22,IF(A23&lt;'Données projet'!$A$114,$BV$205^A23,IF(A23='Données projet'!$A$114,'Données projet'!$B$114,BY22+BX23-CG22)))</f>
        <v>158</v>
      </c>
      <c r="BZ23" s="13">
        <f>BY23*VLOOKUP('Données projet'!$B$12,Paramètres!$A$1:$I$89,3,0)*VLOOKUP('Données projet'!$B$12,Paramètres!$A$1:$I$89,5,0)</f>
        <v>73.944000000000003</v>
      </c>
      <c r="CA23" s="13">
        <f t="shared" si="39"/>
        <v>20.649745460165708</v>
      </c>
      <c r="CB23" s="20">
        <f t="shared" si="10"/>
        <v>164.75077334312192</v>
      </c>
      <c r="CC23" s="59">
        <f t="shared" si="11"/>
        <v>458.08410667645524</v>
      </c>
      <c r="CD23" s="59">
        <f ca="1">AVERAGE(OFFSET($CC$3,0,0,'Données projet'!$E$12+1,1))-AVERAGE(OFFSET($H$3,0,0,'Données projet'!$E$12+1,1))</f>
        <v>259.87681411271632</v>
      </c>
      <c r="CE23" s="59">
        <f t="shared" si="40"/>
        <v>191.8684235641158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32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0.55000000000000004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10.883623737464289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10.883623737464289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52</v>
      </c>
      <c r="CR23" s="12">
        <f>VLOOKUP(A23,'Données projet'!$A$139:$I$159,9,0)</f>
        <v>9</v>
      </c>
      <c r="CS23" s="12">
        <f t="array" ref="CS23">INDEX(CR:CR,MIN(IF(ISNUMBER(CR23:CR219),ROW(CR23:CR219),"")))</f>
        <v>9</v>
      </c>
      <c r="CT23" s="12">
        <f>IF('Données projet'!$A$140&gt;35,CT22+CS23-DB22,IF(A23&lt;'Données projet'!$A$140,$CQ$205^A23,IF(A23='Données projet'!$A$140,'Données projet'!$B$140,CT22+CS23-DB22)))</f>
        <v>52</v>
      </c>
      <c r="CU23" s="17">
        <f>CT23*VLOOKUP('Données projet'!$B$13,Paramètres!$A$1:$I$89,3,0)*VLOOKUP('Données projet'!$B$13,Paramètres!$A$1:$I$89,5,0)</f>
        <v>41.371200000000002</v>
      </c>
      <c r="CV23" s="13">
        <f t="shared" si="41"/>
        <v>12.361367612157643</v>
      </c>
      <c r="CW23" s="20">
        <f t="shared" si="13"/>
        <v>93.584221924507901</v>
      </c>
      <c r="CX23" s="59">
        <f t="shared" si="14"/>
        <v>386.91755525784123</v>
      </c>
      <c r="CY23" s="59">
        <f ca="1">AVERAGE(OFFSET($CX$3,0,0,'Données projet'!$E$13+1,1))-AVERAGE(OFFSET($H$3,0,0,'Données projet'!$E$13+1,1))</f>
        <v>198.11534486400666</v>
      </c>
      <c r="CZ23" s="59">
        <f t="shared" si="42"/>
        <v>174.29856796517652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28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3.2501427515240189</v>
      </c>
      <c r="DH23" s="21">
        <f>EXP(-LN(2)/2)*DH22+(1-EXP(-LN(2)/2))/(LN(2)/2)*DB23*DE23*VLOOKUP('Données projet'!$B$13,Paramètres!$A$1:$I$89,3,0)*0.475*44/12</f>
        <v>5.2546900928203284</v>
      </c>
      <c r="DI23" s="22">
        <f t="shared" si="15"/>
        <v>8.5048328443443477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2.6904761904761907</v>
      </c>
      <c r="DO23" s="12">
        <f>IF('Données projet'!$A$166&gt;35,DO22+DN23-DW22,IF(A23&lt;'Données projet'!$A$166,$DL$205^A23,IF(A23='Données projet'!$A$166,'Données projet'!$B$166,DO22+DN23-DW22)))</f>
        <v>53.809523809523803</v>
      </c>
      <c r="DP23" s="17">
        <f>DO23*VLOOKUP('Données projet'!$B$14,Paramètres!$A$1:$I$89,3,0)*VLOOKUP('Données projet'!$B$14,Paramètres!$A$1:$I$89,5,0)</f>
        <v>54.562857142857141</v>
      </c>
      <c r="DQ23" s="13">
        <f t="shared" si="43"/>
        <v>15.786081685380697</v>
      </c>
      <c r="DR23" s="20">
        <f t="shared" si="16"/>
        <v>122.52440179251424</v>
      </c>
      <c r="DS23" s="59">
        <f t="shared" si="17"/>
        <v>415.85773512584757</v>
      </c>
      <c r="DT23" s="59">
        <f ca="1">AVERAGE(OFFSET($DS$3,0,0,'Données projet'!$E$14+1,1))-AVERAGE(OFFSET($H$3,0,0,'Données projet'!$E$14+1,1))</f>
        <v>247.92503505485405</v>
      </c>
      <c r="DU23" s="59">
        <f t="shared" si="44"/>
        <v>148.26437652597514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2.6904761904761907</v>
      </c>
      <c r="EJ23" s="12">
        <f>IF('Données projet'!$A$192&gt;35,EJ22+EI23-ER22,IF(A23&lt;'Données projet'!$A$192,$EG$205^A23,IF(A23='Données projet'!$A$192,'Données projet'!$B$192,EJ22+EI23-ER22)))</f>
        <v>53.809523809523803</v>
      </c>
      <c r="EK23" s="17">
        <f>EJ23*VLOOKUP('Données projet'!$B$15,Paramètres!$A$1:$I$89,3,0)*VLOOKUP('Données projet'!$B$15,Paramètres!$A$1:$I$89,5,0)</f>
        <v>52.04457142857143</v>
      </c>
      <c r="EL23" s="13">
        <f t="shared" si="45"/>
        <v>15.140541245831477</v>
      </c>
      <c r="EM23" s="20">
        <f t="shared" si="19"/>
        <v>117.01407124125171</v>
      </c>
      <c r="EN23" s="59">
        <f t="shared" si="20"/>
        <v>410.34740457458503</v>
      </c>
      <c r="EO23" s="59">
        <f ca="1">AVERAGE(OFFSET($EN$3,0,0,'Données projet'!$E$15+1,1))-AVERAGE(OFFSET($H$3,0,0,'Données projet'!$E$15+1,1))</f>
        <v>232.99870507181964</v>
      </c>
      <c r="EP23" s="59">
        <f t="shared" si="46"/>
        <v>140.07662669226278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52</v>
      </c>
      <c r="FC23" s="12">
        <f>VLOOKUP(A23,'Données projet'!$A$217:$I$237,9,0)</f>
        <v>9</v>
      </c>
      <c r="FD23" s="12">
        <f t="array" ref="FD23">INDEX(FC:FC,MIN(IF(ISNUMBER(FC23:FC219),ROW(FC23:FC219),"")))</f>
        <v>9</v>
      </c>
      <c r="FE23" s="12">
        <f>IF('Données projet'!$A$218&gt;35,FE22+FD23-FM22,IF(A23&lt;'Données projet'!$A$218,$FB$205^A23,IF(A23='Données projet'!$A$218,'Données projet'!$B$218,FE22+FD23-FM22)))</f>
        <v>52</v>
      </c>
      <c r="FF23" s="17">
        <f>FE23*VLOOKUP('Données projet'!$B$16,Paramètres!$A$1:$I$89,3,0)*VLOOKUP('Données projet'!$B$16,Paramètres!$A$1:$I$89,5,0)</f>
        <v>40.56</v>
      </c>
      <c r="FG23" s="13">
        <f t="shared" si="47"/>
        <v>12.146954654656581</v>
      </c>
      <c r="FH23" s="20">
        <f t="shared" si="22"/>
        <v>91.797946023526876</v>
      </c>
      <c r="FI23" s="59">
        <f t="shared" si="23"/>
        <v>385.1312793568602</v>
      </c>
      <c r="FJ23" s="59">
        <f ca="1">AVERAGE(OFFSET($FI$3,0,0,'Données projet'!$E$16+1,1))-AVERAGE(OFFSET($H$3,0,0,'Données projet'!$E$16+1,1))</f>
        <v>193.47609744163839</v>
      </c>
      <c r="FK23" s="59">
        <f t="shared" si="48"/>
        <v>170.3221892406973</v>
      </c>
      <c r="FL23" s="15">
        <f>IF(ISNA(VLOOKUP(A23,'Données projet'!$A$217:$I$237,3,0)),0,VLOOKUP(A23,'Données projet'!$A$217:$I$237,3,0))</f>
        <v>1</v>
      </c>
      <c r="FM23" s="15">
        <f>IF(ISNA(VLOOKUP(A23,'Données projet'!$A$217:$I$237,4,0)),0,VLOOKUP(A23,'Données projet'!$A$217:$I$237,4,0))</f>
        <v>28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0.1075</v>
      </c>
      <c r="FP23" s="16">
        <f>IF(ISNA(VLOOKUP(A23,'Données projet'!$A$217:$I$237,7,0)),0%,VLOOKUP(A23,'Données projet'!$A$217:$I$237,7,0))</f>
        <v>0.25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2.5852041863768558</v>
      </c>
      <c r="FS23" s="21">
        <f>EXP(-LN(2)/2)*FS22+(1-EXP(-LN(2)/2))/(LN(2)/2)*FM23*FP23*VLOOKUP('Données projet'!$B$16,Paramètres!$A$1:$I$89,3,0)*0.475*44/12</f>
        <v>5.1516569537454204</v>
      </c>
      <c r="FT23" s="22">
        <f t="shared" si="24"/>
        <v>7.7368611401222758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18</v>
      </c>
      <c r="FZ23" s="12">
        <f>IF('Données projet'!$A$244&gt;35,FZ22+FY23-GH22,IF(A23&lt;'Données projet'!$A$244,$FW$205^A23,IF(A23='Données projet'!$A$244,'Données projet'!$B$244,FZ22+FY23-GH22)))</f>
        <v>128</v>
      </c>
      <c r="GA23" s="17">
        <f>FZ23*VLOOKUP('Données projet'!$B$17,Paramètres!$A$1:$I$89,3,0)*VLOOKUP('Données projet'!$B$17,Paramètres!$A$1:$I$89,5,0)</f>
        <v>69.888000000000005</v>
      </c>
      <c r="GB23" s="13">
        <f t="shared" si="49"/>
        <v>19.645641432461961</v>
      </c>
      <c r="GC23" s="20">
        <f t="shared" si="25"/>
        <v>155.93775882820458</v>
      </c>
      <c r="GD23" s="59">
        <f t="shared" si="26"/>
        <v>449.27109216153792</v>
      </c>
      <c r="GE23" s="59">
        <f ca="1">AVERAGE(OFFSET($GD$3,0,0,'Données projet'!$E$17+1,1))-AVERAGE(OFFSET($H$3,0,0,'Données projet'!$E$17+1,1))</f>
        <v>153.43773674911449</v>
      </c>
      <c r="GF23" s="59">
        <f t="shared" si="50"/>
        <v>235.49395036616602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8.1904259348166022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8.1904259348166022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>
        <f>VLOOKUP(A23,'Données projet'!$A$269:$I$289,2,0)</f>
        <v>52</v>
      </c>
      <c r="GS23" s="12">
        <f>VLOOKUP(A23,'Données projet'!$A$269:$I$289,9,0)</f>
        <v>9</v>
      </c>
      <c r="GT23" s="12">
        <f t="array" ref="GT23">INDEX(GS:GS,MIN(IF(ISNUMBER(GS23:GS219),ROW(GS23:GS219),"")))</f>
        <v>9</v>
      </c>
      <c r="GU23" s="12">
        <f>IF('Données projet'!$A$270&gt;35,GU22+GT23-HC22,IF(A23&lt;'Données projet'!$A$270,$GR$205^A23,IF(A23='Données projet'!$A$270,'Données projet'!$B$270,GU22+GT23-HC22)))</f>
        <v>52</v>
      </c>
      <c r="GV23" s="17">
        <f>GU23*VLOOKUP('Données projet'!$B$18,Paramètres!$A$1:$I$89,3,0)*VLOOKUP('Données projet'!$B$18,Paramètres!$A$1:$I$89,5,0)</f>
        <v>41.371200000000002</v>
      </c>
      <c r="GW23" s="13">
        <f t="shared" si="51"/>
        <v>12.361367612157643</v>
      </c>
      <c r="GX23" s="20">
        <f t="shared" si="28"/>
        <v>93.584221924507901</v>
      </c>
      <c r="GY23" s="59">
        <f t="shared" si="29"/>
        <v>386.91755525784123</v>
      </c>
      <c r="GZ23" s="59">
        <f ca="1">AVERAGE(OFFSET($GY$3,0,0,'Données projet'!$E$18+1,1))-AVERAGE(OFFSET($H$3,0,0,'Données projet'!$E$18+1,1))</f>
        <v>198.11534486400666</v>
      </c>
      <c r="HA23" s="59">
        <f t="shared" si="52"/>
        <v>174.29856796517652</v>
      </c>
      <c r="HB23" s="15">
        <f>IF(ISNA(VLOOKUP(A23,'Données projet'!$A$269:$I$289,3,0)),0,VLOOKUP(A23,'Données projet'!$A$269:$I$289,3,0))</f>
        <v>1</v>
      </c>
      <c r="HC23" s="15">
        <f>IF(ISNA(VLOOKUP(A23,'Données projet'!$A$269:$I$289,4,0)),0,VLOOKUP(A23,'Données projet'!$A$269:$I$289,4,0))</f>
        <v>28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0.13250000000000001</v>
      </c>
      <c r="HF23" s="16">
        <f>IF(ISNA(VLOOKUP(A23,'Données projet'!$A$269:$I$289,7,0)),0%,VLOOKUP(A23,'Données projet'!$A$269:$I$289,7,0))</f>
        <v>0.25</v>
      </c>
      <c r="HG23" s="21">
        <f>EXP(-LN(2)/35)*HG22+(1-EXP(-LN(2)/35))/(LN(2)/35)*HC23*HD23*VLOOKUP('Données projet'!$B$18,Paramètres!$A$1:$I$89,3,0)*0.475*44/12</f>
        <v>0</v>
      </c>
      <c r="HH23" s="21">
        <f>EXP(-LN(2)/25)*HH22+(1-EXP(-LN(2)/25))/(LN(2)/25)*Calculateur!HC23*Calculateur!HE23*VLOOKUP('Données projet'!$B$18,Paramètres!$A$1:$I$89,3,0)*0.475*44/12</f>
        <v>3.2501427515240189</v>
      </c>
      <c r="HI23" s="21">
        <f>EXP(-LN(2)/2)*HI22+(1-EXP(-LN(2)/2))/(LN(2)/2)*HC23*HF23*VLOOKUP('Données projet'!$B$18,Paramètres!$A$1:$I$89,3,0)*0.475*44/12</f>
        <v>5.2546900928203284</v>
      </c>
      <c r="HJ23" s="22">
        <f t="shared" si="30"/>
        <v>8.5048328443443477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</v>
      </c>
      <c r="N24" s="13">
        <f>IF('Données projet'!$A$36&gt;35,N23+M24-V23,IF(A24&lt;'Données projet'!$A$36,$K$205^A24,IF(A24='Données projet'!$A$36,'Données projet'!$B$36,N23+M24-V23)))</f>
        <v>66</v>
      </c>
      <c r="O24" s="13">
        <f>N24*VLOOKUP('Données projet'!$B$9,Paramètres!$A$1:$I$89,3,0)*VLOOKUP('Données projet'!$B$9,Paramètres!$A$1:$I$89,5,0)</f>
        <v>39.468000000000004</v>
      </c>
      <c r="P24" s="13">
        <f t="shared" si="33"/>
        <v>11.8575305564269</v>
      </c>
      <c r="Q24" s="20">
        <f t="shared" si="2"/>
        <v>89.391965719110203</v>
      </c>
      <c r="R24" s="59">
        <f t="shared" si="0"/>
        <v>382.72529905244352</v>
      </c>
      <c r="S24" s="59">
        <f ca="1">AVERAGE(OFFSET($R$3,0,0,'Données projet'!$E$9+1,1))-AVERAGE(OFFSET($H$3,0,0,'Données projet'!$E$9+1,1))</f>
        <v>295.19075440119076</v>
      </c>
      <c r="T24" s="59">
        <f t="shared" si="34"/>
        <v>173.0182327988216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5.5909090909090908</v>
      </c>
      <c r="AI24" s="13">
        <f>IF('Données projet'!$A$62&gt;35,AI23+AH24-AQ23,IF(A24&lt;'Données projet'!$A$62,$AF$205^A24,IF(A24='Données projet'!$A$62,'Données projet'!$B$62,AI23+AH24-AQ23)))</f>
        <v>98.834694582689295</v>
      </c>
      <c r="AJ24" s="13">
        <f>AI24*VLOOKUP('Données projet'!$B$10,Paramètres!$A$1:$I$89,3,0)*VLOOKUP('Données projet'!$B$10,Paramètres!$A$1:$I$89,5,0)</f>
        <v>59.103147360448204</v>
      </c>
      <c r="AK24" s="13">
        <f t="shared" si="35"/>
        <v>16.94131815778756</v>
      </c>
      <c r="AL24" s="20">
        <f t="shared" si="4"/>
        <v>132.44411077759398</v>
      </c>
      <c r="AM24" s="59">
        <f t="shared" si="5"/>
        <v>425.77744411092726</v>
      </c>
      <c r="AN24" s="59">
        <f ca="1">AVERAGE(OFFSET($AM$3,0,0,'Données projet'!$E$10+1,1))-AVERAGE(OFFSET($H$3,0,0,'Données projet'!$E$10+1,1))</f>
        <v>294.45857786714919</v>
      </c>
      <c r="AO24" s="59">
        <f t="shared" si="36"/>
        <v>221.9773436301067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91.103999999999999</v>
      </c>
      <c r="BF24" s="13">
        <f t="shared" si="37"/>
        <v>24.831293984707884</v>
      </c>
      <c r="BG24" s="20">
        <f t="shared" si="7"/>
        <v>201.92063702336623</v>
      </c>
      <c r="BH24" s="59">
        <f t="shared" si="8"/>
        <v>495.25397035669954</v>
      </c>
      <c r="BI24" s="59">
        <f ca="1">AVERAGE(OFFSET($BH$3,0,0,'Données projet'!$E$11+1,1))-AVERAGE(OFFSET($H$3,0,0,'Données projet'!$E$11+1,1))</f>
        <v>179.44051550872138</v>
      </c>
      <c r="BJ24" s="59">
        <f t="shared" si="38"/>
        <v>272.9500808380069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0.6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21.966988196332693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21.966988196332693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9.1999999999999993</v>
      </c>
      <c r="BY24" s="12">
        <f>IF('Données projet'!$A$114&gt;35,BY23+BX24-CG23,IF(A24&lt;'Données projet'!$A$114,$BV$205^A24,IF(A24='Données projet'!$A$114,'Données projet'!$B$114,BY23+BX24-CG23)))</f>
        <v>135.19999999999999</v>
      </c>
      <c r="BZ24" s="13">
        <f>BY24*VLOOKUP('Données projet'!$B$12,Paramètres!$A$1:$I$89,3,0)*VLOOKUP('Données projet'!$B$12,Paramètres!$A$1:$I$89,5,0)</f>
        <v>63.273600000000002</v>
      </c>
      <c r="CA24" s="13">
        <f t="shared" si="39"/>
        <v>17.99336150025</v>
      </c>
      <c r="CB24" s="20">
        <f t="shared" si="10"/>
        <v>141.53995794626874</v>
      </c>
      <c r="CC24" s="59">
        <f t="shared" si="11"/>
        <v>434.87329127960209</v>
      </c>
      <c r="CD24" s="59">
        <f ca="1">AVERAGE(OFFSET($CC$3,0,0,'Données projet'!$E$12+1,1))-AVERAGE(OFFSET($H$3,0,0,'Données projet'!$E$12+1,1))</f>
        <v>259.87681411271632</v>
      </c>
      <c r="CE24" s="59">
        <f t="shared" si="40"/>
        <v>191.8684235641158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10.58601047401843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10.58601047401843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12.6</v>
      </c>
      <c r="CT24" s="12">
        <f>IF('Données projet'!$A$140&gt;35,CT23+CS24-DB23,IF(A24&lt;'Données projet'!$A$140,$CQ$205^A24,IF(A24='Données projet'!$A$140,'Données projet'!$B$140,CT23+CS24-DB23)))</f>
        <v>36.599999999999994</v>
      </c>
      <c r="CU24" s="17">
        <f>CT24*VLOOKUP('Données projet'!$B$13,Paramètres!$A$1:$I$89,3,0)*VLOOKUP('Données projet'!$B$13,Paramètres!$A$1:$I$89,5,0)</f>
        <v>29.118959999999998</v>
      </c>
      <c r="CV24" s="13">
        <f t="shared" si="41"/>
        <v>9.0635399765203761</v>
      </c>
      <c r="CW24" s="20">
        <f t="shared" si="13"/>
        <v>66.501187459106305</v>
      </c>
      <c r="CX24" s="59">
        <f t="shared" si="14"/>
        <v>359.8345207924396</v>
      </c>
      <c r="CY24" s="59">
        <f ca="1">AVERAGE(OFFSET($CX$3,0,0,'Données projet'!$E$13+1,1))-AVERAGE(OFFSET($H$3,0,0,'Données projet'!$E$13+1,1))</f>
        <v>198.11534486400666</v>
      </c>
      <c r="CZ24" s="59">
        <f t="shared" si="42"/>
        <v>174.29856796517652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3.1612674270660155</v>
      </c>
      <c r="DH24" s="21">
        <f>EXP(-LN(2)/2)*DH23+(1-EXP(-LN(2)/2))/(LN(2)/2)*DB24*DE24*VLOOKUP('Données projet'!$B$13,Paramètres!$A$1:$I$89,3,0)*0.475*44/12</f>
        <v>3.7156269976670231</v>
      </c>
      <c r="DI24" s="22">
        <f t="shared" si="15"/>
        <v>6.8768944247330381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2.6904761904761907</v>
      </c>
      <c r="DO24" s="12">
        <f>IF('Données projet'!$A$166&gt;35,DO23+DN24-DW23,IF(A24&lt;'Données projet'!$A$166,$DL$205^A24,IF(A24='Données projet'!$A$166,'Données projet'!$B$166,DO23+DN24-DW23)))</f>
        <v>56.499999999999993</v>
      </c>
      <c r="DP24" s="17">
        <f>DO24*VLOOKUP('Données projet'!$B$14,Paramètres!$A$1:$I$89,3,0)*VLOOKUP('Données projet'!$B$14,Paramètres!$A$1:$I$89,5,0)</f>
        <v>57.29099999999999</v>
      </c>
      <c r="DQ24" s="13">
        <f t="shared" si="43"/>
        <v>16.481518049262991</v>
      </c>
      <c r="DR24" s="20">
        <f t="shared" si="16"/>
        <v>128.48713560246634</v>
      </c>
      <c r="DS24" s="59">
        <f t="shared" si="17"/>
        <v>421.82046893579968</v>
      </c>
      <c r="DT24" s="59">
        <f ca="1">AVERAGE(OFFSET($DS$3,0,0,'Données projet'!$E$14+1,1))-AVERAGE(OFFSET($H$3,0,0,'Données projet'!$E$14+1,1))</f>
        <v>247.92503505485405</v>
      </c>
      <c r="DU24" s="59">
        <f t="shared" si="44"/>
        <v>148.26437652597514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2.6904761904761907</v>
      </c>
      <c r="EJ24" s="12">
        <f>IF('Données projet'!$A$192&gt;35,EJ23+EI24-ER23,IF(A24&lt;'Données projet'!$A$192,$EG$205^A24,IF(A24='Données projet'!$A$192,'Données projet'!$B$192,EJ23+EI24-ER23)))</f>
        <v>56.499999999999993</v>
      </c>
      <c r="EK24" s="17">
        <f>EJ24*VLOOKUP('Données projet'!$B$15,Paramètres!$A$1:$I$89,3,0)*VLOOKUP('Données projet'!$B$15,Paramètres!$A$1:$I$89,5,0)</f>
        <v>54.646799999999992</v>
      </c>
      <c r="EL24" s="13">
        <f t="shared" si="45"/>
        <v>15.807539121622385</v>
      </c>
      <c r="EM24" s="20">
        <f t="shared" si="19"/>
        <v>122.70797397015896</v>
      </c>
      <c r="EN24" s="59">
        <f t="shared" si="20"/>
        <v>416.04130730349226</v>
      </c>
      <c r="EO24" s="59">
        <f ca="1">AVERAGE(OFFSET($EN$3,0,0,'Données projet'!$E$15+1,1))-AVERAGE(OFFSET($H$3,0,0,'Données projet'!$E$15+1,1))</f>
        <v>232.99870507181964</v>
      </c>
      <c r="EP24" s="59">
        <f t="shared" si="46"/>
        <v>140.07662669226278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12.6</v>
      </c>
      <c r="FE24" s="12">
        <f>IF('Données projet'!$A$218&gt;35,FE23+FD24-FM23,IF(A24&lt;'Données projet'!$A$218,$FB$205^A24,IF(A24='Données projet'!$A$218,'Données projet'!$B$218,FE23+FD24-FM23)))</f>
        <v>36.599999999999994</v>
      </c>
      <c r="FF24" s="17">
        <f>FE24*VLOOKUP('Données projet'!$B$16,Paramètres!$A$1:$I$89,3,0)*VLOOKUP('Données projet'!$B$16,Paramètres!$A$1:$I$89,5,0)</f>
        <v>28.547999999999998</v>
      </c>
      <c r="FG24" s="13">
        <f t="shared" si="47"/>
        <v>8.9063291829603237</v>
      </c>
      <c r="FH24" s="20">
        <f t="shared" si="22"/>
        <v>65.232956660322557</v>
      </c>
      <c r="FI24" s="59">
        <f t="shared" si="23"/>
        <v>358.56628999365586</v>
      </c>
      <c r="FJ24" s="59">
        <f ca="1">AVERAGE(OFFSET($FI$3,0,0,'Données projet'!$E$16+1,1))-AVERAGE(OFFSET($H$3,0,0,'Données projet'!$E$16+1,1))</f>
        <v>193.47609744163839</v>
      </c>
      <c r="FK24" s="59">
        <f t="shared" si="48"/>
        <v>170.3221892406973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2.514511641950401</v>
      </c>
      <c r="FS24" s="21">
        <f>EXP(-LN(2)/2)*FS23+(1-EXP(-LN(2)/2))/(LN(2)/2)*FM24*FP24*VLOOKUP('Données projet'!$B$16,Paramètres!$A$1:$I$89,3,0)*0.475*44/12</f>
        <v>3.6427715663402194</v>
      </c>
      <c r="FT24" s="22">
        <f t="shared" si="24"/>
        <v>6.1572832082906199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>
        <f>VLOOKUP(A24,'Données projet'!$A$243:$I$263,2,0)</f>
        <v>146</v>
      </c>
      <c r="FX24" s="12">
        <f>VLOOKUP(A24,'Données projet'!$A$243:$I$263,9,0)</f>
        <v>18</v>
      </c>
      <c r="FY24" s="12">
        <f t="array" ref="FY24">INDEX(FX:FX,MIN(IF(ISNUMBER(FX24:FX220),ROW(FX24:FX220),"")))</f>
        <v>18</v>
      </c>
      <c r="FZ24" s="12">
        <f>IF('Données projet'!$A$244&gt;35,FZ23+FY24-GH23,IF(A24&lt;'Données projet'!$A$244,$FW$205^A24,IF(A24='Données projet'!$A$244,'Données projet'!$B$244,FZ23+FY24-GH23)))</f>
        <v>146</v>
      </c>
      <c r="GA24" s="17">
        <f>FZ24*VLOOKUP('Données projet'!$B$17,Paramètres!$A$1:$I$89,3,0)*VLOOKUP('Données projet'!$B$17,Paramètres!$A$1:$I$89,5,0)</f>
        <v>79.716000000000008</v>
      </c>
      <c r="GB24" s="13">
        <f t="shared" si="49"/>
        <v>22.067730286351054</v>
      </c>
      <c r="GC24" s="20">
        <f t="shared" si="25"/>
        <v>177.27333024872806</v>
      </c>
      <c r="GD24" s="59">
        <f t="shared" si="26"/>
        <v>470.6066635820614</v>
      </c>
      <c r="GE24" s="59">
        <f ca="1">AVERAGE(OFFSET($GD$3,0,0,'Données projet'!$E$17+1,1))-AVERAGE(OFFSET($H$3,0,0,'Données projet'!$E$17+1,1))</f>
        <v>153.43773674911449</v>
      </c>
      <c r="GF24" s="59">
        <f t="shared" si="50"/>
        <v>235.49395036616602</v>
      </c>
      <c r="GG24" s="15">
        <f>IF(ISNA(VLOOKUP(A24,'Données projet'!$A$243:$I$263,3,0)),0,VLOOKUP(A24,'Données projet'!$A$243:$I$263,3,0))</f>
        <v>2</v>
      </c>
      <c r="GH24" s="15">
        <f>IF(ISNA(VLOOKUP(A24,'Données projet'!$A$243:$I$263,4,0)),0,VLOOKUP(A24,'Données projet'!$A$243:$I$263,4,0))</f>
        <v>26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0.6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19.221114671791106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19.221114671791106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12.6</v>
      </c>
      <c r="GU24" s="12">
        <f>IF('Données projet'!$A$270&gt;35,GU23+GT24-HC23,IF(A24&lt;'Données projet'!$A$270,$GR$205^A24,IF(A24='Données projet'!$A$270,'Données projet'!$B$270,GU23+GT24-HC23)))</f>
        <v>36.599999999999994</v>
      </c>
      <c r="GV24" s="17">
        <f>GU24*VLOOKUP('Données projet'!$B$18,Paramètres!$A$1:$I$89,3,0)*VLOOKUP('Données projet'!$B$18,Paramètres!$A$1:$I$89,5,0)</f>
        <v>29.118959999999998</v>
      </c>
      <c r="GW24" s="13">
        <f t="shared" si="51"/>
        <v>9.0635399765203761</v>
      </c>
      <c r="GX24" s="20">
        <f t="shared" si="28"/>
        <v>66.501187459106305</v>
      </c>
      <c r="GY24" s="59">
        <f t="shared" si="29"/>
        <v>359.8345207924396</v>
      </c>
      <c r="GZ24" s="59">
        <f ca="1">AVERAGE(OFFSET($GY$3,0,0,'Données projet'!$E$18+1,1))-AVERAGE(OFFSET($H$3,0,0,'Données projet'!$E$18+1,1))</f>
        <v>198.11534486400666</v>
      </c>
      <c r="HA24" s="59">
        <f t="shared" si="52"/>
        <v>174.29856796517652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>
        <f>EXP(-LN(2)/35)*HG23+(1-EXP(-LN(2)/35))/(LN(2)/35)*HC24*HD24*VLOOKUP('Données projet'!$B$18,Paramètres!$A$1:$I$89,3,0)*0.475*44/12</f>
        <v>0</v>
      </c>
      <c r="HH24" s="21">
        <f>EXP(-LN(2)/25)*HH23+(1-EXP(-LN(2)/25))/(LN(2)/25)*Calculateur!HC24*Calculateur!HE24*VLOOKUP('Données projet'!$B$18,Paramètres!$A$1:$I$89,3,0)*0.475*44/12</f>
        <v>3.1612674270660155</v>
      </c>
      <c r="HI24" s="21">
        <f>EXP(-LN(2)/2)*HI23+(1-EXP(-LN(2)/2))/(LN(2)/2)*HC24*HF24*VLOOKUP('Données projet'!$B$18,Paramètres!$A$1:$I$89,3,0)*0.475*44/12</f>
        <v>3.7156269976670231</v>
      </c>
      <c r="HJ24" s="22">
        <f t="shared" si="30"/>
        <v>6.8768944247330381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</v>
      </c>
      <c r="N25" s="13">
        <f>IF('Données projet'!$A$36&gt;35,N24+M25-V24,IF(A25&lt;'Données projet'!$A$36,$K$205^A25,IF(A25='Données projet'!$A$36,'Données projet'!$B$36,N24+M25-V24)))</f>
        <v>76</v>
      </c>
      <c r="O25" s="13">
        <f>N25*VLOOKUP('Données projet'!$B$9,Paramètres!$A$1:$I$89,3,0)*VLOOKUP('Données projet'!$B$9,Paramètres!$A$1:$I$89,5,0)</f>
        <v>45.448</v>
      </c>
      <c r="P25" s="13">
        <f t="shared" si="33"/>
        <v>13.431735195887134</v>
      </c>
      <c r="Q25" s="20">
        <f t="shared" si="2"/>
        <v>102.54887213283676</v>
      </c>
      <c r="R25" s="59">
        <f t="shared" si="0"/>
        <v>395.88220546617009</v>
      </c>
      <c r="S25" s="59">
        <f ca="1">AVERAGE(OFFSET($R$3,0,0,'Données projet'!$E$9+1,1))-AVERAGE(OFFSET($H$3,0,0,'Données projet'!$E$9+1,1))</f>
        <v>295.19075440119076</v>
      </c>
      <c r="T25" s="59">
        <f t="shared" si="34"/>
        <v>173.0182327988216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>
        <f>VLOOKUP(A25,'Données projet'!$A$61:$I$81,2,0)</f>
        <v>123</v>
      </c>
      <c r="AG25" s="12">
        <f>VLOOKUP(A25,'Données projet'!$A$61:$I$81,9,0)</f>
        <v>5.5909090909090908</v>
      </c>
      <c r="AH25" s="12">
        <f t="array" ref="AH25">INDEX(AG:AG,MIN(IF(ISNUMBER(AG25:AG221),ROW(AG25:AG221),"")))</f>
        <v>5.5909090909090908</v>
      </c>
      <c r="AI25" s="13">
        <f>IF('Données projet'!$A$62&gt;35,AI24+AH25-AQ24,IF(A25&lt;'Données projet'!$A$62,$AF$205^A25,IF(A25='Données projet'!$A$62,'Données projet'!$B$62,AI24+AH25-AQ24)))</f>
        <v>123</v>
      </c>
      <c r="AJ25" s="13">
        <f>AI25*VLOOKUP('Données projet'!$B$10,Paramètres!$A$1:$I$89,3,0)*VLOOKUP('Données projet'!$B$10,Paramètres!$A$1:$I$89,5,0)</f>
        <v>73.554000000000016</v>
      </c>
      <c r="AK25" s="13">
        <f t="shared" si="35"/>
        <v>20.553481077376691</v>
      </c>
      <c r="AL25" s="20">
        <f t="shared" si="4"/>
        <v>163.90386287643108</v>
      </c>
      <c r="AM25" s="59">
        <f t="shared" si="5"/>
        <v>457.23719620976442</v>
      </c>
      <c r="AN25" s="59">
        <f ca="1">AVERAGE(OFFSET($AM$3,0,0,'Données projet'!$E$10+1,1))-AVERAGE(OFFSET($H$3,0,0,'Données projet'!$E$10+1,1))</f>
        <v>294.45857786714919</v>
      </c>
      <c r="AO25" s="59">
        <f t="shared" si="36"/>
        <v>221.9773436301067</v>
      </c>
      <c r="AP25" s="15">
        <f>IF(ISNA(VLOOKUP(A25,'Données projet'!$A$61:$I$81,3,0)),0,VLOOKUP(A25,'Données projet'!$A$61:$I$81,3,0))</f>
        <v>1</v>
      </c>
      <c r="AQ25" s="15">
        <f>IF(ISNA(VLOOKUP(A25,'Données projet'!$A$61:$I$81,4,0)),0,VLOOKUP(A25,'Données projet'!$A$61:$I$81,4,0))</f>
        <v>16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84.864000000000004</v>
      </c>
      <c r="BF25" s="13">
        <f t="shared" si="37"/>
        <v>23.322341364766192</v>
      </c>
      <c r="BG25" s="20">
        <f t="shared" si="7"/>
        <v>188.42454454363443</v>
      </c>
      <c r="BH25" s="59">
        <f t="shared" si="8"/>
        <v>481.75787787696777</v>
      </c>
      <c r="BI25" s="59">
        <f ca="1">AVERAGE(OFFSET($BH$3,0,0,'Données projet'!$E$11+1,1))-AVERAGE(OFFSET($H$3,0,0,'Données projet'!$E$11+1,1))</f>
        <v>179.44051550872138</v>
      </c>
      <c r="BJ25" s="59">
        <f t="shared" si="38"/>
        <v>272.9500808380069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21.366299748910272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21.366299748910272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9.1999999999999993</v>
      </c>
      <c r="BY25" s="12">
        <f>IF('Données projet'!$A$114&gt;35,BY24+BX25-CG24,IF(A25&lt;'Données projet'!$A$114,$BV$205^A25,IF(A25='Données projet'!$A$114,'Données projet'!$B$114,BY24+BX25-CG24)))</f>
        <v>144.39999999999998</v>
      </c>
      <c r="BZ25" s="13">
        <f>BY25*VLOOKUP('Données projet'!$B$12,Paramètres!$A$1:$I$89,3,0)*VLOOKUP('Données projet'!$B$12,Paramètres!$A$1:$I$89,5,0)</f>
        <v>67.579199999999986</v>
      </c>
      <c r="CA25" s="13">
        <f t="shared" si="39"/>
        <v>19.07106176040384</v>
      </c>
      <c r="CB25" s="20">
        <f t="shared" si="10"/>
        <v>150.91587256603665</v>
      </c>
      <c r="CC25" s="59">
        <f t="shared" si="11"/>
        <v>444.24920589936994</v>
      </c>
      <c r="CD25" s="59">
        <f ca="1">AVERAGE(OFFSET($CC$3,0,0,'Données projet'!$E$12+1,1))-AVERAGE(OFFSET($H$3,0,0,'Données projet'!$E$12+1,1))</f>
        <v>259.87681411271632</v>
      </c>
      <c r="CE25" s="59">
        <f t="shared" si="40"/>
        <v>191.8684235641158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10.296535460912299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10.296535460912299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12.6</v>
      </c>
      <c r="CT25" s="12">
        <f>IF('Données projet'!$A$140&gt;35,CT24+CS25-DB24,IF(A25&lt;'Données projet'!$A$140,$CQ$205^A25,IF(A25='Données projet'!$A$140,'Données projet'!$B$140,CT24+CS25-DB24)))</f>
        <v>49.199999999999996</v>
      </c>
      <c r="CU25" s="17">
        <f>CT25*VLOOKUP('Données projet'!$B$13,Paramètres!$A$1:$I$89,3,0)*VLOOKUP('Données projet'!$B$13,Paramètres!$A$1:$I$89,5,0)</f>
        <v>39.143520000000002</v>
      </c>
      <c r="CV25" s="13">
        <f t="shared" si="41"/>
        <v>11.77135161320783</v>
      </c>
      <c r="CW25" s="20">
        <f t="shared" si="13"/>
        <v>88.676734726336974</v>
      </c>
      <c r="CX25" s="59">
        <f t="shared" si="14"/>
        <v>382.01006805967029</v>
      </c>
      <c r="CY25" s="59">
        <f ca="1">AVERAGE(OFFSET($CX$3,0,0,'Données projet'!$E$13+1,1))-AVERAGE(OFFSET($H$3,0,0,'Données projet'!$E$13+1,1))</f>
        <v>198.11534486400666</v>
      </c>
      <c r="CZ25" s="59">
        <f t="shared" si="42"/>
        <v>174.29856796517652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3.0748224030290663</v>
      </c>
      <c r="DH25" s="21">
        <f>EXP(-LN(2)/2)*DH24+(1-EXP(-LN(2)/2))/(LN(2)/2)*DB25*DE25*VLOOKUP('Données projet'!$B$13,Paramètres!$A$1:$I$89,3,0)*0.475*44/12</f>
        <v>2.6273450464101642</v>
      </c>
      <c r="DI25" s="22">
        <f t="shared" si="15"/>
        <v>5.70216744943923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2.6904761904761907</v>
      </c>
      <c r="DO25" s="12">
        <f>IF('Données projet'!$A$166&gt;35,DO24+DN25-DW24,IF(A25&lt;'Données projet'!$A$166,$DL$205^A25,IF(A25='Données projet'!$A$166,'Données projet'!$B$166,DO24+DN25-DW24)))</f>
        <v>59.190476190476183</v>
      </c>
      <c r="DP25" s="17">
        <f>DO25*VLOOKUP('Données projet'!$B$14,Paramètres!$A$1:$I$89,3,0)*VLOOKUP('Données projet'!$B$14,Paramètres!$A$1:$I$89,5,0)</f>
        <v>60.019142857142853</v>
      </c>
      <c r="DQ25" s="13">
        <f t="shared" si="43"/>
        <v>17.17310883753035</v>
      </c>
      <c r="DR25" s="20">
        <f t="shared" si="16"/>
        <v>134.44317170155583</v>
      </c>
      <c r="DS25" s="59">
        <f t="shared" si="17"/>
        <v>427.77650503488917</v>
      </c>
      <c r="DT25" s="59">
        <f ca="1">AVERAGE(OFFSET($DS$3,0,0,'Données projet'!$E$14+1,1))-AVERAGE(OFFSET($H$3,0,0,'Données projet'!$E$14+1,1))</f>
        <v>247.92503505485405</v>
      </c>
      <c r="DU25" s="59">
        <f t="shared" si="44"/>
        <v>148.26437652597514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2.6904761904761907</v>
      </c>
      <c r="EJ25" s="12">
        <f>IF('Données projet'!$A$192&gt;35,EJ24+EI25-ER24,IF(A25&lt;'Données projet'!$A$192,$EG$205^A25,IF(A25='Données projet'!$A$192,'Données projet'!$B$192,EJ24+EI25-ER24)))</f>
        <v>59.190476190476183</v>
      </c>
      <c r="EK25" s="17">
        <f>EJ25*VLOOKUP('Données projet'!$B$15,Paramètres!$A$1:$I$89,3,0)*VLOOKUP('Données projet'!$B$15,Paramètres!$A$1:$I$89,5,0)</f>
        <v>57.249028571428568</v>
      </c>
      <c r="EL25" s="13">
        <f t="shared" si="45"/>
        <v>16.47084867897102</v>
      </c>
      <c r="EM25" s="20">
        <f t="shared" si="19"/>
        <v>128.39545287777929</v>
      </c>
      <c r="EN25" s="59">
        <f t="shared" si="20"/>
        <v>421.72878621111261</v>
      </c>
      <c r="EO25" s="59">
        <f ca="1">AVERAGE(OFFSET($EN$3,0,0,'Données projet'!$E$15+1,1))-AVERAGE(OFFSET($H$3,0,0,'Données projet'!$E$15+1,1))</f>
        <v>232.99870507181964</v>
      </c>
      <c r="EP25" s="59">
        <f t="shared" si="46"/>
        <v>140.07662669226278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12.6</v>
      </c>
      <c r="FE25" s="12">
        <f>IF('Données projet'!$A$218&gt;35,FE24+FD25-FM24,IF(A25&lt;'Données projet'!$A$218,$FB$205^A25,IF(A25='Données projet'!$A$218,'Données projet'!$B$218,FE24+FD25-FM24)))</f>
        <v>49.199999999999996</v>
      </c>
      <c r="FF25" s="17">
        <f>FE25*VLOOKUP('Données projet'!$B$16,Paramètres!$A$1:$I$89,3,0)*VLOOKUP('Données projet'!$B$16,Paramètres!$A$1:$I$89,5,0)</f>
        <v>38.375999999999998</v>
      </c>
      <c r="FG25" s="13">
        <f t="shared" si="47"/>
        <v>11.56717272359286</v>
      </c>
      <c r="FH25" s="20">
        <f t="shared" si="22"/>
        <v>86.984359160257554</v>
      </c>
      <c r="FI25" s="59">
        <f t="shared" si="23"/>
        <v>380.31769249359087</v>
      </c>
      <c r="FJ25" s="59">
        <f ca="1">AVERAGE(OFFSET($FI$3,0,0,'Données projet'!$E$16+1,1))-AVERAGE(OFFSET($H$3,0,0,'Données projet'!$E$16+1,1))</f>
        <v>193.47609744163839</v>
      </c>
      <c r="FK25" s="59">
        <f t="shared" si="48"/>
        <v>170.3221892406973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2.4457521888688469</v>
      </c>
      <c r="FS25" s="21">
        <f>EXP(-LN(2)/2)*FS24+(1-EXP(-LN(2)/2))/(LN(2)/2)*FM25*FP25*VLOOKUP('Données projet'!$B$16,Paramètres!$A$1:$I$89,3,0)*0.475*44/12</f>
        <v>2.5758284768727107</v>
      </c>
      <c r="FT25" s="22">
        <f t="shared" si="24"/>
        <v>5.021580665741558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16</v>
      </c>
      <c r="FZ25" s="12">
        <f>IF('Données projet'!$A$244&gt;35,FZ24+FY25-GH24,IF(A25&lt;'Données projet'!$A$244,$FW$205^A25,IF(A25='Données projet'!$A$244,'Données projet'!$B$244,FZ24+FY25-GH24)))</f>
        <v>136</v>
      </c>
      <c r="GA25" s="17">
        <f>FZ25*VLOOKUP('Données projet'!$B$17,Paramètres!$A$1:$I$89,3,0)*VLOOKUP('Données projet'!$B$17,Paramètres!$A$1:$I$89,5,0)</f>
        <v>74.256</v>
      </c>
      <c r="GB25" s="13">
        <f t="shared" si="49"/>
        <v>20.726714411291823</v>
      </c>
      <c r="GC25" s="20">
        <f t="shared" si="25"/>
        <v>165.4282275996666</v>
      </c>
      <c r="GD25" s="59">
        <f t="shared" si="26"/>
        <v>458.76156093299994</v>
      </c>
      <c r="GE25" s="59">
        <f ca="1">AVERAGE(OFFSET($GD$3,0,0,'Données projet'!$E$17+1,1))-AVERAGE(OFFSET($H$3,0,0,'Données projet'!$E$17+1,1))</f>
        <v>153.43773674911449</v>
      </c>
      <c r="GF25" s="59">
        <f t="shared" si="50"/>
        <v>235.49395036616602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18.695512280296487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18.695512280296487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12.6</v>
      </c>
      <c r="GU25" s="12">
        <f>IF('Données projet'!$A$270&gt;35,GU24+GT25-HC24,IF(A25&lt;'Données projet'!$A$270,$GR$205^A25,IF(A25='Données projet'!$A$270,'Données projet'!$B$270,GU24+GT25-HC24)))</f>
        <v>49.199999999999996</v>
      </c>
      <c r="GV25" s="17">
        <f>GU25*VLOOKUP('Données projet'!$B$18,Paramètres!$A$1:$I$89,3,0)*VLOOKUP('Données projet'!$B$18,Paramètres!$A$1:$I$89,5,0)</f>
        <v>39.143520000000002</v>
      </c>
      <c r="GW25" s="13">
        <f t="shared" si="51"/>
        <v>11.77135161320783</v>
      </c>
      <c r="GX25" s="20">
        <f t="shared" si="28"/>
        <v>88.676734726336974</v>
      </c>
      <c r="GY25" s="59">
        <f t="shared" si="29"/>
        <v>382.01006805967029</v>
      </c>
      <c r="GZ25" s="59">
        <f ca="1">AVERAGE(OFFSET($GY$3,0,0,'Données projet'!$E$18+1,1))-AVERAGE(OFFSET($H$3,0,0,'Données projet'!$E$18+1,1))</f>
        <v>198.11534486400666</v>
      </c>
      <c r="HA25" s="59">
        <f t="shared" si="52"/>
        <v>174.29856796517652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>
        <f>EXP(-LN(2)/35)*HG24+(1-EXP(-LN(2)/35))/(LN(2)/35)*HC25*HD25*VLOOKUP('Données projet'!$B$18,Paramètres!$A$1:$I$89,3,0)*0.475*44/12</f>
        <v>0</v>
      </c>
      <c r="HH25" s="21">
        <f>EXP(-LN(2)/25)*HH24+(1-EXP(-LN(2)/25))/(LN(2)/25)*Calculateur!HC25*Calculateur!HE25*VLOOKUP('Données projet'!$B$18,Paramètres!$A$1:$I$89,3,0)*0.475*44/12</f>
        <v>3.0748224030290663</v>
      </c>
      <c r="HI25" s="21">
        <f>EXP(-LN(2)/2)*HI24+(1-EXP(-LN(2)/2))/(LN(2)/2)*HC25*HF25*VLOOKUP('Données projet'!$B$18,Paramètres!$A$1:$I$89,3,0)*0.475*44/12</f>
        <v>2.6273450464101642</v>
      </c>
      <c r="HJ25" s="22">
        <f t="shared" si="30"/>
        <v>5.70216744943923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</v>
      </c>
      <c r="N26" s="13">
        <f>IF('Données projet'!$A$36&gt;35,N25+M26-V25,IF(A26&lt;'Données projet'!$A$36,$K$205^A26,IF(A26='Données projet'!$A$36,'Données projet'!$B$36,N25+M26-V25)))</f>
        <v>86</v>
      </c>
      <c r="O26" s="13">
        <f>N26*VLOOKUP('Données projet'!$B$9,Paramètres!$A$1:$I$89,3,0)*VLOOKUP('Données projet'!$B$9,Paramètres!$A$1:$I$89,5,0)</f>
        <v>51.428000000000004</v>
      </c>
      <c r="P26" s="13">
        <f t="shared" si="33"/>
        <v>14.981940313719676</v>
      </c>
      <c r="Q26" s="20">
        <f t="shared" si="2"/>
        <v>115.66397937972845</v>
      </c>
      <c r="R26" s="59">
        <f t="shared" si="0"/>
        <v>408.99731271306177</v>
      </c>
      <c r="S26" s="59">
        <f ca="1">AVERAGE(OFFSET($R$3,0,0,'Données projet'!$E$9+1,1))-AVERAGE(OFFSET($H$3,0,0,'Données projet'!$E$9+1,1))</f>
        <v>295.19075440119076</v>
      </c>
      <c r="T26" s="59">
        <f t="shared" si="34"/>
        <v>173.0182327988216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12.333333333333334</v>
      </c>
      <c r="AI26" s="13">
        <f>IF('Données projet'!$A$62&gt;35,AI25+AH26-AQ25,IF(A26&lt;'Données projet'!$A$62,$AF$205^A26,IF(A26='Données projet'!$A$62,'Données projet'!$B$62,AI25+AH26-AQ25)))</f>
        <v>119.33333333333334</v>
      </c>
      <c r="AJ26" s="13">
        <f>AI26*VLOOKUP('Données projet'!$B$10,Paramètres!$A$1:$I$89,3,0)*VLOOKUP('Données projet'!$B$10,Paramètres!$A$1:$I$89,5,0)</f>
        <v>71.361333333333349</v>
      </c>
      <c r="AK26" s="13">
        <f t="shared" si="35"/>
        <v>20.011144716858571</v>
      </c>
      <c r="AL26" s="20">
        <f t="shared" si="4"/>
        <v>159.14039927075092</v>
      </c>
      <c r="AM26" s="59">
        <f t="shared" si="5"/>
        <v>452.47373260408426</v>
      </c>
      <c r="AN26" s="59">
        <f ca="1">AVERAGE(OFFSET($AM$3,0,0,'Données projet'!$E$10+1,1))-AVERAGE(OFFSET($H$3,0,0,'Données projet'!$E$10+1,1))</f>
        <v>294.45857786714919</v>
      </c>
      <c r="AO26" s="59">
        <f t="shared" si="36"/>
        <v>221.9773436301067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94.847999999999999</v>
      </c>
      <c r="BF26" s="13">
        <f t="shared" si="37"/>
        <v>25.730851751939202</v>
      </c>
      <c r="BG26" s="20">
        <f t="shared" si="7"/>
        <v>210.0081668012941</v>
      </c>
      <c r="BH26" s="59">
        <f t="shared" si="8"/>
        <v>503.34150013462738</v>
      </c>
      <c r="BI26" s="59">
        <f ca="1">AVERAGE(OFFSET($BH$3,0,0,'Données projet'!$E$11+1,1))-AVERAGE(OFFSET($H$3,0,0,'Données projet'!$E$11+1,1))</f>
        <v>179.44051550872138</v>
      </c>
      <c r="BJ26" s="59">
        <f t="shared" si="38"/>
        <v>272.9500808380069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20.78203715867145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20.78203715867145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9.1999999999999993</v>
      </c>
      <c r="BY26" s="12">
        <f>IF('Données projet'!$A$114&gt;35,BY25+BX26-CG25,IF(A26&lt;'Données projet'!$A$114,$BV$205^A26,IF(A26='Données projet'!$A$114,'Données projet'!$B$114,BY25+BX26-CG25)))</f>
        <v>153.59999999999997</v>
      </c>
      <c r="BZ26" s="13">
        <f>BY26*VLOOKUP('Données projet'!$B$12,Paramètres!$A$1:$I$89,3,0)*VLOOKUP('Données projet'!$B$12,Paramètres!$A$1:$I$89,5,0)</f>
        <v>71.884799999999984</v>
      </c>
      <c r="CA26" s="13">
        <f t="shared" si="39"/>
        <v>20.140793597217179</v>
      </c>
      <c r="CB26" s="20">
        <f t="shared" si="10"/>
        <v>160.27790884848653</v>
      </c>
      <c r="CC26" s="59">
        <f t="shared" si="11"/>
        <v>453.61124218181988</v>
      </c>
      <c r="CD26" s="59">
        <f ca="1">AVERAGE(OFFSET($CC$3,0,0,'Données projet'!$E$12+1,1))-AVERAGE(OFFSET($H$3,0,0,'Données projet'!$E$12+1,1))</f>
        <v>259.87681411271632</v>
      </c>
      <c r="CE26" s="59">
        <f t="shared" si="40"/>
        <v>191.8684235641158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10.014976157262385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10.014976157262385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12.6</v>
      </c>
      <c r="CT26" s="12">
        <f>IF('Données projet'!$A$140&gt;35,CT25+CS26-DB25,IF(A26&lt;'Données projet'!$A$140,$CQ$205^A26,IF(A26='Données projet'!$A$140,'Données projet'!$B$140,CT25+CS26-DB25)))</f>
        <v>61.8</v>
      </c>
      <c r="CU26" s="17">
        <f>CT26*VLOOKUP('Données projet'!$B$13,Paramètres!$A$1:$I$89,3,0)*VLOOKUP('Données projet'!$B$13,Paramètres!$A$1:$I$89,5,0)</f>
        <v>49.168080000000003</v>
      </c>
      <c r="CV26" s="13">
        <f t="shared" si="41"/>
        <v>14.398703347898763</v>
      </c>
      <c r="CW26" s="20">
        <f t="shared" si="13"/>
        <v>110.71214766425702</v>
      </c>
      <c r="CX26" s="59">
        <f t="shared" si="14"/>
        <v>404.04548099759035</v>
      </c>
      <c r="CY26" s="59">
        <f ca="1">AVERAGE(OFFSET($CX$3,0,0,'Données projet'!$E$13+1,1))-AVERAGE(OFFSET($H$3,0,0,'Données projet'!$E$13+1,1))</f>
        <v>198.11534486400666</v>
      </c>
      <c r="CZ26" s="59">
        <f t="shared" si="42"/>
        <v>174.29856796517652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2.990741222720354</v>
      </c>
      <c r="DH26" s="21">
        <f>EXP(-LN(2)/2)*DH25+(1-EXP(-LN(2)/2))/(LN(2)/2)*DB26*DE26*VLOOKUP('Données projet'!$B$13,Paramètres!$A$1:$I$89,3,0)*0.475*44/12</f>
        <v>1.8578134988335115</v>
      </c>
      <c r="DI26" s="22">
        <f t="shared" si="15"/>
        <v>4.8485547215538656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2.6904761904761907</v>
      </c>
      <c r="DO26" s="12">
        <f>IF('Données projet'!$A$166&gt;35,DO25+DN26-DW25,IF(A26&lt;'Données projet'!$A$166,$DL$205^A26,IF(A26='Données projet'!$A$166,'Données projet'!$B$166,DO25+DN26-DW25)))</f>
        <v>61.880952380952372</v>
      </c>
      <c r="DP26" s="17">
        <f>DO26*VLOOKUP('Données projet'!$B$14,Paramètres!$A$1:$I$89,3,0)*VLOOKUP('Données projet'!$B$14,Paramètres!$A$1:$I$89,5,0)</f>
        <v>62.747285714285709</v>
      </c>
      <c r="DQ26" s="13">
        <f t="shared" si="43"/>
        <v>17.861048817377036</v>
      </c>
      <c r="DR26" s="20">
        <f t="shared" si="16"/>
        <v>140.39284930931262</v>
      </c>
      <c r="DS26" s="59">
        <f t="shared" si="17"/>
        <v>433.72618264264594</v>
      </c>
      <c r="DT26" s="59">
        <f ca="1">AVERAGE(OFFSET($DS$3,0,0,'Données projet'!$E$14+1,1))-AVERAGE(OFFSET($H$3,0,0,'Données projet'!$E$14+1,1))</f>
        <v>247.92503505485405</v>
      </c>
      <c r="DU26" s="59">
        <f t="shared" si="44"/>
        <v>148.26437652597514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2.6904761904761907</v>
      </c>
      <c r="EJ26" s="12">
        <f>IF('Données projet'!$A$192&gt;35,EJ25+EI26-ER25,IF(A26&lt;'Données projet'!$A$192,$EG$205^A26,IF(A26='Données projet'!$A$192,'Données projet'!$B$192,EJ25+EI26-ER25)))</f>
        <v>61.880952380952372</v>
      </c>
      <c r="EK26" s="17">
        <f>EJ26*VLOOKUP('Données projet'!$B$15,Paramètres!$A$1:$I$89,3,0)*VLOOKUP('Données projet'!$B$15,Paramètres!$A$1:$I$89,5,0)</f>
        <v>59.851257142857129</v>
      </c>
      <c r="EL26" s="13">
        <f t="shared" si="45"/>
        <v>17.13065672045423</v>
      </c>
      <c r="EM26" s="20">
        <f t="shared" si="19"/>
        <v>134.07683331193397</v>
      </c>
      <c r="EN26" s="59">
        <f t="shared" si="20"/>
        <v>427.41016664526728</v>
      </c>
      <c r="EO26" s="59">
        <f ca="1">AVERAGE(OFFSET($EN$3,0,0,'Données projet'!$E$15+1,1))-AVERAGE(OFFSET($H$3,0,0,'Données projet'!$E$15+1,1))</f>
        <v>232.99870507181964</v>
      </c>
      <c r="EP26" s="59">
        <f t="shared" si="46"/>
        <v>140.07662669226278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12.6</v>
      </c>
      <c r="FE26" s="12">
        <f>IF('Données projet'!$A$218&gt;35,FE25+FD26-FM25,IF(A26&lt;'Données projet'!$A$218,$FB$205^A26,IF(A26='Données projet'!$A$218,'Données projet'!$B$218,FE25+FD26-FM25)))</f>
        <v>61.8</v>
      </c>
      <c r="FF26" s="17">
        <f>FE26*VLOOKUP('Données projet'!$B$16,Paramètres!$A$1:$I$89,3,0)*VLOOKUP('Données projet'!$B$16,Paramètres!$A$1:$I$89,5,0)</f>
        <v>48.204000000000001</v>
      </c>
      <c r="FG26" s="13">
        <f t="shared" si="47"/>
        <v>14.148951972009977</v>
      </c>
      <c r="FH26" s="20">
        <f t="shared" si="22"/>
        <v>108.59805801791737</v>
      </c>
      <c r="FI26" s="59">
        <f t="shared" si="23"/>
        <v>401.93139135125068</v>
      </c>
      <c r="FJ26" s="59">
        <f ca="1">AVERAGE(OFFSET($FI$3,0,0,'Données projet'!$E$16+1,1))-AVERAGE(OFFSET($H$3,0,0,'Données projet'!$E$16+1,1))</f>
        <v>193.47609744163839</v>
      </c>
      <c r="FK26" s="59">
        <f t="shared" si="48"/>
        <v>170.3221892406973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2.3788729666477106</v>
      </c>
      <c r="FS26" s="21">
        <f>EXP(-LN(2)/2)*FS25+(1-EXP(-LN(2)/2))/(LN(2)/2)*FM26*FP26*VLOOKUP('Données projet'!$B$16,Paramètres!$A$1:$I$89,3,0)*0.475*44/12</f>
        <v>1.8213857831701099</v>
      </c>
      <c r="FT26" s="22">
        <f t="shared" si="24"/>
        <v>4.2002587498178201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16</v>
      </c>
      <c r="FZ26" s="12">
        <f>IF('Données projet'!$A$244&gt;35,FZ25+FY26-GH25,IF(A26&lt;'Données projet'!$A$244,$FW$205^A26,IF(A26='Données projet'!$A$244,'Données projet'!$B$244,FZ25+FY26-GH25)))</f>
        <v>152</v>
      </c>
      <c r="GA26" s="17">
        <f>FZ26*VLOOKUP('Données projet'!$B$17,Paramètres!$A$1:$I$89,3,0)*VLOOKUP('Données projet'!$B$17,Paramètres!$A$1:$I$89,5,0)</f>
        <v>82.992000000000004</v>
      </c>
      <c r="GB26" s="13">
        <f t="shared" si="49"/>
        <v>22.867173045817324</v>
      </c>
      <c r="GC26" s="20">
        <f t="shared" si="25"/>
        <v>184.37139305479852</v>
      </c>
      <c r="GD26" s="59">
        <f t="shared" si="26"/>
        <v>477.7047263881318</v>
      </c>
      <c r="GE26" s="59">
        <f ca="1">AVERAGE(OFFSET($GD$3,0,0,'Données projet'!$E$17+1,1))-AVERAGE(OFFSET($H$3,0,0,'Données projet'!$E$17+1,1))</f>
        <v>153.43773674911449</v>
      </c>
      <c r="GF26" s="59">
        <f t="shared" si="50"/>
        <v>235.49395036616602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18.18428251383752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18.18428251383752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12.6</v>
      </c>
      <c r="GU26" s="12">
        <f>IF('Données projet'!$A$270&gt;35,GU25+GT26-HC25,IF(A26&lt;'Données projet'!$A$270,$GR$205^A26,IF(A26='Données projet'!$A$270,'Données projet'!$B$270,GU25+GT26-HC25)))</f>
        <v>61.8</v>
      </c>
      <c r="GV26" s="17">
        <f>GU26*VLOOKUP('Données projet'!$B$18,Paramètres!$A$1:$I$89,3,0)*VLOOKUP('Données projet'!$B$18,Paramètres!$A$1:$I$89,5,0)</f>
        <v>49.168080000000003</v>
      </c>
      <c r="GW26" s="13">
        <f t="shared" si="51"/>
        <v>14.398703347898763</v>
      </c>
      <c r="GX26" s="20">
        <f t="shared" si="28"/>
        <v>110.71214766425702</v>
      </c>
      <c r="GY26" s="59">
        <f t="shared" si="29"/>
        <v>404.04548099759035</v>
      </c>
      <c r="GZ26" s="59">
        <f ca="1">AVERAGE(OFFSET($GY$3,0,0,'Données projet'!$E$18+1,1))-AVERAGE(OFFSET($H$3,0,0,'Données projet'!$E$18+1,1))</f>
        <v>198.11534486400666</v>
      </c>
      <c r="HA26" s="59">
        <f t="shared" si="52"/>
        <v>174.29856796517652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>
        <f>EXP(-LN(2)/35)*HG25+(1-EXP(-LN(2)/35))/(LN(2)/35)*HC26*HD26*VLOOKUP('Données projet'!$B$18,Paramètres!$A$1:$I$89,3,0)*0.475*44/12</f>
        <v>0</v>
      </c>
      <c r="HH26" s="21">
        <f>EXP(-LN(2)/25)*HH25+(1-EXP(-LN(2)/25))/(LN(2)/25)*Calculateur!HC26*Calculateur!HE26*VLOOKUP('Données projet'!$B$18,Paramètres!$A$1:$I$89,3,0)*0.475*44/12</f>
        <v>2.990741222720354</v>
      </c>
      <c r="HI26" s="21">
        <f>EXP(-LN(2)/2)*HI25+(1-EXP(-LN(2)/2))/(LN(2)/2)*HC26*HF26*VLOOKUP('Données projet'!$B$18,Paramètres!$A$1:$I$89,3,0)*0.475*44/12</f>
        <v>1.8578134988335115</v>
      </c>
      <c r="HJ26" s="22">
        <f t="shared" si="30"/>
        <v>4.8485547215538656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</v>
      </c>
      <c r="N27" s="13">
        <f>IF('Données projet'!$A$36&gt;35,N26+M27-V26,IF(A27&lt;'Données projet'!$A$36,$K$205^A27,IF(A27='Données projet'!$A$36,'Données projet'!$B$36,N26+M27-V26)))</f>
        <v>96</v>
      </c>
      <c r="O27" s="13">
        <f>N27*VLOOKUP('Données projet'!$B$9,Paramètres!$A$1:$I$89,3,0)*VLOOKUP('Données projet'!$B$9,Paramètres!$A$1:$I$89,5,0)</f>
        <v>57.408000000000008</v>
      </c>
      <c r="P27" s="13">
        <f t="shared" si="33"/>
        <v>16.511255298579947</v>
      </c>
      <c r="Q27" s="20">
        <f t="shared" si="2"/>
        <v>128.74270297836009</v>
      </c>
      <c r="R27" s="59">
        <f t="shared" si="0"/>
        <v>422.07603631169343</v>
      </c>
      <c r="S27" s="59">
        <f ca="1">AVERAGE(OFFSET($R$3,0,0,'Données projet'!$E$9+1,1))-AVERAGE(OFFSET($H$3,0,0,'Données projet'!$E$9+1,1))</f>
        <v>295.19075440119076</v>
      </c>
      <c r="T27" s="59">
        <f t="shared" si="34"/>
        <v>173.0182327988216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12.333333333333334</v>
      </c>
      <c r="AI27" s="13">
        <f>IF('Données projet'!$A$62&gt;35,AI26+AH27-AQ26,IF(A27&lt;'Données projet'!$A$62,$AF$205^A27,IF(A27='Données projet'!$A$62,'Données projet'!$B$62,AI26+AH27-AQ26)))</f>
        <v>131.66666666666669</v>
      </c>
      <c r="AJ27" s="13">
        <f>AI27*VLOOKUP('Données projet'!$B$10,Paramètres!$A$1:$I$89,3,0)*VLOOKUP('Données projet'!$B$10,Paramètres!$A$1:$I$89,5,0)</f>
        <v>78.736666666666679</v>
      </c>
      <c r="AK27" s="13">
        <f t="shared" si="35"/>
        <v>21.828006984037064</v>
      </c>
      <c r="AL27" s="20">
        <f t="shared" si="4"/>
        <v>175.15013994164235</v>
      </c>
      <c r="AM27" s="59">
        <f t="shared" si="5"/>
        <v>468.48347327497567</v>
      </c>
      <c r="AN27" s="59">
        <f ca="1">AVERAGE(OFFSET($AM$3,0,0,'Données projet'!$E$10+1,1))-AVERAGE(OFFSET($H$3,0,0,'Données projet'!$E$10+1,1))</f>
        <v>294.45857786714919</v>
      </c>
      <c r="AO27" s="59">
        <f t="shared" si="36"/>
        <v>221.9773436301067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104.83200000000001</v>
      </c>
      <c r="BF27" s="13">
        <f t="shared" si="37"/>
        <v>28.109974371137717</v>
      </c>
      <c r="BG27" s="20">
        <f t="shared" si="7"/>
        <v>231.54060536306486</v>
      </c>
      <c r="BH27" s="59">
        <f t="shared" si="8"/>
        <v>524.87393869639823</v>
      </c>
      <c r="BI27" s="59">
        <f ca="1">AVERAGE(OFFSET($BH$3,0,0,'Données projet'!$E$11+1,1))-AVERAGE(OFFSET($H$3,0,0,'Données projet'!$E$11+1,1))</f>
        <v>179.44051550872138</v>
      </c>
      <c r="BJ27" s="59">
        <f t="shared" si="38"/>
        <v>272.9500808380069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0.6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34.560346186345214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34.560346186345214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9.1999999999999993</v>
      </c>
      <c r="BY27" s="12">
        <f>IF('Données projet'!$A$114&gt;35,BY26+BX27-CG26,IF(A27&lt;'Données projet'!$A$114,$BV$205^A27,IF(A27='Données projet'!$A$114,'Données projet'!$B$114,BY26+BX27-CG26)))</f>
        <v>162.79999999999995</v>
      </c>
      <c r="BZ27" s="13">
        <f>BY27*VLOOKUP('Données projet'!$B$12,Paramètres!$A$1:$I$89,3,0)*VLOOKUP('Données projet'!$B$12,Paramètres!$A$1:$I$89,5,0)</f>
        <v>76.190399999999983</v>
      </c>
      <c r="CA27" s="13">
        <f t="shared" si="39"/>
        <v>21.203088642228987</v>
      </c>
      <c r="CB27" s="20">
        <f t="shared" si="10"/>
        <v>169.62699271854879</v>
      </c>
      <c r="CC27" s="59">
        <f t="shared" si="11"/>
        <v>462.96032605188213</v>
      </c>
      <c r="CD27" s="59">
        <f ca="1">AVERAGE(OFFSET($CC$3,0,0,'Données projet'!$E$12+1,1))-AVERAGE(OFFSET($H$3,0,0,'Données projet'!$E$12+1,1))</f>
        <v>259.87681411271632</v>
      </c>
      <c r="CE27" s="59">
        <f t="shared" si="40"/>
        <v>191.8684235641158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9.7411161075773389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9.7411161075773389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12.6</v>
      </c>
      <c r="CT27" s="12">
        <f>IF('Données projet'!$A$140&gt;35,CT26+CS27-DB26,IF(A27&lt;'Données projet'!$A$140,$CQ$205^A27,IF(A27='Données projet'!$A$140,'Données projet'!$B$140,CT26+CS27-DB26)))</f>
        <v>74.399999999999991</v>
      </c>
      <c r="CU27" s="17">
        <f>CT27*VLOOKUP('Données projet'!$B$13,Paramètres!$A$1:$I$89,3,0)*VLOOKUP('Données projet'!$B$13,Paramètres!$A$1:$I$89,5,0)</f>
        <v>59.192639999999997</v>
      </c>
      <c r="CV27" s="13">
        <f t="shared" si="41"/>
        <v>16.963982408330725</v>
      </c>
      <c r="CW27" s="20">
        <f t="shared" si="13"/>
        <v>132.63945069450935</v>
      </c>
      <c r="CX27" s="59">
        <f t="shared" si="14"/>
        <v>425.97278402784264</v>
      </c>
      <c r="CY27" s="59">
        <f ca="1">AVERAGE(OFFSET($CX$3,0,0,'Données projet'!$E$13+1,1))-AVERAGE(OFFSET($H$3,0,0,'Données projet'!$E$13+1,1))</f>
        <v>198.11534486400666</v>
      </c>
      <c r="CZ27" s="59">
        <f t="shared" si="42"/>
        <v>174.29856796517652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2.9089592467088203</v>
      </c>
      <c r="DH27" s="21">
        <f>EXP(-LN(2)/2)*DH26+(1-EXP(-LN(2)/2))/(LN(2)/2)*DB27*DE27*VLOOKUP('Données projet'!$B$13,Paramètres!$A$1:$I$89,3,0)*0.475*44/12</f>
        <v>1.3136725232050821</v>
      </c>
      <c r="DI27" s="22">
        <f t="shared" si="15"/>
        <v>4.2226317699139022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2.6904761904761907</v>
      </c>
      <c r="DO27" s="12">
        <f>IF('Données projet'!$A$166&gt;35,DO26+DN27-DW26,IF(A27&lt;'Données projet'!$A$166,$DL$205^A27,IF(A27='Données projet'!$A$166,'Données projet'!$B$166,DO26+DN27-DW26)))</f>
        <v>64.571428571428569</v>
      </c>
      <c r="DP27" s="17">
        <f>DO27*VLOOKUP('Données projet'!$B$14,Paramètres!$A$1:$I$89,3,0)*VLOOKUP('Données projet'!$B$14,Paramètres!$A$1:$I$89,5,0)</f>
        <v>65.47542857142858</v>
      </c>
      <c r="DQ27" s="13">
        <f t="shared" si="43"/>
        <v>18.545514861972247</v>
      </c>
      <c r="DR27" s="20">
        <f t="shared" si="16"/>
        <v>146.33647647983977</v>
      </c>
      <c r="DS27" s="59">
        <f t="shared" si="17"/>
        <v>439.66980981317306</v>
      </c>
      <c r="DT27" s="59">
        <f ca="1">AVERAGE(OFFSET($DS$3,0,0,'Données projet'!$E$14+1,1))-AVERAGE(OFFSET($H$3,0,0,'Données projet'!$E$14+1,1))</f>
        <v>247.92503505485405</v>
      </c>
      <c r="DU27" s="59">
        <f t="shared" si="44"/>
        <v>148.26437652597514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2.6904761904761907</v>
      </c>
      <c r="EJ27" s="12">
        <f>IF('Données projet'!$A$192&gt;35,EJ26+EI27-ER26,IF(A27&lt;'Données projet'!$A$192,$EG$205^A27,IF(A27='Données projet'!$A$192,'Données projet'!$B$192,EJ26+EI27-ER26)))</f>
        <v>64.571428571428569</v>
      </c>
      <c r="EK27" s="17">
        <f>EJ27*VLOOKUP('Données projet'!$B$15,Paramètres!$A$1:$I$89,3,0)*VLOOKUP('Données projet'!$B$15,Paramètres!$A$1:$I$89,5,0)</f>
        <v>62.453485714285719</v>
      </c>
      <c r="EL27" s="13">
        <f t="shared" si="45"/>
        <v>17.787132886364507</v>
      </c>
      <c r="EM27" s="20">
        <f t="shared" si="19"/>
        <v>139.75241072946582</v>
      </c>
      <c r="EN27" s="59">
        <f t="shared" si="20"/>
        <v>433.08574406279911</v>
      </c>
      <c r="EO27" s="59">
        <f ca="1">AVERAGE(OFFSET($EN$3,0,0,'Données projet'!$E$15+1,1))-AVERAGE(OFFSET($H$3,0,0,'Données projet'!$E$15+1,1))</f>
        <v>232.99870507181964</v>
      </c>
      <c r="EP27" s="59">
        <f t="shared" si="46"/>
        <v>140.07662669226278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12.6</v>
      </c>
      <c r="FE27" s="12">
        <f>IF('Données projet'!$A$218&gt;35,FE26+FD27-FM26,IF(A27&lt;'Données projet'!$A$218,$FB$205^A27,IF(A27='Données projet'!$A$218,'Données projet'!$B$218,FE26+FD27-FM26)))</f>
        <v>74.399999999999991</v>
      </c>
      <c r="FF27" s="17">
        <f>FE27*VLOOKUP('Données projet'!$B$16,Paramètres!$A$1:$I$89,3,0)*VLOOKUP('Données projet'!$B$16,Paramètres!$A$1:$I$89,5,0)</f>
        <v>58.031999999999996</v>
      </c>
      <c r="FG27" s="13">
        <f t="shared" si="47"/>
        <v>16.669735221992795</v>
      </c>
      <c r="FH27" s="20">
        <f t="shared" si="22"/>
        <v>130.10552217830411</v>
      </c>
      <c r="FI27" s="59">
        <f t="shared" si="23"/>
        <v>423.43885551163743</v>
      </c>
      <c r="FJ27" s="59">
        <f ca="1">AVERAGE(OFFSET($FI$3,0,0,'Données projet'!$E$16+1,1))-AVERAGE(OFFSET($H$3,0,0,'Données projet'!$E$16+1,1))</f>
        <v>193.47609744163839</v>
      </c>
      <c r="FK27" s="59">
        <f t="shared" si="48"/>
        <v>170.3221892406973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2.3138225602752365</v>
      </c>
      <c r="FS27" s="21">
        <f>EXP(-LN(2)/2)*FS26+(1-EXP(-LN(2)/2))/(LN(2)/2)*FM27*FP27*VLOOKUP('Données projet'!$B$16,Paramètres!$A$1:$I$89,3,0)*0.475*44/12</f>
        <v>1.2879142384363556</v>
      </c>
      <c r="FT27" s="22">
        <f t="shared" si="24"/>
        <v>3.6017367987115918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>
        <f>VLOOKUP(A27,'Données projet'!$A$243:$I$263,2,0)</f>
        <v>168</v>
      </c>
      <c r="FX27" s="12">
        <f>VLOOKUP(A27,'Données projet'!$A$243:$I$263,9,0)</f>
        <v>16</v>
      </c>
      <c r="FY27" s="12">
        <f t="array" ref="FY27">INDEX(FX:FX,MIN(IF(ISNUMBER(FX27:FX223),ROW(FX27:FX223),"")))</f>
        <v>16</v>
      </c>
      <c r="FZ27" s="12">
        <f>IF('Données projet'!$A$244&gt;35,FZ26+FY27-GH26,IF(A27&lt;'Données projet'!$A$244,$FW$205^A27,IF(A27='Données projet'!$A$244,'Données projet'!$B$244,FZ26+FY27-GH26)))</f>
        <v>168</v>
      </c>
      <c r="GA27" s="17">
        <f>FZ27*VLOOKUP('Données projet'!$B$17,Paramètres!$A$1:$I$89,3,0)*VLOOKUP('Données projet'!$B$17,Paramètres!$A$1:$I$89,5,0)</f>
        <v>91.728000000000009</v>
      </c>
      <c r="GB27" s="13">
        <f t="shared" si="49"/>
        <v>24.981514582386563</v>
      </c>
      <c r="GC27" s="20">
        <f t="shared" si="25"/>
        <v>203.26907123098991</v>
      </c>
      <c r="GD27" s="59">
        <f t="shared" si="26"/>
        <v>496.60240456432325</v>
      </c>
      <c r="GE27" s="59">
        <f ca="1">AVERAGE(OFFSET($GD$3,0,0,'Données projet'!$E$17+1,1))-AVERAGE(OFFSET($H$3,0,0,'Données projet'!$E$17+1,1))</f>
        <v>153.43773674911449</v>
      </c>
      <c r="GF27" s="59">
        <f t="shared" si="50"/>
        <v>235.49395036616602</v>
      </c>
      <c r="GG27" s="15">
        <f>IF(ISNA(VLOOKUP(A27,'Données projet'!$A$243:$I$263,3,0)),0,VLOOKUP(A27,'Données projet'!$A$243:$I$263,3,0))</f>
        <v>3</v>
      </c>
      <c r="GH27" s="15">
        <f>IF(ISNA(VLOOKUP(A27,'Données projet'!$A$243:$I$263,4,0)),0,VLOOKUP(A27,'Données projet'!$A$243:$I$263,4,0))</f>
        <v>29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0.6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30.240302913052062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30.240302913052062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12.6</v>
      </c>
      <c r="GU27" s="12">
        <f>IF('Données projet'!$A$270&gt;35,GU26+GT27-HC26,IF(A27&lt;'Données projet'!$A$270,$GR$205^A27,IF(A27='Données projet'!$A$270,'Données projet'!$B$270,GU26+GT27-HC26)))</f>
        <v>74.399999999999991</v>
      </c>
      <c r="GV27" s="17">
        <f>GU27*VLOOKUP('Données projet'!$B$18,Paramètres!$A$1:$I$89,3,0)*VLOOKUP('Données projet'!$B$18,Paramètres!$A$1:$I$89,5,0)</f>
        <v>59.192639999999997</v>
      </c>
      <c r="GW27" s="13">
        <f t="shared" si="51"/>
        <v>16.963982408330725</v>
      </c>
      <c r="GX27" s="20">
        <f t="shared" si="28"/>
        <v>132.63945069450935</v>
      </c>
      <c r="GY27" s="59">
        <f t="shared" si="29"/>
        <v>425.97278402784264</v>
      </c>
      <c r="GZ27" s="59">
        <f ca="1">AVERAGE(OFFSET($GY$3,0,0,'Données projet'!$E$18+1,1))-AVERAGE(OFFSET($H$3,0,0,'Données projet'!$E$18+1,1))</f>
        <v>198.11534486400666</v>
      </c>
      <c r="HA27" s="59">
        <f t="shared" si="52"/>
        <v>174.29856796517652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>
        <f>EXP(-LN(2)/35)*HG26+(1-EXP(-LN(2)/35))/(LN(2)/35)*HC27*HD27*VLOOKUP('Données projet'!$B$18,Paramètres!$A$1:$I$89,3,0)*0.475*44/12</f>
        <v>0</v>
      </c>
      <c r="HH27" s="21">
        <f>EXP(-LN(2)/25)*HH26+(1-EXP(-LN(2)/25))/(LN(2)/25)*Calculateur!HC27*Calculateur!HE27*VLOOKUP('Données projet'!$B$18,Paramètres!$A$1:$I$89,3,0)*0.475*44/12</f>
        <v>2.9089592467088203</v>
      </c>
      <c r="HI27" s="21">
        <f>EXP(-LN(2)/2)*HI26+(1-EXP(-LN(2)/2))/(LN(2)/2)*HC27*HF27*VLOOKUP('Données projet'!$B$18,Paramètres!$A$1:$I$89,3,0)*0.475*44/12</f>
        <v>1.3136725232050821</v>
      </c>
      <c r="HJ27" s="22">
        <f t="shared" si="30"/>
        <v>4.2226317699139022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10</v>
      </c>
      <c r="N28" s="13">
        <f>IF('Données projet'!$A$36&gt;35,N27+M28-V27,IF(A28&lt;'Données projet'!$A$36,$K$205^A28,IF(A28='Données projet'!$A$36,'Données projet'!$B$36,N27+M28-V27)))</f>
        <v>106</v>
      </c>
      <c r="O28" s="13">
        <f>N28*VLOOKUP('Données projet'!$B$9,Paramètres!$A$1:$I$89,3,0)*VLOOKUP('Données projet'!$B$9,Paramètres!$A$1:$I$89,5,0)</f>
        <v>63.388000000000012</v>
      </c>
      <c r="P28" s="13">
        <f t="shared" si="33"/>
        <v>18.022104085041263</v>
      </c>
      <c r="Q28" s="20">
        <f t="shared" si="2"/>
        <v>141.78926461478019</v>
      </c>
      <c r="R28" s="59">
        <f t="shared" si="0"/>
        <v>435.12259794811348</v>
      </c>
      <c r="S28" s="59">
        <f ca="1">AVERAGE(OFFSET($R$3,0,0,'Données projet'!$E$9+1,1))-AVERAGE(OFFSET($H$3,0,0,'Données projet'!$E$9+1,1))</f>
        <v>295.19075440119076</v>
      </c>
      <c r="T28" s="59">
        <f t="shared" si="34"/>
        <v>173.0182327988216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144</v>
      </c>
      <c r="AG28" s="12">
        <f>VLOOKUP(A28,'Données projet'!$A$61:$I$81,9,0)</f>
        <v>12.333333333333334</v>
      </c>
      <c r="AH28" s="12">
        <f t="array" ref="AH28">INDEX(AG:AG,MIN(IF(ISNUMBER(AG28:AG224),ROW(AG28:AG224),"")))</f>
        <v>12.333333333333334</v>
      </c>
      <c r="AI28" s="13">
        <f>IF('Données projet'!$A$62&gt;35,AI27+AH28-AQ27,IF(A28&lt;'Données projet'!$A$62,$AF$205^A28,IF(A28='Données projet'!$A$62,'Données projet'!$B$62,AI27+AH28-AQ27)))</f>
        <v>144.00000000000003</v>
      </c>
      <c r="AJ28" s="13">
        <f>AI28*VLOOKUP('Données projet'!$B$10,Paramètres!$A$1:$I$89,3,0)*VLOOKUP('Données projet'!$B$10,Paramètres!$A$1:$I$89,5,0)</f>
        <v>86.112000000000009</v>
      </c>
      <c r="AK28" s="13">
        <f t="shared" si="35"/>
        <v>23.625136642852297</v>
      </c>
      <c r="AL28" s="20">
        <f t="shared" si="4"/>
        <v>191.12551298630106</v>
      </c>
      <c r="AM28" s="59">
        <f t="shared" si="5"/>
        <v>484.4588463196344</v>
      </c>
      <c r="AN28" s="59">
        <f ca="1">AVERAGE(OFFSET($AM$3,0,0,'Données projet'!$E$10+1,1))-AVERAGE(OFFSET($H$3,0,0,'Données projet'!$E$10+1,1))</f>
        <v>294.45857786714919</v>
      </c>
      <c r="AO28" s="59">
        <f t="shared" si="36"/>
        <v>221.9773436301067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17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153.16666666666666</v>
      </c>
      <c r="BE28" s="13">
        <f>BD28*VLOOKUP('Données projet'!$B$11,Paramètres!$A$1:$I$89,3,0)*VLOOKUP('Données projet'!$B$11,Paramètres!$A$1:$I$89,5,0)</f>
        <v>95.575999999999993</v>
      </c>
      <c r="BF28" s="13">
        <f t="shared" si="37"/>
        <v>25.905281107545633</v>
      </c>
      <c r="BG28" s="20">
        <f t="shared" si="7"/>
        <v>211.57989792897527</v>
      </c>
      <c r="BH28" s="59">
        <f t="shared" si="8"/>
        <v>504.91323126230861</v>
      </c>
      <c r="BI28" s="59">
        <f ca="1">AVERAGE(OFFSET($BH$3,0,0,'Données projet'!$E$11+1,1))-AVERAGE(OFFSET($H$3,0,0,'Données projet'!$E$11+1,1))</f>
        <v>179.44051550872138</v>
      </c>
      <c r="BJ28" s="59">
        <f t="shared" si="38"/>
        <v>272.9500808380069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33.615291702429985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33.615291702429985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9.1999999999999993</v>
      </c>
      <c r="BY28" s="12">
        <f>IF('Données projet'!$A$114&gt;35,BY27+BX28-CG27,IF(A28&lt;'Données projet'!$A$114,$BV$205^A28,IF(A28='Données projet'!$A$114,'Données projet'!$B$114,BY27+BX28-CG27)))</f>
        <v>171.99999999999994</v>
      </c>
      <c r="BZ28" s="13">
        <f>BY28*VLOOKUP('Données projet'!$B$12,Paramètres!$A$1:$I$89,3,0)*VLOOKUP('Données projet'!$B$12,Paramètres!$A$1:$I$89,5,0)</f>
        <v>80.495999999999981</v>
      </c>
      <c r="CA28" s="13">
        <f t="shared" si="39"/>
        <v>22.258415047134097</v>
      </c>
      <c r="CB28" s="20">
        <f t="shared" si="10"/>
        <v>178.96393954042514</v>
      </c>
      <c r="CC28" s="59">
        <f t="shared" si="11"/>
        <v>472.29727287375846</v>
      </c>
      <c r="CD28" s="59">
        <f ca="1">AVERAGE(OFFSET($CC$3,0,0,'Données projet'!$E$12+1,1))-AVERAGE(OFFSET($H$3,0,0,'Données projet'!$E$12+1,1))</f>
        <v>259.87681411271632</v>
      </c>
      <c r="CE28" s="59">
        <f t="shared" si="40"/>
        <v>191.8684235641158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9.4747447753526046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9.4747447753526046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>
        <f>VLOOKUP(A28,'Données projet'!$A$139:$I$159,2,0)</f>
        <v>87</v>
      </c>
      <c r="CR28" s="12">
        <f>VLOOKUP(A28,'Données projet'!$A$139:$I$159,9,0)</f>
        <v>12.6</v>
      </c>
      <c r="CS28" s="12">
        <f t="array" ref="CS28">INDEX(CR:CR,MIN(IF(ISNUMBER(CR28:CR224),ROW(CR28:CR224),"")))</f>
        <v>12.6</v>
      </c>
      <c r="CT28" s="12">
        <f>IF('Données projet'!$A$140&gt;35,CT27+CS28-DB27,IF(A28&lt;'Données projet'!$A$140,$CQ$205^A28,IF(A28='Données projet'!$A$140,'Données projet'!$B$140,CT27+CS28-DB27)))</f>
        <v>86.999999999999986</v>
      </c>
      <c r="CU28" s="17">
        <f>CT28*VLOOKUP('Données projet'!$B$13,Paramètres!$A$1:$I$89,3,0)*VLOOKUP('Données projet'!$B$13,Paramètres!$A$1:$I$89,5,0)</f>
        <v>69.217199999999991</v>
      </c>
      <c r="CV28" s="13">
        <f t="shared" si="41"/>
        <v>19.478933690703851</v>
      </c>
      <c r="CW28" s="20">
        <f t="shared" si="13"/>
        <v>154.47909951130922</v>
      </c>
      <c r="CX28" s="59">
        <f t="shared" si="14"/>
        <v>447.81243284464256</v>
      </c>
      <c r="CY28" s="59">
        <f ca="1">AVERAGE(OFFSET($CX$3,0,0,'Données projet'!$E$13+1,1))-AVERAGE(OFFSET($H$3,0,0,'Données projet'!$E$13+1,1))</f>
        <v>198.11534486400666</v>
      </c>
      <c r="CZ28" s="59">
        <f t="shared" si="42"/>
        <v>174.29856796517652</v>
      </c>
      <c r="DA28" s="15">
        <f>IF(ISNA(VLOOKUP(A28,'Données projet'!$A$139:$I$159,3,0)),0,VLOOKUP(A28,'Données projet'!$A$139:$I$159,3,0))</f>
        <v>2</v>
      </c>
      <c r="DB28" s="15">
        <f>IF(ISNA(VLOOKUP(A28,'Données projet'!$A$139:$I$159,4,0)),0,VLOOKUP(A28,'Données projet'!$A$139:$I$159,4,0))</f>
        <v>28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0.13250000000000001</v>
      </c>
      <c r="DE28" s="16">
        <f>IF(ISNA(VLOOKUP(A28,'Données projet'!$A$139:$I$159,7,0)),0%,VLOOKUP(A28,'Données projet'!$A$139:$I$159,7,0))</f>
        <v>0.25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6.0795563546560683</v>
      </c>
      <c r="DH28" s="21">
        <f>EXP(-LN(2)/2)*DH27+(1-EXP(-LN(2)/2))/(LN(2)/2)*DB28*DE28*VLOOKUP('Données projet'!$B$13,Paramètres!$A$1:$I$89,3,0)*0.475*44/12</f>
        <v>6.1835968422370842</v>
      </c>
      <c r="DI28" s="22">
        <f t="shared" si="15"/>
        <v>12.263153196893153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2.6904761904761907</v>
      </c>
      <c r="DO28" s="12">
        <f>IF('Données projet'!$A$166&gt;35,DO27+DN28-DW27,IF(A28&lt;'Données projet'!$A$166,$DL$205^A28,IF(A28='Données projet'!$A$166,'Données projet'!$B$166,DO27+DN28-DW27)))</f>
        <v>67.261904761904759</v>
      </c>
      <c r="DP28" s="17">
        <f>DO28*VLOOKUP('Données projet'!$B$14,Paramètres!$A$1:$I$89,3,0)*VLOOKUP('Données projet'!$B$14,Paramètres!$A$1:$I$89,5,0)</f>
        <v>68.203571428571436</v>
      </c>
      <c r="DQ28" s="13">
        <f t="shared" si="43"/>
        <v>19.226668271157425</v>
      </c>
      <c r="DR28" s="20">
        <f t="shared" si="16"/>
        <v>152.27433414369443</v>
      </c>
      <c r="DS28" s="59">
        <f t="shared" si="17"/>
        <v>445.60766747702775</v>
      </c>
      <c r="DT28" s="59">
        <f ca="1">AVERAGE(OFFSET($DS$3,0,0,'Données projet'!$E$14+1,1))-AVERAGE(OFFSET($H$3,0,0,'Données projet'!$E$14+1,1))</f>
        <v>247.92503505485405</v>
      </c>
      <c r="DU28" s="59">
        <f t="shared" si="44"/>
        <v>148.26437652597514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2.6904761904761907</v>
      </c>
      <c r="EJ28" s="12">
        <f>IF('Données projet'!$A$192&gt;35,EJ27+EI28-ER27,IF(A28&lt;'Données projet'!$A$192,$EG$205^A28,IF(A28='Données projet'!$A$192,'Données projet'!$B$192,EJ27+EI28-ER27)))</f>
        <v>67.261904761904759</v>
      </c>
      <c r="EK28" s="17">
        <f>EJ28*VLOOKUP('Données projet'!$B$15,Paramètres!$A$1:$I$89,3,0)*VLOOKUP('Données projet'!$B$15,Paramètres!$A$1:$I$89,5,0)</f>
        <v>65.055714285714288</v>
      </c>
      <c r="EL28" s="13">
        <f t="shared" si="45"/>
        <v>18.440431880506768</v>
      </c>
      <c r="EM28" s="20">
        <f t="shared" si="19"/>
        <v>145.42245457283499</v>
      </c>
      <c r="EN28" s="59">
        <f t="shared" si="20"/>
        <v>438.75578790616828</v>
      </c>
      <c r="EO28" s="59">
        <f ca="1">AVERAGE(OFFSET($EN$3,0,0,'Données projet'!$E$15+1,1))-AVERAGE(OFFSET($H$3,0,0,'Données projet'!$E$15+1,1))</f>
        <v>232.99870507181964</v>
      </c>
      <c r="EP28" s="59">
        <f t="shared" si="46"/>
        <v>140.07662669226278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87</v>
      </c>
      <c r="FC28" s="12">
        <f>VLOOKUP(A28,'Données projet'!$A$217:$I$237,9,0)</f>
        <v>12.6</v>
      </c>
      <c r="FD28" s="12">
        <f t="array" ref="FD28">INDEX(FC:FC,MIN(IF(ISNUMBER(FC28:FC224),ROW(FC28:FC224),"")))</f>
        <v>12.6</v>
      </c>
      <c r="FE28" s="12">
        <f>IF('Données projet'!$A$218&gt;35,FE27+FD28-FM27,IF(A28&lt;'Données projet'!$A$218,$FB$205^A28,IF(A28='Données projet'!$A$218,'Données projet'!$B$218,FE27+FD28-FM27)))</f>
        <v>86.999999999999986</v>
      </c>
      <c r="FF28" s="17">
        <f>FE28*VLOOKUP('Données projet'!$B$16,Paramètres!$A$1:$I$89,3,0)*VLOOKUP('Données projet'!$B$16,Paramètres!$A$1:$I$89,5,0)</f>
        <v>67.859999999999985</v>
      </c>
      <c r="FG28" s="13">
        <f t="shared" si="47"/>
        <v>19.141063649731748</v>
      </c>
      <c r="FH28" s="20">
        <f t="shared" si="22"/>
        <v>151.52685252328277</v>
      </c>
      <c r="FI28" s="59">
        <f t="shared" si="23"/>
        <v>444.86018585661611</v>
      </c>
      <c r="FJ28" s="59">
        <f ca="1">AVERAGE(OFFSET($FI$3,0,0,'Données projet'!$E$16+1,1))-AVERAGE(OFFSET($H$3,0,0,'Données projet'!$E$16+1,1))</f>
        <v>193.47609744163839</v>
      </c>
      <c r="FK28" s="59">
        <f t="shared" si="48"/>
        <v>170.3221892406973</v>
      </c>
      <c r="FL28" s="15">
        <f>IF(ISNA(VLOOKUP(A28,'Données projet'!$A$217:$I$237,3,0)),0,VLOOKUP(A28,'Données projet'!$A$217:$I$237,3,0))</f>
        <v>2</v>
      </c>
      <c r="FM28" s="15">
        <f>IF(ISNA(VLOOKUP(A28,'Données projet'!$A$217:$I$237,4,0)),0,VLOOKUP(A28,'Données projet'!$A$217:$I$237,4,0))</f>
        <v>28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0.1075</v>
      </c>
      <c r="FP28" s="16">
        <f>IF(ISNA(VLOOKUP(A28,'Données projet'!$A$217:$I$237,7,0)),0%,VLOOKUP(A28,'Données projet'!$A$217:$I$237,7,0))</f>
        <v>0.25</v>
      </c>
      <c r="FQ28" s="21">
        <f>EXP(-LN(2)/35)*FQ27+(1-EXP(-LN(2)/35))/(LN(2)/35)*FM28*FN28*VLOOKUP('Données projet'!$B$16,Paramètres!$A$1:$I$89,3,0)*0.475*44/12</f>
        <v>0</v>
      </c>
      <c r="FR28" s="21">
        <f>EXP(-LN(2)/25)*FR27+(1-EXP(-LN(2)/25))/(LN(2)/25)*Calculateur!FM28*Calculateur!FO28*VLOOKUP('Données projet'!$B$16,Paramètres!$A$1:$I$89,3,0)*0.475*44/12</f>
        <v>4.8357551470627254</v>
      </c>
      <c r="FS28" s="21">
        <f>EXP(-LN(2)/2)*FS27+(1-EXP(-LN(2)/2))/(LN(2)/2)*FM28*FP28*VLOOKUP('Données projet'!$B$16,Paramètres!$A$1:$I$89,3,0)*0.475*44/12</f>
        <v>6.0623498453304752</v>
      </c>
      <c r="FT28" s="22">
        <f t="shared" si="24"/>
        <v>10.898104992393201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14.166666666666666</v>
      </c>
      <c r="FZ28" s="12">
        <f>IF('Données projet'!$A$244&gt;35,FZ27+FY28-GH27,IF(A28&lt;'Données projet'!$A$244,$FW$205^A28,IF(A28='Données projet'!$A$244,'Données projet'!$B$244,FZ27+FY28-GH27)))</f>
        <v>153.16666666666666</v>
      </c>
      <c r="GA28" s="17">
        <f>FZ28*VLOOKUP('Données projet'!$B$17,Paramètres!$A$1:$I$89,3,0)*VLOOKUP('Données projet'!$B$17,Paramètres!$A$1:$I$89,5,0)</f>
        <v>83.629000000000005</v>
      </c>
      <c r="GB28" s="13">
        <f t="shared" si="49"/>
        <v>23.022189533315533</v>
      </c>
      <c r="GC28" s="20">
        <f t="shared" si="25"/>
        <v>185.75082177052457</v>
      </c>
      <c r="GD28" s="59">
        <f t="shared" si="26"/>
        <v>479.08415510385788</v>
      </c>
      <c r="GE28" s="59">
        <f ca="1">AVERAGE(OFFSET($GD$3,0,0,'Données projet'!$E$17+1,1))-AVERAGE(OFFSET($H$3,0,0,'Données projet'!$E$17+1,1))</f>
        <v>153.43773674911449</v>
      </c>
      <c r="GF28" s="59">
        <f t="shared" si="50"/>
        <v>235.49395036616602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29.413380239626239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29.413380239626239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>
        <f>VLOOKUP(A28,'Données projet'!$A$269:$I$289,2,0)</f>
        <v>87</v>
      </c>
      <c r="GS28" s="12">
        <f>VLOOKUP(A28,'Données projet'!$A$269:$I$289,9,0)</f>
        <v>12.6</v>
      </c>
      <c r="GT28" s="12">
        <f t="array" ref="GT28">INDEX(GS:GS,MIN(IF(ISNUMBER(GS28:GS224),ROW(GS28:GS224),"")))</f>
        <v>12.6</v>
      </c>
      <c r="GU28" s="12">
        <f>IF('Données projet'!$A$270&gt;35,GU27+GT28-HC27,IF(A28&lt;'Données projet'!$A$270,$GR$205^A28,IF(A28='Données projet'!$A$270,'Données projet'!$B$270,GU27+GT28-HC27)))</f>
        <v>86.999999999999986</v>
      </c>
      <c r="GV28" s="17">
        <f>GU28*VLOOKUP('Données projet'!$B$18,Paramètres!$A$1:$I$89,3,0)*VLOOKUP('Données projet'!$B$18,Paramètres!$A$1:$I$89,5,0)</f>
        <v>69.217199999999991</v>
      </c>
      <c r="GW28" s="13">
        <f t="shared" si="51"/>
        <v>19.478933690703851</v>
      </c>
      <c r="GX28" s="20">
        <f t="shared" si="28"/>
        <v>154.47909951130922</v>
      </c>
      <c r="GY28" s="59">
        <f t="shared" si="29"/>
        <v>447.81243284464256</v>
      </c>
      <c r="GZ28" s="59">
        <f ca="1">AVERAGE(OFFSET($GY$3,0,0,'Données projet'!$E$18+1,1))-AVERAGE(OFFSET($H$3,0,0,'Données projet'!$E$18+1,1))</f>
        <v>198.11534486400666</v>
      </c>
      <c r="HA28" s="59">
        <f t="shared" si="52"/>
        <v>174.29856796517652</v>
      </c>
      <c r="HB28" s="15">
        <f>IF(ISNA(VLOOKUP(A28,'Données projet'!$A$269:$I$289,3,0)),0,VLOOKUP(A28,'Données projet'!$A$269:$I$289,3,0))</f>
        <v>2</v>
      </c>
      <c r="HC28" s="15">
        <f>IF(ISNA(VLOOKUP(A28,'Données projet'!$A$269:$I$289,4,0)),0,VLOOKUP(A28,'Données projet'!$A$269:$I$289,4,0))</f>
        <v>28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0.13250000000000001</v>
      </c>
      <c r="HF28" s="16">
        <f>IF(ISNA(VLOOKUP(A28,'Données projet'!$A$269:$I$289,7,0)),0%,VLOOKUP(A28,'Données projet'!$A$269:$I$289,7,0))</f>
        <v>0.25</v>
      </c>
      <c r="HG28" s="21">
        <f>EXP(-LN(2)/35)*HG27+(1-EXP(-LN(2)/35))/(LN(2)/35)*HC28*HD28*VLOOKUP('Données projet'!$B$18,Paramètres!$A$1:$I$89,3,0)*0.475*44/12</f>
        <v>0</v>
      </c>
      <c r="HH28" s="21">
        <f>EXP(-LN(2)/25)*HH27+(1-EXP(-LN(2)/25))/(LN(2)/25)*Calculateur!HC28*Calculateur!HE28*VLOOKUP('Données projet'!$B$18,Paramètres!$A$1:$I$89,3,0)*0.475*44/12</f>
        <v>6.0795563546560683</v>
      </c>
      <c r="HI28" s="21">
        <f>EXP(-LN(2)/2)*HI27+(1-EXP(-LN(2)/2))/(LN(2)/2)*HC28*HF28*VLOOKUP('Données projet'!$B$18,Paramètres!$A$1:$I$89,3,0)*0.475*44/12</f>
        <v>6.1835968422370842</v>
      </c>
      <c r="HJ28" s="22">
        <f t="shared" si="30"/>
        <v>12.263153196893153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10</v>
      </c>
      <c r="N29" s="13">
        <f>IF('Données projet'!$A$36&gt;35,N28+M29-V28,IF(A29&lt;'Données projet'!$A$36,$K$205^A29,IF(A29='Données projet'!$A$36,'Données projet'!$B$36,N28+M29-V28)))</f>
        <v>116</v>
      </c>
      <c r="O29" s="13">
        <f>N29*VLOOKUP('Données projet'!$B$9,Paramètres!$A$1:$I$89,3,0)*VLOOKUP('Données projet'!$B$9,Paramètres!$A$1:$I$89,5,0)</f>
        <v>69.367999999999995</v>
      </c>
      <c r="P29" s="13">
        <f t="shared" si="33"/>
        <v>19.516426948203531</v>
      </c>
      <c r="Q29" s="20">
        <f t="shared" si="2"/>
        <v>154.80704360145447</v>
      </c>
      <c r="R29" s="59">
        <f t="shared" si="0"/>
        <v>448.14037693478781</v>
      </c>
      <c r="S29" s="59">
        <f ca="1">AVERAGE(OFFSET($R$3,0,0,'Données projet'!$E$9+1,1))-AVERAGE(OFFSET($H$3,0,0,'Données projet'!$E$9+1,1))</f>
        <v>295.19075440119076</v>
      </c>
      <c r="T29" s="59">
        <f t="shared" si="34"/>
        <v>173.0182327988216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13.4</v>
      </c>
      <c r="AI29" s="13">
        <f>IF('Données projet'!$A$62&gt;35,AI28+AH29-AQ28,IF(A29&lt;'Données projet'!$A$62,$AF$205^A29,IF(A29='Données projet'!$A$62,'Données projet'!$B$62,AI28+AH29-AQ28)))</f>
        <v>140.40000000000003</v>
      </c>
      <c r="AJ29" s="13">
        <f>AI29*VLOOKUP('Données projet'!$B$10,Paramètres!$A$1:$I$89,3,0)*VLOOKUP('Données projet'!$B$10,Paramètres!$A$1:$I$89,5,0)</f>
        <v>83.959200000000024</v>
      </c>
      <c r="AK29" s="13">
        <f t="shared" si="35"/>
        <v>23.102490880810642</v>
      </c>
      <c r="AL29" s="20">
        <f t="shared" si="4"/>
        <v>186.46577828407854</v>
      </c>
      <c r="AM29" s="59">
        <f t="shared" si="5"/>
        <v>479.79911161741188</v>
      </c>
      <c r="AN29" s="59">
        <f ca="1">AVERAGE(OFFSET($AM$3,0,0,'Données projet'!$E$10+1,1))-AVERAGE(OFFSET($H$3,0,0,'Données projet'!$E$10+1,1))</f>
        <v>294.45857786714919</v>
      </c>
      <c r="AO29" s="59">
        <f t="shared" si="36"/>
        <v>221.9773436301067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167.33333333333331</v>
      </c>
      <c r="BE29" s="13">
        <f>BD29*VLOOKUP('Données projet'!$B$11,Paramètres!$A$1:$I$89,3,0)*VLOOKUP('Données projet'!$B$11,Paramètres!$A$1:$I$89,5,0)</f>
        <v>104.416</v>
      </c>
      <c r="BF29" s="13">
        <f t="shared" si="37"/>
        <v>28.01138818767625</v>
      </c>
      <c r="BG29" s="20">
        <f t="shared" si="7"/>
        <v>230.64436776020281</v>
      </c>
      <c r="BH29" s="59">
        <f t="shared" si="8"/>
        <v>523.9777010935361</v>
      </c>
      <c r="BI29" s="59">
        <f ca="1">AVERAGE(OFFSET($BH$3,0,0,'Données projet'!$E$11+1,1))-AVERAGE(OFFSET($H$3,0,0,'Données projet'!$E$11+1,1))</f>
        <v>179.44051550872138</v>
      </c>
      <c r="BJ29" s="59">
        <f t="shared" si="38"/>
        <v>272.9500808380069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32.696079783075675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32.696079783075675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9.1999999999999993</v>
      </c>
      <c r="BY29" s="12">
        <f>IF('Données projet'!$A$114&gt;35,BY28+BX29-CG28,IF(A29&lt;'Données projet'!$A$114,$BV$205^A29,IF(A29='Données projet'!$A$114,'Données projet'!$B$114,BY28+BX29-CG28)))</f>
        <v>181.19999999999993</v>
      </c>
      <c r="BZ29" s="13">
        <f>BY29*VLOOKUP('Données projet'!$B$12,Paramètres!$A$1:$I$89,3,0)*VLOOKUP('Données projet'!$B$12,Paramètres!$A$1:$I$89,5,0)</f>
        <v>84.801599999999965</v>
      </c>
      <c r="CA29" s="13">
        <f t="shared" si="39"/>
        <v>23.30718805376894</v>
      </c>
      <c r="CB29" s="20">
        <f t="shared" si="10"/>
        <v>188.28947252698083</v>
      </c>
      <c r="CC29" s="59">
        <f t="shared" si="11"/>
        <v>481.62280586031414</v>
      </c>
      <c r="CD29" s="59">
        <f ca="1">AVERAGE(OFFSET($CC$3,0,0,'Données projet'!$E$12+1,1))-AVERAGE(OFFSET($H$3,0,0,'Données projet'!$E$12+1,1))</f>
        <v>259.87681411271632</v>
      </c>
      <c r="CE29" s="59">
        <f t="shared" si="40"/>
        <v>191.8684235641158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9.215657381215415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9.215657381215415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11.8</v>
      </c>
      <c r="CT29" s="12">
        <f>IF('Données projet'!$A$140&gt;35,CT28+CS29-DB28,IF(A29&lt;'Données projet'!$A$140,$CQ$205^A29,IF(A29='Données projet'!$A$140,'Données projet'!$B$140,CT28+CS29-DB28)))</f>
        <v>70.799999999999983</v>
      </c>
      <c r="CU29" s="17">
        <f>CT29*VLOOKUP('Données projet'!$B$13,Paramètres!$A$1:$I$89,3,0)*VLOOKUP('Données projet'!$B$13,Paramètres!$A$1:$I$89,5,0)</f>
        <v>56.328479999999985</v>
      </c>
      <c r="CV29" s="13">
        <f t="shared" si="41"/>
        <v>16.236609810353851</v>
      </c>
      <c r="CW29" s="20">
        <f t="shared" si="13"/>
        <v>126.38419808636627</v>
      </c>
      <c r="CX29" s="59">
        <f t="shared" si="14"/>
        <v>419.71753141969958</v>
      </c>
      <c r="CY29" s="59">
        <f ca="1">AVERAGE(OFFSET($CX$3,0,0,'Données projet'!$E$13+1,1))-AVERAGE(OFFSET($H$3,0,0,'Données projet'!$E$13+1,1))</f>
        <v>198.11534486400666</v>
      </c>
      <c r="CZ29" s="59">
        <f t="shared" si="42"/>
        <v>174.29856796517652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5.9133105664280246</v>
      </c>
      <c r="DH29" s="21">
        <f>EXP(-LN(2)/2)*DH28+(1-EXP(-LN(2)/2))/(LN(2)/2)*DB29*DE29*VLOOKUP('Données projet'!$B$13,Paramètres!$A$1:$I$89,3,0)*0.475*44/12</f>
        <v>4.3724632592695647</v>
      </c>
      <c r="DI29" s="22">
        <f t="shared" si="15"/>
        <v>10.285773825697589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2.6904761904761907</v>
      </c>
      <c r="DO29" s="12">
        <f>IF('Données projet'!$A$166&gt;35,DO28+DN29-DW28,IF(A29&lt;'Données projet'!$A$166,$DL$205^A29,IF(A29='Données projet'!$A$166,'Données projet'!$B$166,DO28+DN29-DW28)))</f>
        <v>69.952380952380949</v>
      </c>
      <c r="DP29" s="17">
        <f>DO29*VLOOKUP('Données projet'!$B$14,Paramètres!$A$1:$I$89,3,0)*VLOOKUP('Données projet'!$B$14,Paramètres!$A$1:$I$89,5,0)</f>
        <v>70.931714285714293</v>
      </c>
      <c r="DQ29" s="13">
        <f t="shared" si="43"/>
        <v>19.904656710379786</v>
      </c>
      <c r="DR29" s="20">
        <f t="shared" si="16"/>
        <v>158.20667948486386</v>
      </c>
      <c r="DS29" s="59">
        <f t="shared" si="17"/>
        <v>451.54001281819717</v>
      </c>
      <c r="DT29" s="59">
        <f ca="1">AVERAGE(OFFSET($DS$3,0,0,'Données projet'!$E$14+1,1))-AVERAGE(OFFSET($H$3,0,0,'Données projet'!$E$14+1,1))</f>
        <v>247.92503505485405</v>
      </c>
      <c r="DU29" s="59">
        <f t="shared" si="44"/>
        <v>148.26437652597514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2.6904761904761907</v>
      </c>
      <c r="EJ29" s="12">
        <f>IF('Données projet'!$A$192&gt;35,EJ28+EI29-ER28,IF(A29&lt;'Données projet'!$A$192,$EG$205^A29,IF(A29='Données projet'!$A$192,'Données projet'!$B$192,EJ28+EI29-ER28)))</f>
        <v>69.952380952380949</v>
      </c>
      <c r="EK29" s="17">
        <f>EJ29*VLOOKUP('Données projet'!$B$15,Paramètres!$A$1:$I$89,3,0)*VLOOKUP('Données projet'!$B$15,Paramètres!$A$1:$I$89,5,0)</f>
        <v>67.657942857142856</v>
      </c>
      <c r="EL29" s="13">
        <f t="shared" si="45"/>
        <v>19.090695329843253</v>
      </c>
      <c r="EM29" s="20">
        <f t="shared" si="19"/>
        <v>151.08721150900081</v>
      </c>
      <c r="EN29" s="59">
        <f t="shared" si="20"/>
        <v>444.42054484233415</v>
      </c>
      <c r="EO29" s="59">
        <f ca="1">AVERAGE(OFFSET($EN$3,0,0,'Données projet'!$E$15+1,1))-AVERAGE(OFFSET($H$3,0,0,'Données projet'!$E$15+1,1))</f>
        <v>232.99870507181964</v>
      </c>
      <c r="EP29" s="59">
        <f t="shared" si="46"/>
        <v>140.07662669226278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11.8</v>
      </c>
      <c r="FE29" s="12">
        <f>IF('Données projet'!$A$218&gt;35,FE28+FD29-FM28,IF(A29&lt;'Données projet'!$A$218,$FB$205^A29,IF(A29='Données projet'!$A$218,'Données projet'!$B$218,FE28+FD29-FM28)))</f>
        <v>70.799999999999983</v>
      </c>
      <c r="FF29" s="17">
        <f>FE29*VLOOKUP('Données projet'!$B$16,Paramètres!$A$1:$I$89,3,0)*VLOOKUP('Données projet'!$B$16,Paramètres!$A$1:$I$89,5,0)</f>
        <v>55.22399999999999</v>
      </c>
      <c r="FG29" s="13">
        <f t="shared" si="47"/>
        <v>15.954979198073962</v>
      </c>
      <c r="FH29" s="20">
        <f t="shared" si="22"/>
        <v>123.97005543664545</v>
      </c>
      <c r="FI29" s="59">
        <f t="shared" si="23"/>
        <v>417.30338876997877</v>
      </c>
      <c r="FJ29" s="59">
        <f ca="1">AVERAGE(OFFSET($FI$3,0,0,'Données projet'!$E$16+1,1))-AVERAGE(OFFSET($H$3,0,0,'Données projet'!$E$16+1,1))</f>
        <v>193.47609744163839</v>
      </c>
      <c r="FK29" s="59">
        <f t="shared" si="48"/>
        <v>170.3221892406973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</v>
      </c>
      <c r="FR29" s="21">
        <f>EXP(-LN(2)/25)*FR28+(1-EXP(-LN(2)/25))/(LN(2)/25)*Calculateur!FM29*Calculateur!FO29*VLOOKUP('Données projet'!$B$16,Paramètres!$A$1:$I$89,3,0)*0.475*44/12</f>
        <v>4.7035211682649845</v>
      </c>
      <c r="FS29" s="21">
        <f>EXP(-LN(2)/2)*FS28+(1-EXP(-LN(2)/2))/(LN(2)/2)*FM29*FP29*VLOOKUP('Données projet'!$B$16,Paramètres!$A$1:$I$89,3,0)*0.475*44/12</f>
        <v>4.2867286855583968</v>
      </c>
      <c r="FT29" s="22">
        <f t="shared" si="24"/>
        <v>8.9902498538233822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14.166666666666666</v>
      </c>
      <c r="FZ29" s="12">
        <f>IF('Données projet'!$A$244&gt;35,FZ28+FY29-GH28,IF(A29&lt;'Données projet'!$A$244,$FW$205^A29,IF(A29='Données projet'!$A$244,'Données projet'!$B$244,FZ28+FY29-GH28)))</f>
        <v>167.33333333333331</v>
      </c>
      <c r="GA29" s="17">
        <f>FZ29*VLOOKUP('Données projet'!$B$17,Paramètres!$A$1:$I$89,3,0)*VLOOKUP('Données projet'!$B$17,Paramètres!$A$1:$I$89,5,0)</f>
        <v>91.36399999999999</v>
      </c>
      <c r="GB29" s="13">
        <f t="shared" si="49"/>
        <v>24.8939004085973</v>
      </c>
      <c r="GC29" s="20">
        <f t="shared" si="25"/>
        <v>202.48250987830696</v>
      </c>
      <c r="GD29" s="59">
        <f t="shared" si="26"/>
        <v>495.8158432116403</v>
      </c>
      <c r="GE29" s="59">
        <f ca="1">AVERAGE(OFFSET($GD$3,0,0,'Données projet'!$E$17+1,1))-AVERAGE(OFFSET($H$3,0,0,'Données projet'!$E$17+1,1))</f>
        <v>153.43773674911449</v>
      </c>
      <c r="GF29" s="59">
        <f t="shared" si="50"/>
        <v>235.49395036616602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28.609069810191219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28.609069810191219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11.8</v>
      </c>
      <c r="GU29" s="12">
        <f>IF('Données projet'!$A$270&gt;35,GU28+GT29-HC28,IF(A29&lt;'Données projet'!$A$270,$GR$205^A29,IF(A29='Données projet'!$A$270,'Données projet'!$B$270,GU28+GT29-HC28)))</f>
        <v>70.799999999999983</v>
      </c>
      <c r="GV29" s="17">
        <f>GU29*VLOOKUP('Données projet'!$B$18,Paramètres!$A$1:$I$89,3,0)*VLOOKUP('Données projet'!$B$18,Paramètres!$A$1:$I$89,5,0)</f>
        <v>56.328479999999985</v>
      </c>
      <c r="GW29" s="13">
        <f t="shared" si="51"/>
        <v>16.236609810353851</v>
      </c>
      <c r="GX29" s="20">
        <f t="shared" si="28"/>
        <v>126.38419808636627</v>
      </c>
      <c r="GY29" s="59">
        <f t="shared" si="29"/>
        <v>419.71753141969958</v>
      </c>
      <c r="GZ29" s="59">
        <f ca="1">AVERAGE(OFFSET($GY$3,0,0,'Données projet'!$E$18+1,1))-AVERAGE(OFFSET($H$3,0,0,'Données projet'!$E$18+1,1))</f>
        <v>198.11534486400666</v>
      </c>
      <c r="HA29" s="59">
        <f t="shared" si="52"/>
        <v>174.29856796517652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>
        <f>EXP(-LN(2)/35)*HG28+(1-EXP(-LN(2)/35))/(LN(2)/35)*HC29*HD29*VLOOKUP('Données projet'!$B$18,Paramètres!$A$1:$I$89,3,0)*0.475*44/12</f>
        <v>0</v>
      </c>
      <c r="HH29" s="21">
        <f>EXP(-LN(2)/25)*HH28+(1-EXP(-LN(2)/25))/(LN(2)/25)*Calculateur!HC29*Calculateur!HE29*VLOOKUP('Données projet'!$B$18,Paramètres!$A$1:$I$89,3,0)*0.475*44/12</f>
        <v>5.9133105664280246</v>
      </c>
      <c r="HI29" s="21">
        <f>EXP(-LN(2)/2)*HI28+(1-EXP(-LN(2)/2))/(LN(2)/2)*HC29*HF29*VLOOKUP('Données projet'!$B$18,Paramètres!$A$1:$I$89,3,0)*0.475*44/12</f>
        <v>4.3724632592695647</v>
      </c>
      <c r="HJ29" s="22">
        <f t="shared" si="30"/>
        <v>10.285773825697589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10</v>
      </c>
      <c r="N30" s="13">
        <f>IF('Données projet'!$A$36&gt;35,N29+M30-V29,IF(A30&lt;'Données projet'!$A$36,$K$205^A30,IF(A30='Données projet'!$A$36,'Données projet'!$B$36,N29+M30-V29)))</f>
        <v>126</v>
      </c>
      <c r="O30" s="13">
        <f>N30*VLOOKUP('Données projet'!$B$9,Paramètres!$A$1:$I$89,3,0)*VLOOKUP('Données projet'!$B$9,Paramètres!$A$1:$I$89,5,0)</f>
        <v>75.347999999999999</v>
      </c>
      <c r="P30" s="13">
        <f t="shared" si="33"/>
        <v>20.99581051771704</v>
      </c>
      <c r="Q30" s="20">
        <f t="shared" si="2"/>
        <v>167.79880331835713</v>
      </c>
      <c r="R30" s="59">
        <f t="shared" si="0"/>
        <v>461.13213665169042</v>
      </c>
      <c r="S30" s="59">
        <f ca="1">AVERAGE(OFFSET($R$3,0,0,'Données projet'!$E$9+1,1))-AVERAGE(OFFSET($H$3,0,0,'Données projet'!$E$9+1,1))</f>
        <v>295.19075440119076</v>
      </c>
      <c r="T30" s="59">
        <f t="shared" si="34"/>
        <v>173.0182327988216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13.4</v>
      </c>
      <c r="AI30" s="13">
        <f>IF('Données projet'!$A$62&gt;35,AI29+AH30-AQ29,IF(A30&lt;'Données projet'!$A$62,$AF$205^A30,IF(A30='Données projet'!$A$62,'Données projet'!$B$62,AI29+AH30-AQ29)))</f>
        <v>153.80000000000004</v>
      </c>
      <c r="AJ30" s="13">
        <f>AI30*VLOOKUP('Données projet'!$B$10,Paramètres!$A$1:$I$89,3,0)*VLOOKUP('Données projet'!$B$10,Paramètres!$A$1:$I$89,5,0)</f>
        <v>91.972400000000022</v>
      </c>
      <c r="AK30" s="13">
        <f t="shared" si="35"/>
        <v>25.040318527820091</v>
      </c>
      <c r="AL30" s="20">
        <f t="shared" si="4"/>
        <v>203.79715143595334</v>
      </c>
      <c r="AM30" s="59">
        <f t="shared" si="5"/>
        <v>497.13048476928668</v>
      </c>
      <c r="AN30" s="59">
        <f ca="1">AVERAGE(OFFSET($AM$3,0,0,'Données projet'!$E$10+1,1))-AVERAGE(OFFSET($H$3,0,0,'Données projet'!$E$10+1,1))</f>
        <v>294.45857786714919</v>
      </c>
      <c r="AO30" s="59">
        <f t="shared" si="36"/>
        <v>221.9773436301067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181.49999999999997</v>
      </c>
      <c r="BE30" s="13">
        <f>BD30*VLOOKUP('Données projet'!$B$11,Paramètres!$A$1:$I$89,3,0)*VLOOKUP('Données projet'!$B$11,Paramètres!$A$1:$I$89,5,0)</f>
        <v>113.25599999999997</v>
      </c>
      <c r="BF30" s="13">
        <f t="shared" si="37"/>
        <v>30.096816336106439</v>
      </c>
      <c r="BG30" s="20">
        <f t="shared" si="7"/>
        <v>249.67282178538531</v>
      </c>
      <c r="BH30" s="59">
        <f t="shared" si="8"/>
        <v>543.00615511871865</v>
      </c>
      <c r="BI30" s="59">
        <f ca="1">AVERAGE(OFFSET($BH$3,0,0,'Données projet'!$E$11+1,1))-AVERAGE(OFFSET($H$3,0,0,'Données projet'!$E$11+1,1))</f>
        <v>179.44051550872138</v>
      </c>
      <c r="BJ30" s="59">
        <f t="shared" si="38"/>
        <v>272.9500808380069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31.802003761995362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31.802003761995362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9.1999999999999993</v>
      </c>
      <c r="BY30" s="12">
        <f>IF('Données projet'!$A$114&gt;35,BY29+BX30-CG29,IF(A30&lt;'Données projet'!$A$114,$BV$205^A30,IF(A30='Données projet'!$A$114,'Données projet'!$B$114,BY29+BX30-CG29)))</f>
        <v>190.39999999999992</v>
      </c>
      <c r="BZ30" s="13">
        <f>BY30*VLOOKUP('Données projet'!$B$12,Paramètres!$A$1:$I$89,3,0)*VLOOKUP('Données projet'!$B$12,Paramètres!$A$1:$I$89,5,0)</f>
        <v>89.107199999999963</v>
      </c>
      <c r="CA30" s="13">
        <f t="shared" si="39"/>
        <v>24.349778356363331</v>
      </c>
      <c r="CB30" s="20">
        <f t="shared" si="10"/>
        <v>197.60423730399938</v>
      </c>
      <c r="CC30" s="59">
        <f t="shared" si="11"/>
        <v>490.93757063733267</v>
      </c>
      <c r="CD30" s="59">
        <f ca="1">AVERAGE(OFFSET($CC$3,0,0,'Données projet'!$E$12+1,1))-AVERAGE(OFFSET($H$3,0,0,'Données projet'!$E$12+1,1))</f>
        <v>259.87681411271632</v>
      </c>
      <c r="CE30" s="59">
        <f t="shared" si="40"/>
        <v>191.8684235641158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8.9636547454957203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8.9636547454957203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11.8</v>
      </c>
      <c r="CT30" s="12">
        <f>IF('Données projet'!$A$140&gt;35,CT29+CS30-DB29,IF(A30&lt;'Données projet'!$A$140,$CQ$205^A30,IF(A30='Données projet'!$A$140,'Données projet'!$B$140,CT29+CS30-DB29)))</f>
        <v>82.59999999999998</v>
      </c>
      <c r="CU30" s="17">
        <f>CT30*VLOOKUP('Données projet'!$B$13,Paramètres!$A$1:$I$89,3,0)*VLOOKUP('Données projet'!$B$13,Paramètres!$A$1:$I$89,5,0)</f>
        <v>65.716559999999987</v>
      </c>
      <c r="CV30" s="13">
        <f t="shared" si="41"/>
        <v>18.605850943651323</v>
      </c>
      <c r="CW30" s="20">
        <f t="shared" si="13"/>
        <v>146.86153239352601</v>
      </c>
      <c r="CX30" s="59">
        <f t="shared" si="14"/>
        <v>440.19486572685935</v>
      </c>
      <c r="CY30" s="59">
        <f ca="1">AVERAGE(OFFSET($CX$3,0,0,'Données projet'!$E$13+1,1))-AVERAGE(OFFSET($H$3,0,0,'Données projet'!$E$13+1,1))</f>
        <v>198.11534486400666</v>
      </c>
      <c r="CZ30" s="59">
        <f t="shared" si="42"/>
        <v>174.29856796517652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5.7516107780215622</v>
      </c>
      <c r="DH30" s="21">
        <f>EXP(-LN(2)/2)*DH29+(1-EXP(-LN(2)/2))/(LN(2)/2)*DB30*DE30*VLOOKUP('Données projet'!$B$13,Paramètres!$A$1:$I$89,3,0)*0.475*44/12</f>
        <v>3.0917984211185425</v>
      </c>
      <c r="DI30" s="22">
        <f t="shared" si="15"/>
        <v>8.8434091991401047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2.6904761904761907</v>
      </c>
      <c r="DO30" s="12">
        <f>IF('Données projet'!$A$166&gt;35,DO29+DN30-DW29,IF(A30&lt;'Données projet'!$A$166,$DL$205^A30,IF(A30='Données projet'!$A$166,'Données projet'!$B$166,DO29+DN30-DW29)))</f>
        <v>72.642857142857139</v>
      </c>
      <c r="DP30" s="17">
        <f>DO30*VLOOKUP('Données projet'!$B$14,Paramètres!$A$1:$I$89,3,0)*VLOOKUP('Données projet'!$B$14,Paramètres!$A$1:$I$89,5,0)</f>
        <v>73.659857142857149</v>
      </c>
      <c r="DQ30" s="13">
        <f t="shared" si="43"/>
        <v>20.579615842938225</v>
      </c>
      <c r="DR30" s="20">
        <f t="shared" si="16"/>
        <v>164.1337487835936</v>
      </c>
      <c r="DS30" s="59">
        <f t="shared" si="17"/>
        <v>457.46708211692692</v>
      </c>
      <c r="DT30" s="59">
        <f ca="1">AVERAGE(OFFSET($DS$3,0,0,'Données projet'!$E$14+1,1))-AVERAGE(OFFSET($H$3,0,0,'Données projet'!$E$14+1,1))</f>
        <v>247.92503505485405</v>
      </c>
      <c r="DU30" s="59">
        <f t="shared" si="44"/>
        <v>148.26437652597514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2.6904761904761907</v>
      </c>
      <c r="EJ30" s="12">
        <f>IF('Données projet'!$A$192&gt;35,EJ29+EI30-ER29,IF(A30&lt;'Données projet'!$A$192,$EG$205^A30,IF(A30='Données projet'!$A$192,'Données projet'!$B$192,EJ29+EI30-ER29)))</f>
        <v>72.642857142857139</v>
      </c>
      <c r="EK30" s="17">
        <f>EJ30*VLOOKUP('Données projet'!$B$15,Paramètres!$A$1:$I$89,3,0)*VLOOKUP('Données projet'!$B$15,Paramètres!$A$1:$I$89,5,0)</f>
        <v>70.260171428571425</v>
      </c>
      <c r="EL30" s="13">
        <f t="shared" si="45"/>
        <v>19.738053349991809</v>
      </c>
      <c r="EM30" s="20">
        <f t="shared" si="19"/>
        <v>156.74690815599766</v>
      </c>
      <c r="EN30" s="59">
        <f t="shared" si="20"/>
        <v>450.080241489331</v>
      </c>
      <c r="EO30" s="59">
        <f ca="1">AVERAGE(OFFSET($EN$3,0,0,'Données projet'!$E$15+1,1))-AVERAGE(OFFSET($H$3,0,0,'Données projet'!$E$15+1,1))</f>
        <v>232.99870507181964</v>
      </c>
      <c r="EP30" s="59">
        <f t="shared" si="46"/>
        <v>140.07662669226278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11.8</v>
      </c>
      <c r="FE30" s="12">
        <f>IF('Données projet'!$A$218&gt;35,FE29+FD30-FM29,IF(A30&lt;'Données projet'!$A$218,$FB$205^A30,IF(A30='Données projet'!$A$218,'Données projet'!$B$218,FE29+FD30-FM29)))</f>
        <v>82.59999999999998</v>
      </c>
      <c r="FF30" s="17">
        <f>FE30*VLOOKUP('Données projet'!$B$16,Paramètres!$A$1:$I$89,3,0)*VLOOKUP('Données projet'!$B$16,Paramètres!$A$1:$I$89,5,0)</f>
        <v>64.427999999999983</v>
      </c>
      <c r="FG30" s="13">
        <f t="shared" si="47"/>
        <v>18.283124878638205</v>
      </c>
      <c r="FH30" s="20">
        <f t="shared" si="22"/>
        <v>144.05520916362818</v>
      </c>
      <c r="FI30" s="59">
        <f t="shared" si="23"/>
        <v>437.38854249696146</v>
      </c>
      <c r="FJ30" s="59">
        <f ca="1">AVERAGE(OFFSET($FI$3,0,0,'Données projet'!$E$16+1,1))-AVERAGE(OFFSET($H$3,0,0,'Données projet'!$E$16+1,1))</f>
        <v>193.47609744163839</v>
      </c>
      <c r="FK30" s="59">
        <f t="shared" si="48"/>
        <v>170.3221892406973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</v>
      </c>
      <c r="FR30" s="21">
        <f>EXP(-LN(2)/25)*FR29+(1-EXP(-LN(2)/25))/(LN(2)/25)*Calculateur!FM30*Calculateur!FO30*VLOOKUP('Données projet'!$B$16,Paramètres!$A$1:$I$89,3,0)*0.475*44/12</f>
        <v>4.5749031345713504</v>
      </c>
      <c r="FS30" s="21">
        <f>EXP(-LN(2)/2)*FS29+(1-EXP(-LN(2)/2))/(LN(2)/2)*FM30*FP30*VLOOKUP('Données projet'!$B$16,Paramètres!$A$1:$I$89,3,0)*0.475*44/12</f>
        <v>3.031174922665238</v>
      </c>
      <c r="FT30" s="22">
        <f t="shared" si="24"/>
        <v>7.6060780572365889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14.166666666666666</v>
      </c>
      <c r="FZ30" s="12">
        <f>IF('Données projet'!$A$244&gt;35,FZ29+FY30-GH29,IF(A30&lt;'Données projet'!$A$244,$FW$205^A30,IF(A30='Données projet'!$A$244,'Données projet'!$B$244,FZ29+FY30-GH29)))</f>
        <v>181.49999999999997</v>
      </c>
      <c r="GA30" s="17">
        <f>FZ30*VLOOKUP('Données projet'!$B$17,Paramètres!$A$1:$I$89,3,0)*VLOOKUP('Données projet'!$B$17,Paramètres!$A$1:$I$89,5,0)</f>
        <v>99.09899999999999</v>
      </c>
      <c r="GB30" s="13">
        <f t="shared" si="49"/>
        <v>26.747233784597075</v>
      </c>
      <c r="GC30" s="20">
        <f t="shared" si="25"/>
        <v>219.18219050817319</v>
      </c>
      <c r="GD30" s="59">
        <f t="shared" si="26"/>
        <v>512.51552384150648</v>
      </c>
      <c r="GE30" s="59">
        <f ca="1">AVERAGE(OFFSET($GD$3,0,0,'Données projet'!$E$17+1,1))-AVERAGE(OFFSET($H$3,0,0,'Données projet'!$E$17+1,1))</f>
        <v>153.43773674911449</v>
      </c>
      <c r="GF30" s="59">
        <f t="shared" si="50"/>
        <v>235.49395036616602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27.826753291745945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27.826753291745945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11.8</v>
      </c>
      <c r="GU30" s="12">
        <f>IF('Données projet'!$A$270&gt;35,GU29+GT30-HC29,IF(A30&lt;'Données projet'!$A$270,$GR$205^A30,IF(A30='Données projet'!$A$270,'Données projet'!$B$270,GU29+GT30-HC29)))</f>
        <v>82.59999999999998</v>
      </c>
      <c r="GV30" s="17">
        <f>GU30*VLOOKUP('Données projet'!$B$18,Paramètres!$A$1:$I$89,3,0)*VLOOKUP('Données projet'!$B$18,Paramètres!$A$1:$I$89,5,0)</f>
        <v>65.716559999999987</v>
      </c>
      <c r="GW30" s="13">
        <f t="shared" si="51"/>
        <v>18.605850943651323</v>
      </c>
      <c r="GX30" s="20">
        <f t="shared" si="28"/>
        <v>146.86153239352601</v>
      </c>
      <c r="GY30" s="59">
        <f t="shared" si="29"/>
        <v>440.19486572685935</v>
      </c>
      <c r="GZ30" s="59">
        <f ca="1">AVERAGE(OFFSET($GY$3,0,0,'Données projet'!$E$18+1,1))-AVERAGE(OFFSET($H$3,0,0,'Données projet'!$E$18+1,1))</f>
        <v>198.11534486400666</v>
      </c>
      <c r="HA30" s="59">
        <f t="shared" si="52"/>
        <v>174.29856796517652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>
        <f>EXP(-LN(2)/35)*HG29+(1-EXP(-LN(2)/35))/(LN(2)/35)*HC30*HD30*VLOOKUP('Données projet'!$B$18,Paramètres!$A$1:$I$89,3,0)*0.475*44/12</f>
        <v>0</v>
      </c>
      <c r="HH30" s="21">
        <f>EXP(-LN(2)/25)*HH29+(1-EXP(-LN(2)/25))/(LN(2)/25)*Calculateur!HC30*Calculateur!HE30*VLOOKUP('Données projet'!$B$18,Paramètres!$A$1:$I$89,3,0)*0.475*44/12</f>
        <v>5.7516107780215622</v>
      </c>
      <c r="HI30" s="21">
        <f>EXP(-LN(2)/2)*HI29+(1-EXP(-LN(2)/2))/(LN(2)/2)*HC30*HF30*VLOOKUP('Données projet'!$B$18,Paramètres!$A$1:$I$89,3,0)*0.475*44/12</f>
        <v>3.0917984211185425</v>
      </c>
      <c r="HJ30" s="22">
        <f t="shared" si="30"/>
        <v>8.8434091991401047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10</v>
      </c>
      <c r="N31" s="13">
        <f>IF('Données projet'!$A$36&gt;35,N30+M31-V30,IF(A31&lt;'Données projet'!$A$36,$K$205^A31,IF(A31='Données projet'!$A$36,'Données projet'!$B$36,N30+M31-V30)))</f>
        <v>136</v>
      </c>
      <c r="O31" s="13">
        <f>N31*VLOOKUP('Données projet'!$B$9,Paramètres!$A$1:$I$89,3,0)*VLOOKUP('Données projet'!$B$9,Paramètres!$A$1:$I$89,5,0)</f>
        <v>81.328000000000003</v>
      </c>
      <c r="P31" s="13">
        <f t="shared" si="33"/>
        <v>22.461575251587323</v>
      </c>
      <c r="Q31" s="20">
        <f t="shared" si="2"/>
        <v>180.76684356318125</v>
      </c>
      <c r="R31" s="59">
        <f t="shared" si="0"/>
        <v>474.10017689651454</v>
      </c>
      <c r="S31" s="59">
        <f ca="1">AVERAGE(OFFSET($R$3,0,0,'Données projet'!$E$9+1,1))-AVERAGE(OFFSET($H$3,0,0,'Données projet'!$E$9+1,1))</f>
        <v>295.19075440119076</v>
      </c>
      <c r="T31" s="59">
        <f t="shared" si="34"/>
        <v>173.0182327988216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13.4</v>
      </c>
      <c r="AI31" s="13">
        <f>IF('Données projet'!$A$62&gt;35,AI30+AH31-AQ30,IF(A31&lt;'Données projet'!$A$62,$AF$205^A31,IF(A31='Données projet'!$A$62,'Données projet'!$B$62,AI30+AH31-AQ30)))</f>
        <v>167.20000000000005</v>
      </c>
      <c r="AJ31" s="13">
        <f>AI31*VLOOKUP('Données projet'!$B$10,Paramètres!$A$1:$I$89,3,0)*VLOOKUP('Données projet'!$B$10,Paramètres!$A$1:$I$89,5,0)</f>
        <v>99.985600000000034</v>
      </c>
      <c r="AK31" s="13">
        <f t="shared" si="35"/>
        <v>26.958566918169435</v>
      </c>
      <c r="AL31" s="20">
        <f t="shared" si="4"/>
        <v>221.09442404914515</v>
      </c>
      <c r="AM31" s="59">
        <f t="shared" si="5"/>
        <v>514.42775738247849</v>
      </c>
      <c r="AN31" s="59">
        <f ca="1">AVERAGE(OFFSET($AM$3,0,0,'Données projet'!$E$10+1,1))-AVERAGE(OFFSET($H$3,0,0,'Données projet'!$E$10+1,1))</f>
        <v>294.45857786714919</v>
      </c>
      <c r="AO31" s="59">
        <f t="shared" si="36"/>
        <v>221.9773436301067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195.66666666666663</v>
      </c>
      <c r="BE31" s="13">
        <f>BD31*VLOOKUP('Données projet'!$B$11,Paramètres!$A$1:$I$89,3,0)*VLOOKUP('Données projet'!$B$11,Paramètres!$A$1:$I$89,5,0)</f>
        <v>122.09599999999998</v>
      </c>
      <c r="BF31" s="13">
        <f t="shared" si="37"/>
        <v>32.163363121463028</v>
      </c>
      <c r="BG31" s="20">
        <f t="shared" si="7"/>
        <v>268.6683907698814</v>
      </c>
      <c r="BH31" s="59">
        <f t="shared" si="8"/>
        <v>562.00172410321466</v>
      </c>
      <c r="BI31" s="59">
        <f ca="1">AVERAGE(OFFSET($BH$3,0,0,'Données projet'!$E$11+1,1))-AVERAGE(OFFSET($H$3,0,0,'Données projet'!$E$11+1,1))</f>
        <v>179.44051550872138</v>
      </c>
      <c r="BJ31" s="59">
        <f t="shared" si="38"/>
        <v>272.9500808380069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30.932376296728904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30.932376296728904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9.1999999999999993</v>
      </c>
      <c r="BY31" s="12">
        <f>IF('Données projet'!$A$114&gt;35,BY30+BX31-CG30,IF(A31&lt;'Données projet'!$A$114,$BV$205^A31,IF(A31='Données projet'!$A$114,'Données projet'!$B$114,BY30+BX31-CG30)))</f>
        <v>199.59999999999991</v>
      </c>
      <c r="BZ31" s="13">
        <f>BY31*VLOOKUP('Données projet'!$B$12,Paramètres!$A$1:$I$89,3,0)*VLOOKUP('Données projet'!$B$12,Paramètres!$A$1:$I$89,5,0)</f>
        <v>93.412799999999962</v>
      </c>
      <c r="CA31" s="13">
        <f t="shared" si="39"/>
        <v>25.386518801727536</v>
      </c>
      <c r="CB31" s="20">
        <f t="shared" si="10"/>
        <v>206.90881357967535</v>
      </c>
      <c r="CC31" s="59">
        <f t="shared" si="11"/>
        <v>500.2421469130087</v>
      </c>
      <c r="CD31" s="59">
        <f ca="1">AVERAGE(OFFSET($CC$3,0,0,'Données projet'!$E$12+1,1))-AVERAGE(OFFSET($H$3,0,0,'Données projet'!$E$12+1,1))</f>
        <v>259.87681411271632</v>
      </c>
      <c r="CE31" s="59">
        <f t="shared" si="40"/>
        <v>191.8684235641158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8.7185431351020242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8.7185431351020242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11.8</v>
      </c>
      <c r="CT31" s="12">
        <f>IF('Données projet'!$A$140&gt;35,CT30+CS31-DB30,IF(A31&lt;'Données projet'!$A$140,$CQ$205^A31,IF(A31='Données projet'!$A$140,'Données projet'!$B$140,CT30+CS31-DB30)))</f>
        <v>94.399999999999977</v>
      </c>
      <c r="CU31" s="17">
        <f>CT31*VLOOKUP('Données projet'!$B$13,Paramètres!$A$1:$I$89,3,0)*VLOOKUP('Données projet'!$B$13,Paramètres!$A$1:$I$89,5,0)</f>
        <v>75.104639999999989</v>
      </c>
      <c r="CV31" s="13">
        <f t="shared" si="41"/>
        <v>20.935880066615336</v>
      </c>
      <c r="CW31" s="20">
        <f t="shared" si="13"/>
        <v>167.27057244935503</v>
      </c>
      <c r="CX31" s="59">
        <f t="shared" si="14"/>
        <v>460.60390578268834</v>
      </c>
      <c r="CY31" s="59">
        <f ca="1">AVERAGE(OFFSET($CX$3,0,0,'Données projet'!$E$13+1,1))-AVERAGE(OFFSET($H$3,0,0,'Données projet'!$E$13+1,1))</f>
        <v>198.11534486400666</v>
      </c>
      <c r="CZ31" s="59">
        <f t="shared" si="42"/>
        <v>174.29856796517652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5.5943326788324974</v>
      </c>
      <c r="DH31" s="21">
        <f>EXP(-LN(2)/2)*DH30+(1-EXP(-LN(2)/2))/(LN(2)/2)*DB31*DE31*VLOOKUP('Données projet'!$B$13,Paramètres!$A$1:$I$89,3,0)*0.475*44/12</f>
        <v>2.1862316296347823</v>
      </c>
      <c r="DI31" s="22">
        <f t="shared" si="15"/>
        <v>7.7805643084672802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2.6904761904761907</v>
      </c>
      <c r="DO31" s="12">
        <f>IF('Données projet'!$A$166&gt;35,DO30+DN31-DW30,IF(A31&lt;'Données projet'!$A$166,$DL$205^A31,IF(A31='Données projet'!$A$166,'Données projet'!$B$166,DO30+DN31-DW30)))</f>
        <v>75.333333333333329</v>
      </c>
      <c r="DP31" s="17">
        <f>DO31*VLOOKUP('Données projet'!$B$14,Paramètres!$A$1:$I$89,3,0)*VLOOKUP('Données projet'!$B$14,Paramètres!$A$1:$I$89,5,0)</f>
        <v>76.388000000000005</v>
      </c>
      <c r="DQ31" s="13">
        <f t="shared" si="43"/>
        <v>21.251670713617155</v>
      </c>
      <c r="DR31" s="20">
        <f t="shared" si="16"/>
        <v>170.05575982621656</v>
      </c>
      <c r="DS31" s="59">
        <f t="shared" si="17"/>
        <v>463.38909315954987</v>
      </c>
      <c r="DT31" s="59">
        <f ca="1">AVERAGE(OFFSET($DS$3,0,0,'Données projet'!$E$14+1,1))-AVERAGE(OFFSET($H$3,0,0,'Données projet'!$E$14+1,1))</f>
        <v>247.92503505485405</v>
      </c>
      <c r="DU31" s="59">
        <f t="shared" si="44"/>
        <v>148.26437652597514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2.6904761904761907</v>
      </c>
      <c r="EJ31" s="12">
        <f>IF('Données projet'!$A$192&gt;35,EJ30+EI31-ER30,IF(A31&lt;'Données projet'!$A$192,$EG$205^A31,IF(A31='Données projet'!$A$192,'Données projet'!$B$192,EJ30+EI31-ER30)))</f>
        <v>75.333333333333329</v>
      </c>
      <c r="EK31" s="17">
        <f>EJ31*VLOOKUP('Données projet'!$B$15,Paramètres!$A$1:$I$89,3,0)*VLOOKUP('Données projet'!$B$15,Paramètres!$A$1:$I$89,5,0)</f>
        <v>72.862399999999994</v>
      </c>
      <c r="EL31" s="13">
        <f t="shared" si="45"/>
        <v>20.382625872278943</v>
      </c>
      <c r="EM31" s="20">
        <f t="shared" si="19"/>
        <v>162.40175339421916</v>
      </c>
      <c r="EN31" s="59">
        <f t="shared" si="20"/>
        <v>455.73508672755247</v>
      </c>
      <c r="EO31" s="59">
        <f ca="1">AVERAGE(OFFSET($EN$3,0,0,'Données projet'!$E$15+1,1))-AVERAGE(OFFSET($H$3,0,0,'Données projet'!$E$15+1,1))</f>
        <v>232.99870507181964</v>
      </c>
      <c r="EP31" s="59">
        <f t="shared" si="46"/>
        <v>140.07662669226278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11.8</v>
      </c>
      <c r="FE31" s="12">
        <f>IF('Données projet'!$A$218&gt;35,FE30+FD31-FM30,IF(A31&lt;'Données projet'!$A$218,$FB$205^A31,IF(A31='Données projet'!$A$218,'Données projet'!$B$218,FE30+FD31-FM30)))</f>
        <v>94.399999999999977</v>
      </c>
      <c r="FF31" s="17">
        <f>FE31*VLOOKUP('Données projet'!$B$16,Paramètres!$A$1:$I$89,3,0)*VLOOKUP('Données projet'!$B$16,Paramètres!$A$1:$I$89,5,0)</f>
        <v>73.631999999999991</v>
      </c>
      <c r="FG31" s="13">
        <f t="shared" si="47"/>
        <v>20.572738697163981</v>
      </c>
      <c r="FH31" s="20">
        <f t="shared" si="22"/>
        <v>164.07325323089393</v>
      </c>
      <c r="FI31" s="59">
        <f t="shared" si="23"/>
        <v>457.40658656422727</v>
      </c>
      <c r="FJ31" s="59">
        <f ca="1">AVERAGE(OFFSET($FI$3,0,0,'Données projet'!$E$16+1,1))-AVERAGE(OFFSET($H$3,0,0,'Données projet'!$E$16+1,1))</f>
        <v>193.47609744163839</v>
      </c>
      <c r="FK31" s="59">
        <f t="shared" si="48"/>
        <v>170.3221892406973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</v>
      </c>
      <c r="FR31" s="21">
        <f>EXP(-LN(2)/25)*FR30+(1-EXP(-LN(2)/25))/(LN(2)/25)*Calculateur!FM31*Calculateur!FO31*VLOOKUP('Données projet'!$B$16,Paramètres!$A$1:$I$89,3,0)*0.475*44/12</f>
        <v>4.4498021677727975</v>
      </c>
      <c r="FS31" s="21">
        <f>EXP(-LN(2)/2)*FS30+(1-EXP(-LN(2)/2))/(LN(2)/2)*FM31*FP31*VLOOKUP('Données projet'!$B$16,Paramètres!$A$1:$I$89,3,0)*0.475*44/12</f>
        <v>2.1433643427791989</v>
      </c>
      <c r="FT31" s="22">
        <f t="shared" si="24"/>
        <v>6.5931665105519963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14.166666666666666</v>
      </c>
      <c r="FZ31" s="12">
        <f>IF('Données projet'!$A$244&gt;35,FZ30+FY31-GH30,IF(A31&lt;'Données projet'!$A$244,$FW$205^A31,IF(A31='Données projet'!$A$244,'Données projet'!$B$244,FZ30+FY31-GH30)))</f>
        <v>195.66666666666663</v>
      </c>
      <c r="GA31" s="17">
        <f>FZ31*VLOOKUP('Données projet'!$B$17,Paramètres!$A$1:$I$89,3,0)*VLOOKUP('Données projet'!$B$17,Paramètres!$A$1:$I$89,5,0)</f>
        <v>106.83399999999997</v>
      </c>
      <c r="GB31" s="13">
        <f t="shared" si="49"/>
        <v>28.583787172087089</v>
      </c>
      <c r="GC31" s="20">
        <f t="shared" si="25"/>
        <v>235.85264599138495</v>
      </c>
      <c r="GD31" s="59">
        <f t="shared" si="26"/>
        <v>529.18597932471823</v>
      </c>
      <c r="GE31" s="59">
        <f ca="1">AVERAGE(OFFSET($GD$3,0,0,'Données projet'!$E$17+1,1))-AVERAGE(OFFSET($H$3,0,0,'Données projet'!$E$17+1,1))</f>
        <v>153.43773674911449</v>
      </c>
      <c r="GF31" s="59">
        <f t="shared" si="50"/>
        <v>235.49395036616602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27.065829259637795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27.065829259637795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11.8</v>
      </c>
      <c r="GU31" s="12">
        <f>IF('Données projet'!$A$270&gt;35,GU30+GT31-HC30,IF(A31&lt;'Données projet'!$A$270,$GR$205^A31,IF(A31='Données projet'!$A$270,'Données projet'!$B$270,GU30+GT31-HC30)))</f>
        <v>94.399999999999977</v>
      </c>
      <c r="GV31" s="17">
        <f>GU31*VLOOKUP('Données projet'!$B$18,Paramètres!$A$1:$I$89,3,0)*VLOOKUP('Données projet'!$B$18,Paramètres!$A$1:$I$89,5,0)</f>
        <v>75.104639999999989</v>
      </c>
      <c r="GW31" s="13">
        <f t="shared" si="51"/>
        <v>20.935880066615336</v>
      </c>
      <c r="GX31" s="20">
        <f t="shared" si="28"/>
        <v>167.27057244935503</v>
      </c>
      <c r="GY31" s="59">
        <f t="shared" si="29"/>
        <v>460.60390578268834</v>
      </c>
      <c r="GZ31" s="59">
        <f ca="1">AVERAGE(OFFSET($GY$3,0,0,'Données projet'!$E$18+1,1))-AVERAGE(OFFSET($H$3,0,0,'Données projet'!$E$18+1,1))</f>
        <v>198.11534486400666</v>
      </c>
      <c r="HA31" s="59">
        <f t="shared" si="52"/>
        <v>174.29856796517652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>
        <f>EXP(-LN(2)/35)*HG30+(1-EXP(-LN(2)/35))/(LN(2)/35)*HC31*HD31*VLOOKUP('Données projet'!$B$18,Paramètres!$A$1:$I$89,3,0)*0.475*44/12</f>
        <v>0</v>
      </c>
      <c r="HH31" s="21">
        <f>EXP(-LN(2)/25)*HH30+(1-EXP(-LN(2)/25))/(LN(2)/25)*Calculateur!HC31*Calculateur!HE31*VLOOKUP('Données projet'!$B$18,Paramètres!$A$1:$I$89,3,0)*0.475*44/12</f>
        <v>5.5943326788324974</v>
      </c>
      <c r="HI31" s="21">
        <f>EXP(-LN(2)/2)*HI30+(1-EXP(-LN(2)/2))/(LN(2)/2)*HC31*HF31*VLOOKUP('Données projet'!$B$18,Paramètres!$A$1:$I$89,3,0)*0.475*44/12</f>
        <v>2.1862316296347823</v>
      </c>
      <c r="HJ31" s="22">
        <f t="shared" si="30"/>
        <v>7.7805643084672802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10</v>
      </c>
      <c r="N32" s="13">
        <f>IF('Données projet'!$A$36&gt;35,N31+M32-V31,IF(A32&lt;'Données projet'!$A$36,$K$205^A32,IF(A32='Données projet'!$A$36,'Données projet'!$B$36,N31+M32-V31)))</f>
        <v>146</v>
      </c>
      <c r="O32" s="13">
        <f>N32*VLOOKUP('Données projet'!$B$9,Paramètres!$A$1:$I$89,3,0)*VLOOKUP('Données projet'!$B$9,Paramètres!$A$1:$I$89,5,0)</f>
        <v>87.307999999999993</v>
      </c>
      <c r="P32" s="13">
        <f t="shared" si="33"/>
        <v>23.914836409796052</v>
      </c>
      <c r="Q32" s="20">
        <f t="shared" si="2"/>
        <v>193.71310674706146</v>
      </c>
      <c r="R32" s="59">
        <f t="shared" si="0"/>
        <v>487.04644008039475</v>
      </c>
      <c r="S32" s="59">
        <f ca="1">AVERAGE(OFFSET($R$3,0,0,'Données projet'!$E$9+1,1))-AVERAGE(OFFSET($H$3,0,0,'Données projet'!$E$9+1,1))</f>
        <v>295.19075440119076</v>
      </c>
      <c r="T32" s="59">
        <f t="shared" si="34"/>
        <v>173.0182327988216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13.4</v>
      </c>
      <c r="AI32" s="13">
        <f>IF('Données projet'!$A$62&gt;35,AI31+AH32-AQ31,IF(A32&lt;'Données projet'!$A$62,$AF$205^A32,IF(A32='Données projet'!$A$62,'Données projet'!$B$62,AI31+AH32-AQ31)))</f>
        <v>180.60000000000005</v>
      </c>
      <c r="AJ32" s="13">
        <f>AI32*VLOOKUP('Données projet'!$B$10,Paramètres!$A$1:$I$89,3,0)*VLOOKUP('Données projet'!$B$10,Paramètres!$A$1:$I$89,5,0)</f>
        <v>107.99880000000003</v>
      </c>
      <c r="AK32" s="13">
        <f t="shared" si="35"/>
        <v>28.85898360070161</v>
      </c>
      <c r="AL32" s="20">
        <f t="shared" si="4"/>
        <v>238.36063977122203</v>
      </c>
      <c r="AM32" s="59">
        <f t="shared" si="5"/>
        <v>531.69397310455531</v>
      </c>
      <c r="AN32" s="59">
        <f ca="1">AVERAGE(OFFSET($AM$3,0,0,'Données projet'!$E$10+1,1))-AVERAGE(OFFSET($H$3,0,0,'Données projet'!$E$10+1,1))</f>
        <v>294.45857786714919</v>
      </c>
      <c r="AO32" s="59">
        <f t="shared" si="36"/>
        <v>221.9773436301067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209.83333333333329</v>
      </c>
      <c r="BE32" s="13">
        <f>BD32*VLOOKUP('Données projet'!$B$11,Paramètres!$A$1:$I$89,3,0)*VLOOKUP('Données projet'!$B$11,Paramètres!$A$1:$I$89,5,0)</f>
        <v>130.93599999999998</v>
      </c>
      <c r="BF32" s="13">
        <f t="shared" si="37"/>
        <v>34.21255106176632</v>
      </c>
      <c r="BG32" s="20">
        <f t="shared" si="7"/>
        <v>287.63372643257628</v>
      </c>
      <c r="BH32" s="59">
        <f t="shared" si="8"/>
        <v>580.96705976590965</v>
      </c>
      <c r="BI32" s="59">
        <f ca="1">AVERAGE(OFFSET($BH$3,0,0,'Données projet'!$E$11+1,1))-AVERAGE(OFFSET($H$3,0,0,'Données projet'!$E$11+1,1))</f>
        <v>179.44051550872138</v>
      </c>
      <c r="BJ32" s="59">
        <f t="shared" si="38"/>
        <v>272.9500808380069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30.086528840231878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30.086528840231878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9.1999999999999993</v>
      </c>
      <c r="BY32" s="12">
        <f>IF('Données projet'!$A$114&gt;35,BY31+BX32-CG31,IF(A32&lt;'Données projet'!$A$114,$BV$205^A32,IF(A32='Données projet'!$A$114,'Données projet'!$B$114,BY31+BX32-CG31)))</f>
        <v>208.7999999999999</v>
      </c>
      <c r="BZ32" s="13">
        <f>BY32*VLOOKUP('Données projet'!$B$12,Paramètres!$A$1:$I$89,3,0)*VLOOKUP('Données projet'!$B$12,Paramètres!$A$1:$I$89,5,0)</f>
        <v>97.71839999999996</v>
      </c>
      <c r="CA32" s="13">
        <f t="shared" si="39"/>
        <v>26.417709819192172</v>
      </c>
      <c r="CB32" s="20">
        <f t="shared" si="10"/>
        <v>216.20372460175963</v>
      </c>
      <c r="CC32" s="59">
        <f t="shared" si="11"/>
        <v>509.53705793509295</v>
      </c>
      <c r="CD32" s="59">
        <f ca="1">AVERAGE(OFFSET($CC$3,0,0,'Données projet'!$E$12+1,1))-AVERAGE(OFFSET($H$3,0,0,'Données projet'!$E$12+1,1))</f>
        <v>259.87681411271632</v>
      </c>
      <c r="CE32" s="59">
        <f t="shared" si="40"/>
        <v>191.8684235641158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8.480134114584402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8.480134114584402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11.8</v>
      </c>
      <c r="CT32" s="12">
        <f>IF('Données projet'!$A$140&gt;35,CT31+CS32-DB31,IF(A32&lt;'Données projet'!$A$140,$CQ$205^A32,IF(A32='Données projet'!$A$140,'Données projet'!$B$140,CT31+CS32-DB31)))</f>
        <v>106.19999999999997</v>
      </c>
      <c r="CU32" s="17">
        <f>CT32*VLOOKUP('Données projet'!$B$13,Paramètres!$A$1:$I$89,3,0)*VLOOKUP('Données projet'!$B$13,Paramètres!$A$1:$I$89,5,0)</f>
        <v>84.492719999999977</v>
      </c>
      <c r="CV32" s="13">
        <f t="shared" si="41"/>
        <v>23.232160029605769</v>
      </c>
      <c r="CW32" s="20">
        <f t="shared" si="13"/>
        <v>187.62083271822999</v>
      </c>
      <c r="CX32" s="59">
        <f t="shared" si="14"/>
        <v>480.95416605156333</v>
      </c>
      <c r="CY32" s="59">
        <f ca="1">AVERAGE(OFFSET($CX$3,0,0,'Données projet'!$E$13+1,1))-AVERAGE(OFFSET($H$3,0,0,'Données projet'!$E$13+1,1))</f>
        <v>198.11534486400666</v>
      </c>
      <c r="CZ32" s="59">
        <f t="shared" si="42"/>
        <v>174.29856796517652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5.4413553575366533</v>
      </c>
      <c r="DH32" s="21">
        <f>EXP(-LN(2)/2)*DH31+(1-EXP(-LN(2)/2))/(LN(2)/2)*DB32*DE32*VLOOKUP('Données projet'!$B$13,Paramètres!$A$1:$I$89,3,0)*0.475*44/12</f>
        <v>1.5458992105592713</v>
      </c>
      <c r="DI32" s="22">
        <f t="shared" si="15"/>
        <v>6.9872545680959242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2.6904761904761907</v>
      </c>
      <c r="DO32" s="12">
        <f>IF('Données projet'!$A$166&gt;35,DO31+DN32-DW31,IF(A32&lt;'Données projet'!$A$166,$DL$205^A32,IF(A32='Données projet'!$A$166,'Données projet'!$B$166,DO31+DN32-DW31)))</f>
        <v>78.023809523809518</v>
      </c>
      <c r="DP32" s="17">
        <f>DO32*VLOOKUP('Données projet'!$B$14,Paramètres!$A$1:$I$89,3,0)*VLOOKUP('Données projet'!$B$14,Paramètres!$A$1:$I$89,5,0)</f>
        <v>79.116142857142862</v>
      </c>
      <c r="DQ32" s="13">
        <f t="shared" si="43"/>
        <v>21.920936929103938</v>
      </c>
      <c r="DR32" s="20">
        <f t="shared" si="16"/>
        <v>175.97291396104652</v>
      </c>
      <c r="DS32" s="59">
        <f t="shared" si="17"/>
        <v>469.30624729437983</v>
      </c>
      <c r="DT32" s="59">
        <f ca="1">AVERAGE(OFFSET($DS$3,0,0,'Données projet'!$E$14+1,1))-AVERAGE(OFFSET($H$3,0,0,'Données projet'!$E$14+1,1))</f>
        <v>247.92503505485405</v>
      </c>
      <c r="DU32" s="59">
        <f t="shared" si="44"/>
        <v>148.26437652597514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2.6904761904761907</v>
      </c>
      <c r="EJ32" s="12">
        <f>IF('Données projet'!$A$192&gt;35,EJ31+EI32-ER31,IF(A32&lt;'Données projet'!$A$192,$EG$205^A32,IF(A32='Données projet'!$A$192,'Données projet'!$B$192,EJ31+EI32-ER31)))</f>
        <v>78.023809523809518</v>
      </c>
      <c r="EK32" s="17">
        <f>EJ32*VLOOKUP('Données projet'!$B$15,Paramètres!$A$1:$I$89,3,0)*VLOOKUP('Données projet'!$B$15,Paramètres!$A$1:$I$89,5,0)</f>
        <v>75.464628571428577</v>
      </c>
      <c r="EL32" s="13">
        <f t="shared" si="45"/>
        <v>21.024523775886216</v>
      </c>
      <c r="EM32" s="20">
        <f t="shared" si="19"/>
        <v>168.05194033823992</v>
      </c>
      <c r="EN32" s="59">
        <f t="shared" si="20"/>
        <v>461.38527367157326</v>
      </c>
      <c r="EO32" s="59">
        <f ca="1">AVERAGE(OFFSET($EN$3,0,0,'Données projet'!$E$15+1,1))-AVERAGE(OFFSET($H$3,0,0,'Données projet'!$E$15+1,1))</f>
        <v>232.99870507181964</v>
      </c>
      <c r="EP32" s="59">
        <f t="shared" si="46"/>
        <v>140.07662669226278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11.8</v>
      </c>
      <c r="FE32" s="12">
        <f>IF('Données projet'!$A$218&gt;35,FE31+FD32-FM31,IF(A32&lt;'Données projet'!$A$218,$FB$205^A32,IF(A32='Données projet'!$A$218,'Données projet'!$B$218,FE31+FD32-FM31)))</f>
        <v>106.19999999999997</v>
      </c>
      <c r="FF32" s="17">
        <f>FE32*VLOOKUP('Données projet'!$B$16,Paramètres!$A$1:$I$89,3,0)*VLOOKUP('Données projet'!$B$16,Paramètres!$A$1:$I$89,5,0)</f>
        <v>82.835999999999984</v>
      </c>
      <c r="FG32" s="13">
        <f t="shared" si="47"/>
        <v>22.829188748646001</v>
      </c>
      <c r="FH32" s="20">
        <f t="shared" si="22"/>
        <v>184.03353707055842</v>
      </c>
      <c r="FI32" s="59">
        <f t="shared" si="23"/>
        <v>477.36687040389177</v>
      </c>
      <c r="FJ32" s="59">
        <f ca="1">AVERAGE(OFFSET($FI$3,0,0,'Données projet'!$E$16+1,1))-AVERAGE(OFFSET($H$3,0,0,'Données projet'!$E$16+1,1))</f>
        <v>193.47609744163839</v>
      </c>
      <c r="FK32" s="59">
        <f t="shared" si="48"/>
        <v>170.3221892406973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</v>
      </c>
      <c r="FR32" s="21">
        <f>EXP(-LN(2)/25)*FR31+(1-EXP(-LN(2)/25))/(LN(2)/25)*Calculateur!FM32*Calculateur!FO32*VLOOKUP('Données projet'!$B$16,Paramètres!$A$1:$I$89,3,0)*0.475*44/12</f>
        <v>4.3281220934901246</v>
      </c>
      <c r="FS32" s="21">
        <f>EXP(-LN(2)/2)*FS31+(1-EXP(-LN(2)/2))/(LN(2)/2)*FM32*FP32*VLOOKUP('Données projet'!$B$16,Paramètres!$A$1:$I$89,3,0)*0.475*44/12</f>
        <v>1.5155874613326192</v>
      </c>
      <c r="FT32" s="22">
        <f t="shared" si="24"/>
        <v>5.8437095548227438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14.166666666666666</v>
      </c>
      <c r="FZ32" s="12">
        <f>IF('Données projet'!$A$244&gt;35,FZ31+FY32-GH31,IF(A32&lt;'Données projet'!$A$244,$FW$205^A32,IF(A32='Données projet'!$A$244,'Données projet'!$B$244,FZ31+FY32-GH31)))</f>
        <v>209.83333333333329</v>
      </c>
      <c r="GA32" s="17">
        <f>FZ32*VLOOKUP('Données projet'!$B$17,Paramètres!$A$1:$I$89,3,0)*VLOOKUP('Données projet'!$B$17,Paramètres!$A$1:$I$89,5,0)</f>
        <v>114.56899999999997</v>
      </c>
      <c r="GB32" s="13">
        <f t="shared" si="49"/>
        <v>30.404913642600647</v>
      </c>
      <c r="GC32" s="20">
        <f t="shared" si="25"/>
        <v>252.49623292752941</v>
      </c>
      <c r="GD32" s="59">
        <f t="shared" si="26"/>
        <v>545.82956626086275</v>
      </c>
      <c r="GE32" s="59">
        <f ca="1">AVERAGE(OFFSET($GD$3,0,0,'Données projet'!$E$17+1,1))-AVERAGE(OFFSET($H$3,0,0,'Données projet'!$E$17+1,1))</f>
        <v>153.43773674911449</v>
      </c>
      <c r="GF32" s="59">
        <f t="shared" si="50"/>
        <v>235.49395036616602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26.325712735202899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26.325712735202899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11.8</v>
      </c>
      <c r="GU32" s="12">
        <f>IF('Données projet'!$A$270&gt;35,GU31+GT32-HC31,IF(A32&lt;'Données projet'!$A$270,$GR$205^A32,IF(A32='Données projet'!$A$270,'Données projet'!$B$270,GU31+GT32-HC31)))</f>
        <v>106.19999999999997</v>
      </c>
      <c r="GV32" s="17">
        <f>GU32*VLOOKUP('Données projet'!$B$18,Paramètres!$A$1:$I$89,3,0)*VLOOKUP('Données projet'!$B$18,Paramètres!$A$1:$I$89,5,0)</f>
        <v>84.492719999999977</v>
      </c>
      <c r="GW32" s="13">
        <f t="shared" si="51"/>
        <v>23.232160029605769</v>
      </c>
      <c r="GX32" s="20">
        <f t="shared" si="28"/>
        <v>187.62083271822999</v>
      </c>
      <c r="GY32" s="59">
        <f t="shared" si="29"/>
        <v>480.95416605156333</v>
      </c>
      <c r="GZ32" s="59">
        <f ca="1">AVERAGE(OFFSET($GY$3,0,0,'Données projet'!$E$18+1,1))-AVERAGE(OFFSET($H$3,0,0,'Données projet'!$E$18+1,1))</f>
        <v>198.11534486400666</v>
      </c>
      <c r="HA32" s="59">
        <f t="shared" si="52"/>
        <v>174.29856796517652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>
        <f>EXP(-LN(2)/35)*HG31+(1-EXP(-LN(2)/35))/(LN(2)/35)*HC32*HD32*VLOOKUP('Données projet'!$B$18,Paramètres!$A$1:$I$89,3,0)*0.475*44/12</f>
        <v>0</v>
      </c>
      <c r="HH32" s="21">
        <f>EXP(-LN(2)/25)*HH31+(1-EXP(-LN(2)/25))/(LN(2)/25)*Calculateur!HC32*Calculateur!HE32*VLOOKUP('Données projet'!$B$18,Paramètres!$A$1:$I$89,3,0)*0.475*44/12</f>
        <v>5.4413553575366533</v>
      </c>
      <c r="HI32" s="21">
        <f>EXP(-LN(2)/2)*HI31+(1-EXP(-LN(2)/2))/(LN(2)/2)*HC32*HF32*VLOOKUP('Données projet'!$B$18,Paramètres!$A$1:$I$89,3,0)*0.475*44/12</f>
        <v>1.5458992105592713</v>
      </c>
      <c r="HJ32" s="22">
        <f t="shared" si="30"/>
        <v>6.9872545680959242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156</v>
      </c>
      <c r="L33" s="12">
        <f>VLOOKUP(A33,'Données projet'!$A$35:$I$55,9,0)</f>
        <v>10</v>
      </c>
      <c r="M33" s="12">
        <f t="array" ref="M33">INDEX(L:L,MIN(IF(ISNUMBER(L33:L229),ROW(L33:L229),"")))</f>
        <v>10</v>
      </c>
      <c r="N33" s="13">
        <f>IF('Données projet'!$A$36&gt;35,N32+M33-V32,IF(A33&lt;'Données projet'!$A$36,$K$205^A33,IF(A33='Données projet'!$A$36,'Données projet'!$B$36,N32+M33-V32)))</f>
        <v>156</v>
      </c>
      <c r="O33" s="13">
        <f>N33*VLOOKUP('Données projet'!$B$9,Paramètres!$A$1:$I$89,3,0)*VLOOKUP('Données projet'!$B$9,Paramètres!$A$1:$I$89,5,0)</f>
        <v>93.288000000000011</v>
      </c>
      <c r="P33" s="13">
        <f t="shared" si="33"/>
        <v>25.356547829040977</v>
      </c>
      <c r="Q33" s="20">
        <f t="shared" si="2"/>
        <v>206.63925413557971</v>
      </c>
      <c r="R33" s="59">
        <f t="shared" si="0"/>
        <v>499.97258746891305</v>
      </c>
      <c r="S33" s="59">
        <f ca="1">AVERAGE(OFFSET($R$3,0,0,'Données projet'!$E$9+1,1))-AVERAGE(OFFSET($H$3,0,0,'Données projet'!$E$9+1,1))</f>
        <v>295.19075440119076</v>
      </c>
      <c r="T33" s="59">
        <f t="shared" si="34"/>
        <v>173.0182327988216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12</v>
      </c>
      <c r="W33" s="16">
        <f>IF(ISNA(VLOOKUP(A33,'Données projet'!$A$35:$I$55,5,0)),0%,VLOOKUP(A33,'Données projet'!$A$35:$I$55,5,0)*VLOOKUP('Données projet'!$B$9,Paramètres!$A$1:$I$89,7,0))</f>
        <v>4.5000000000000005E-2</v>
      </c>
      <c r="X33" s="16">
        <f>IF(ISNA(VLOOKUP(A33,'Données projet'!$A$35:$I$55,6,0)),0%,VLOOKUP(A33,'Données projet'!$A$35:$I$55,6,0)*VLOOKUP('Données projet'!$B$9,Paramètres!$A$1:$I$89,7,0))</f>
        <v>0.40500000000000003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0.42837419395053639</v>
      </c>
      <c r="AA33" s="21">
        <f>EXP(-LN(2)/25)*AA32+(1-EXP(-LN(2)/25))/(LN(2)/25)*Calculateur!V33*Calculateur!X33*VLOOKUP('Données projet'!$B$9,Paramètres!$A$1:$I$89,3,0)*0.475*44/12</f>
        <v>3.8401876937302988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4.2685618876808356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194</v>
      </c>
      <c r="AG33" s="12">
        <f>VLOOKUP(A33,'Données projet'!$A$61:$I$81,9,0)</f>
        <v>13.4</v>
      </c>
      <c r="AH33" s="12">
        <f t="array" ref="AH33">INDEX(AG:AG,MIN(IF(ISNUMBER(AG33:AG229),ROW(AG33:AG229),"")))</f>
        <v>13.4</v>
      </c>
      <c r="AI33" s="13">
        <f>IF('Données projet'!$A$62&gt;35,AI32+AH33-AQ32,IF(A33&lt;'Données projet'!$A$62,$AF$205^A33,IF(A33='Données projet'!$A$62,'Données projet'!$B$62,AI32+AH33-AQ32)))</f>
        <v>194.00000000000006</v>
      </c>
      <c r="AJ33" s="13">
        <f>AI33*VLOOKUP('Données projet'!$B$10,Paramètres!$A$1:$I$89,3,0)*VLOOKUP('Données projet'!$B$10,Paramètres!$A$1:$I$89,5,0)</f>
        <v>116.01200000000003</v>
      </c>
      <c r="AK33" s="13">
        <f t="shared" si="35"/>
        <v>30.743042086238173</v>
      </c>
      <c r="AL33" s="20">
        <f t="shared" si="4"/>
        <v>255.59836496686489</v>
      </c>
      <c r="AM33" s="59">
        <f t="shared" si="5"/>
        <v>548.93169830019815</v>
      </c>
      <c r="AN33" s="59">
        <f ca="1">AVERAGE(OFFSET($AM$3,0,0,'Données projet'!$E$10+1,1))-AVERAGE(OFFSET($H$3,0,0,'Données projet'!$E$10+1,1))</f>
        <v>294.45857786714919</v>
      </c>
      <c r="AO33" s="59">
        <f t="shared" si="36"/>
        <v>221.9773436301067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34</v>
      </c>
      <c r="AR33" s="16">
        <f>IF(ISNA(VLOOKUP(A33,'Données projet'!$A$61:$I$81,5,0)),0%,VLOOKUP(A33,'Données projet'!$A$61:$I$81,5,0)*VLOOKUP('Données projet'!$B$10,Paramètres!$A$1:$I$89,7,0))</f>
        <v>4.5000000000000005E-2</v>
      </c>
      <c r="AS33" s="16">
        <f>IF(ISNA(VLOOKUP(A33,'Données projet'!$A$61:$I$81,6,0)),0%,VLOOKUP(A33,'Données projet'!$A$61:$I$81,6,0)*VLOOKUP('Données projet'!$B$10,Paramètres!$A$1:$I$89,7,0))</f>
        <v>0.40500000000000003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1.2137268828598531</v>
      </c>
      <c r="AV33" s="21">
        <f>EXP(-LN(2)/25)*AV32+(1-EXP(-LN(2)/25))/(LN(2)/25)*Calculateur!AQ33*Calculateur!AS33*VLOOKUP('Données projet'!$B$10,Paramètres!$A$1:$I$89,3,0)*0.475*44/12</f>
        <v>10.880531798902512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12.094258681762366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223.99999999999994</v>
      </c>
      <c r="BE33" s="13">
        <f>BD33*VLOOKUP('Données projet'!$B$11,Paramètres!$A$1:$I$89,3,0)*VLOOKUP('Données projet'!$B$11,Paramètres!$A$1:$I$89,5,0)</f>
        <v>139.77599999999995</v>
      </c>
      <c r="BF33" s="13">
        <f t="shared" si="37"/>
        <v>36.245685459195258</v>
      </c>
      <c r="BG33" s="20">
        <f t="shared" si="7"/>
        <v>306.57110217476503</v>
      </c>
      <c r="BH33" s="59">
        <f t="shared" si="8"/>
        <v>599.90443550809835</v>
      </c>
      <c r="BI33" s="59">
        <f ca="1">AVERAGE(OFFSET($BH$3,0,0,'Données projet'!$E$11+1,1))-AVERAGE(OFFSET($H$3,0,0,'Données projet'!$E$11+1,1))</f>
        <v>179.44051550872138</v>
      </c>
      <c r="BJ33" s="59">
        <f t="shared" si="38"/>
        <v>272.9500808380069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0.06</v>
      </c>
      <c r="BN33" s="16">
        <f>IF(ISNA(VLOOKUP(A33,'Données projet'!$A$87:$I$107,6,0)),0%,VLOOKUP(A33,'Données projet'!$A$87:$I$107,6,0)*VLOOKUP('Données projet'!$B$11,Paramètres!$A$1:$I$89,7,0))</f>
        <v>0.54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2.6323283802177886</v>
      </c>
      <c r="BQ33" s="21">
        <f>EXP(-LN(2)/25)*BQ32+(1-EXP(-LN(2)/25))/(LN(2)/25)*Calculateur!BL33*Calculateur!BN33*VLOOKUP('Données projet'!$B$11,Paramètres!$A$1:$I$89,3,0)*0.475*44/12</f>
        <v>52.861486230416077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55.493814610633862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218</v>
      </c>
      <c r="BW33" s="12">
        <f>VLOOKUP(A33,'Données projet'!$A$113:$I$133,9,0)</f>
        <v>9.1999999999999993</v>
      </c>
      <c r="BX33" s="12">
        <f t="array" ref="BX33">INDEX(BW:BW,MIN(IF(ISNUMBER(BW33:BW229),ROW(BW33:BW229),"")))</f>
        <v>9.1999999999999993</v>
      </c>
      <c r="BY33" s="12">
        <f>IF('Données projet'!$A$114&gt;35,BY32+BX33-CG32,IF(A33&lt;'Données projet'!$A$114,$BV$205^A33,IF(A33='Données projet'!$A$114,'Données projet'!$B$114,BY32+BX33-CG32)))</f>
        <v>217.99999999999989</v>
      </c>
      <c r="BZ33" s="13">
        <f>BY33*VLOOKUP('Données projet'!$B$12,Paramètres!$A$1:$I$89,3,0)*VLOOKUP('Données projet'!$B$12,Paramètres!$A$1:$I$89,5,0)</f>
        <v>102.02399999999996</v>
      </c>
      <c r="CA33" s="13">
        <f t="shared" si="39"/>
        <v>27.443623866530572</v>
      </c>
      <c r="CB33" s="20">
        <f t="shared" si="10"/>
        <v>225.48944490087396</v>
      </c>
      <c r="CC33" s="59">
        <f t="shared" si="11"/>
        <v>518.82277823420725</v>
      </c>
      <c r="CD33" s="59">
        <f ca="1">AVERAGE(OFFSET($CC$3,0,0,'Données projet'!$E$12+1,1))-AVERAGE(OFFSET($H$3,0,0,'Données projet'!$E$12+1,1))</f>
        <v>259.87681411271632</v>
      </c>
      <c r="CE33" s="59">
        <f t="shared" si="40"/>
        <v>191.8684235641158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44</v>
      </c>
      <c r="CH33" s="16">
        <f>IF(ISNA(VLOOKUP(A33,'Données projet'!$A$113:$I$133,5,0)),0%,VLOOKUP(A33,'Données projet'!$A$113:$I$133,5,0)*VLOOKUP('Données projet'!$B$12,Paramètres!$A$1:$I$89,7,0))</f>
        <v>5.5000000000000007E-2</v>
      </c>
      <c r="CI33" s="16">
        <f>IF(ISNA(VLOOKUP(A33,'Données projet'!$A$113:$I$133,6,0)),0%,VLOOKUP(A33,'Données projet'!$A$113:$I$133,6,0)*VLOOKUP('Données projet'!$B$12,Paramètres!$A$1:$I$89,7,0))</f>
        <v>0.49500000000000005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1.5024138396526059</v>
      </c>
      <c r="CL33" s="21">
        <f>EXP(-LN(2)/25)*CL32+(1-EXP(-LN(2)/25))/(LN(2)/25)*Calculateur!CG33*Calculateur!CI33*VLOOKUP('Données projet'!$B$12,Paramètres!$A$1:$I$89,3,0)*0.475*44/12</f>
        <v>21.716728776382283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23.219142616034887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118</v>
      </c>
      <c r="CR33" s="12">
        <f>VLOOKUP(A33,'Données projet'!$A$139:$I$159,9,0)</f>
        <v>11.8</v>
      </c>
      <c r="CS33" s="12">
        <f t="array" ref="CS33">INDEX(CR:CR,MIN(IF(ISNUMBER(CR33:CR229),ROW(CR33:CR229),"")))</f>
        <v>11.8</v>
      </c>
      <c r="CT33" s="12">
        <f>IF('Données projet'!$A$140&gt;35,CT32+CS33-DB32,IF(A33&lt;'Données projet'!$A$140,$CQ$205^A33,IF(A33='Données projet'!$A$140,'Données projet'!$B$140,CT32+CS33-DB32)))</f>
        <v>117.99999999999997</v>
      </c>
      <c r="CU33" s="17">
        <f>CT33*VLOOKUP('Données projet'!$B$13,Paramètres!$A$1:$I$89,3,0)*VLOOKUP('Données projet'!$B$13,Paramètres!$A$1:$I$89,5,0)</f>
        <v>93.880799999999979</v>
      </c>
      <c r="CV33" s="13">
        <f t="shared" si="41"/>
        <v>25.498868498718462</v>
      </c>
      <c r="CW33" s="20">
        <f t="shared" si="13"/>
        <v>207.91958930193462</v>
      </c>
      <c r="CX33" s="59">
        <f t="shared" si="14"/>
        <v>501.25292263526796</v>
      </c>
      <c r="CY33" s="59">
        <f ca="1">AVERAGE(OFFSET($CX$3,0,0,'Données projet'!$E$13+1,1))-AVERAGE(OFFSET($H$3,0,0,'Données projet'!$E$13+1,1))</f>
        <v>198.11534486400666</v>
      </c>
      <c r="CZ33" s="59">
        <f t="shared" si="42"/>
        <v>174.29856796517652</v>
      </c>
      <c r="DA33" s="15">
        <f>IF(ISNA(VLOOKUP(A33,'Données projet'!$A$139:$I$159,3,0)),0,VLOOKUP(A33,'Données projet'!$A$139:$I$159,3,0))</f>
        <v>3</v>
      </c>
      <c r="DB33" s="15">
        <f>IF(ISNA(VLOOKUP(A33,'Données projet'!$A$139:$I$159,4,0)),0,VLOOKUP(A33,'Données projet'!$A$139:$I$159,4,0))</f>
        <v>28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8.5427039606603898</v>
      </c>
      <c r="DH33" s="21">
        <f>EXP(-LN(2)/2)*DH32+(1-EXP(-LN(2)/2))/(LN(2)/2)*DB33*DE33*VLOOKUP('Données projet'!$B$13,Paramètres!$A$1:$I$89,3,0)*0.475*44/12</f>
        <v>6.3478059076377198</v>
      </c>
      <c r="DI33" s="22">
        <f t="shared" si="15"/>
        <v>14.890509868298111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2.6904761904761907</v>
      </c>
      <c r="DO33" s="12">
        <f>IF('Données projet'!$A$166&gt;35,DO32+DN33-DW32,IF(A33&lt;'Données projet'!$A$166,$DL$205^A33,IF(A33='Données projet'!$A$166,'Données projet'!$B$166,DO32+DN33-DW32)))</f>
        <v>80.714285714285708</v>
      </c>
      <c r="DP33" s="17">
        <f>DO33*VLOOKUP('Données projet'!$B$14,Paramètres!$A$1:$I$89,3,0)*VLOOKUP('Données projet'!$B$14,Paramètres!$A$1:$I$89,5,0)</f>
        <v>81.844285714285718</v>
      </c>
      <c r="DQ33" s="13">
        <f t="shared" si="43"/>
        <v>22.587521671015683</v>
      </c>
      <c r="DR33" s="20">
        <f t="shared" si="16"/>
        <v>181.88539786273327</v>
      </c>
      <c r="DS33" s="59">
        <f t="shared" si="17"/>
        <v>475.21873119606659</v>
      </c>
      <c r="DT33" s="59">
        <f ca="1">AVERAGE(OFFSET($DS$3,0,0,'Données projet'!$E$14+1,1))-AVERAGE(OFFSET($H$3,0,0,'Données projet'!$E$14+1,1))</f>
        <v>247.92503505485405</v>
      </c>
      <c r="DU33" s="59">
        <f t="shared" si="44"/>
        <v>148.26437652597514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2.6904761904761907</v>
      </c>
      <c r="EJ33" s="12">
        <f>IF('Données projet'!$A$192&gt;35,EJ32+EI33-ER32,IF(A33&lt;'Données projet'!$A$192,$EG$205^A33,IF(A33='Données projet'!$A$192,'Données projet'!$B$192,EJ32+EI33-ER32)))</f>
        <v>80.714285714285708</v>
      </c>
      <c r="EK33" s="17">
        <f>EJ33*VLOOKUP('Données projet'!$B$15,Paramètres!$A$1:$I$89,3,0)*VLOOKUP('Données projet'!$B$15,Paramètres!$A$1:$I$89,5,0)</f>
        <v>78.066857142857131</v>
      </c>
      <c r="EL33" s="13">
        <f t="shared" si="45"/>
        <v>21.663849859451528</v>
      </c>
      <c r="EM33" s="20">
        <f t="shared" si="19"/>
        <v>173.69764802902091</v>
      </c>
      <c r="EN33" s="59">
        <f t="shared" si="20"/>
        <v>467.03098136235423</v>
      </c>
      <c r="EO33" s="59">
        <f ca="1">AVERAGE(OFFSET($EN$3,0,0,'Données projet'!$E$15+1,1))-AVERAGE(OFFSET($H$3,0,0,'Données projet'!$E$15+1,1))</f>
        <v>232.99870507181964</v>
      </c>
      <c r="EP33" s="59">
        <f t="shared" si="46"/>
        <v>140.07662669226278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118</v>
      </c>
      <c r="FC33" s="12">
        <f>VLOOKUP(A33,'Données projet'!$A$217:$I$237,9,0)</f>
        <v>11.8</v>
      </c>
      <c r="FD33" s="12">
        <f t="array" ref="FD33">INDEX(FC:FC,MIN(IF(ISNUMBER(FC33:FC229),ROW(FC33:FC229),"")))</f>
        <v>11.8</v>
      </c>
      <c r="FE33" s="12">
        <f>IF('Données projet'!$A$218&gt;35,FE32+FD33-FM32,IF(A33&lt;'Données projet'!$A$218,$FB$205^A33,IF(A33='Données projet'!$A$218,'Données projet'!$B$218,FE32+FD33-FM32)))</f>
        <v>117.99999999999997</v>
      </c>
      <c r="FF33" s="17">
        <f>FE33*VLOOKUP('Données projet'!$B$16,Paramètres!$A$1:$I$89,3,0)*VLOOKUP('Données projet'!$B$16,Paramètres!$A$1:$I$89,5,0)</f>
        <v>92.039999999999978</v>
      </c>
      <c r="FG33" s="13">
        <f t="shared" si="47"/>
        <v>25.056580235859606</v>
      </c>
      <c r="FH33" s="20">
        <f t="shared" si="22"/>
        <v>203.94321057745546</v>
      </c>
      <c r="FI33" s="59">
        <f t="shared" si="23"/>
        <v>497.27654391078875</v>
      </c>
      <c r="FJ33" s="59">
        <f ca="1">AVERAGE(OFFSET($FI$3,0,0,'Données projet'!$E$16+1,1))-AVERAGE(OFFSET($H$3,0,0,'Données projet'!$E$16+1,1))</f>
        <v>193.47609744163839</v>
      </c>
      <c r="FK33" s="59">
        <f t="shared" si="48"/>
        <v>170.3221892406973</v>
      </c>
      <c r="FL33" s="15">
        <f>IF(ISNA(VLOOKUP(A33,'Données projet'!$A$217:$I$237,3,0)),0,VLOOKUP(A33,'Données projet'!$A$217:$I$237,3,0))</f>
        <v>3</v>
      </c>
      <c r="FM33" s="15">
        <f>IF(ISNA(VLOOKUP(A33,'Données projet'!$A$217:$I$237,4,0)),0,VLOOKUP(A33,'Données projet'!$A$217:$I$237,4,0))</f>
        <v>28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0.1075</v>
      </c>
      <c r="FP33" s="16">
        <f>IF(ISNA(VLOOKUP(A33,'Données projet'!$A$217:$I$237,7,0)),0%,VLOOKUP(A33,'Données projet'!$A$217:$I$237,7,0))</f>
        <v>0.25</v>
      </c>
      <c r="FQ33" s="21">
        <f>EXP(-LN(2)/35)*FQ32+(1-EXP(-LN(2)/35))/(LN(2)/35)*FM33*FN33*VLOOKUP('Données projet'!$B$16,Paramètres!$A$1:$I$89,3,0)*0.475*44/12</f>
        <v>0</v>
      </c>
      <c r="FR33" s="21">
        <f>EXP(-LN(2)/25)*FR32+(1-EXP(-LN(2)/25))/(LN(2)/25)*Calculateur!FM33*Calculateur!FO33*VLOOKUP('Données projet'!$B$16,Paramètres!$A$1:$I$89,3,0)*0.475*44/12</f>
        <v>6.7949735536144438</v>
      </c>
      <c r="FS33" s="21">
        <f>EXP(-LN(2)/2)*FS32+(1-EXP(-LN(2)/2))/(LN(2)/2)*FM33*FP33*VLOOKUP('Données projet'!$B$16,Paramètres!$A$1:$I$89,3,0)*0.475*44/12</f>
        <v>6.2233391251350199</v>
      </c>
      <c r="FT33" s="22">
        <f t="shared" si="24"/>
        <v>13.018312678749464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224</v>
      </c>
      <c r="FX33" s="12">
        <f>VLOOKUP(A33,'Données projet'!$A$243:$I$263,9,0)</f>
        <v>14.166666666666666</v>
      </c>
      <c r="FY33" s="12">
        <f t="array" ref="FY33">INDEX(FX:FX,MIN(IF(ISNUMBER(FX33:FX229),ROW(FX33:FX229),"")))</f>
        <v>14.166666666666666</v>
      </c>
      <c r="FZ33" s="12">
        <f>IF('Données projet'!$A$244&gt;35,FZ32+FY33-GH32,IF(A33&lt;'Données projet'!$A$244,$FW$205^A33,IF(A33='Données projet'!$A$244,'Données projet'!$B$244,FZ32+FY33-GH32)))</f>
        <v>223.99999999999994</v>
      </c>
      <c r="GA33" s="17">
        <f>FZ33*VLOOKUP('Données projet'!$B$17,Paramètres!$A$1:$I$89,3,0)*VLOOKUP('Données projet'!$B$17,Paramètres!$A$1:$I$89,5,0)</f>
        <v>122.30399999999996</v>
      </c>
      <c r="GB33" s="13">
        <f t="shared" si="49"/>
        <v>32.211773226559373</v>
      </c>
      <c r="GC33" s="20">
        <f t="shared" si="25"/>
        <v>269.11497170292415</v>
      </c>
      <c r="GD33" s="59">
        <f t="shared" si="26"/>
        <v>562.44830503625747</v>
      </c>
      <c r="GE33" s="59">
        <f ca="1">AVERAGE(OFFSET($GD$3,0,0,'Données projet'!$E$17+1,1))-AVERAGE(OFFSET($H$3,0,0,'Données projet'!$E$17+1,1))</f>
        <v>153.43773674911449</v>
      </c>
      <c r="GF33" s="59">
        <f t="shared" si="50"/>
        <v>235.49395036616602</v>
      </c>
      <c r="GG33" s="15">
        <f>IF(ISNA(VLOOKUP(A33,'Données projet'!$A$243:$I$263,3,0)),0,VLOOKUP(A33,'Données projet'!$A$243:$I$263,3,0))</f>
        <v>4</v>
      </c>
      <c r="GH33" s="15">
        <f>IF(ISNA(VLOOKUP(A33,'Données projet'!$A$243:$I$263,4,0)),0,VLOOKUP(A33,'Données projet'!$A$243:$I$263,4,0))</f>
        <v>53</v>
      </c>
      <c r="GI33" s="16">
        <f>IF(ISNA(VLOOKUP(A33,'Données projet'!$A$243:$I$263,5,0)),0%,VLOOKUP(A33,'Données projet'!$A$243:$I$263,5,0)*VLOOKUP('Données projet'!$B$17,Paramètres!$A$1:$I$89,7,0))</f>
        <v>0.06</v>
      </c>
      <c r="GJ33" s="16">
        <f>IF(ISNA(VLOOKUP(A33,'Données projet'!$A$243:$I$263,6,0)),0%,VLOOKUP(A33,'Données projet'!$A$243:$I$263,6,0)*VLOOKUP('Données projet'!$B$17,Paramètres!$A$1:$I$89,7,0))</f>
        <v>0.54</v>
      </c>
      <c r="GK33" s="16">
        <f>IF(ISNA(VLOOKUP(A33,'Données projet'!$A$243:$I$263,7,0)),0%,VLOOKUP(A33,'Données projet'!$A$243:$I$263,7,0))</f>
        <v>0</v>
      </c>
      <c r="GL33" s="21">
        <f>EXP(-LN(2)/35)*GL32+(1-EXP(-LN(2)/35))/(LN(2)/35)*GH33*GI33*VLOOKUP('Données projet'!$B$17,Paramètres!$A$1:$I$89,3,0)*0.475*44/12</f>
        <v>2.3032873326905645</v>
      </c>
      <c r="GM33" s="21">
        <f>EXP(-LN(2)/25)*GM32+(1-EXP(-LN(2)/25))/(LN(2)/25)*Calculateur!GH33*Calculateur!GJ33*VLOOKUP('Données projet'!$B$17,Paramètres!$A$1:$I$89,3,0)*0.475*44/12</f>
        <v>46.253800451614069</v>
      </c>
      <c r="GN33" s="21">
        <f>EXP(-LN(2)/2)*GN32+(1-EXP(-LN(2)/2))/(LN(2)/2)*GH33*GK33*VLOOKUP('Données projet'!$B$17,Paramètres!$A$1:$I$89,3,0)*0.475*44/12</f>
        <v>0</v>
      </c>
      <c r="GO33" s="21">
        <f t="shared" si="27"/>
        <v>48.557087784304635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>
        <f>VLOOKUP(A33,'Données projet'!$A$269:$I$289,2,0)</f>
        <v>118</v>
      </c>
      <c r="GS33" s="12">
        <f>VLOOKUP(A33,'Données projet'!$A$269:$I$289,9,0)</f>
        <v>11.8</v>
      </c>
      <c r="GT33" s="12">
        <f t="array" ref="GT33">INDEX(GS:GS,MIN(IF(ISNUMBER(GS33:GS229),ROW(GS33:GS229),"")))</f>
        <v>11.8</v>
      </c>
      <c r="GU33" s="12">
        <f>IF('Données projet'!$A$270&gt;35,GU32+GT33-HC32,IF(A33&lt;'Données projet'!$A$270,$GR$205^A33,IF(A33='Données projet'!$A$270,'Données projet'!$B$270,GU32+GT33-HC32)))</f>
        <v>117.99999999999997</v>
      </c>
      <c r="GV33" s="17">
        <f>GU33*VLOOKUP('Données projet'!$B$18,Paramètres!$A$1:$I$89,3,0)*VLOOKUP('Données projet'!$B$18,Paramètres!$A$1:$I$89,5,0)</f>
        <v>93.880799999999979</v>
      </c>
      <c r="GW33" s="13">
        <f t="shared" si="51"/>
        <v>25.498868498718462</v>
      </c>
      <c r="GX33" s="20">
        <f t="shared" si="28"/>
        <v>207.91958930193462</v>
      </c>
      <c r="GY33" s="59">
        <f t="shared" si="29"/>
        <v>501.25292263526796</v>
      </c>
      <c r="GZ33" s="59">
        <f ca="1">AVERAGE(OFFSET($GY$3,0,0,'Données projet'!$E$18+1,1))-AVERAGE(OFFSET($H$3,0,0,'Données projet'!$E$18+1,1))</f>
        <v>198.11534486400666</v>
      </c>
      <c r="HA33" s="59">
        <f t="shared" si="52"/>
        <v>174.29856796517652</v>
      </c>
      <c r="HB33" s="15">
        <f>IF(ISNA(VLOOKUP(A33,'Données projet'!$A$269:$I$289,3,0)),0,VLOOKUP(A33,'Données projet'!$A$269:$I$289,3,0))</f>
        <v>3</v>
      </c>
      <c r="HC33" s="15">
        <f>IF(ISNA(VLOOKUP(A33,'Données projet'!$A$269:$I$289,4,0)),0,VLOOKUP(A33,'Données projet'!$A$269:$I$289,4,0))</f>
        <v>28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0.13250000000000001</v>
      </c>
      <c r="HF33" s="16">
        <f>IF(ISNA(VLOOKUP(A33,'Données projet'!$A$269:$I$289,7,0)),0%,VLOOKUP(A33,'Données projet'!$A$269:$I$289,7,0))</f>
        <v>0.25</v>
      </c>
      <c r="HG33" s="21">
        <f>EXP(-LN(2)/35)*HG32+(1-EXP(-LN(2)/35))/(LN(2)/35)*HC33*HD33*VLOOKUP('Données projet'!$B$18,Paramètres!$A$1:$I$89,3,0)*0.475*44/12</f>
        <v>0</v>
      </c>
      <c r="HH33" s="21">
        <f>EXP(-LN(2)/25)*HH32+(1-EXP(-LN(2)/25))/(LN(2)/25)*Calculateur!HC33*Calculateur!HE33*VLOOKUP('Données projet'!$B$18,Paramètres!$A$1:$I$89,3,0)*0.475*44/12</f>
        <v>8.5427039606603898</v>
      </c>
      <c r="HI33" s="21">
        <f>EXP(-LN(2)/2)*HI32+(1-EXP(-LN(2)/2))/(LN(2)/2)*HC33*HF33*VLOOKUP('Données projet'!$B$18,Paramètres!$A$1:$I$89,3,0)*0.475*44/12</f>
        <v>6.3478059076377198</v>
      </c>
      <c r="HJ33" s="22">
        <f t="shared" si="30"/>
        <v>14.890509868298111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10.3</v>
      </c>
      <c r="N34" s="13">
        <f>IF('Données projet'!$A$36&gt;35,N33+M34-V33,IF(A34&lt;'Données projet'!$A$36,$K$205^A34,IF(A34='Données projet'!$A$36,'Données projet'!$B$36,N33+M34-V33)))</f>
        <v>154.30000000000001</v>
      </c>
      <c r="O34" s="13">
        <f>N34*VLOOKUP('Données projet'!$B$9,Paramètres!$A$1:$I$89,3,0)*VLOOKUP('Données projet'!$B$9,Paramètres!$A$1:$I$89,5,0)</f>
        <v>92.271400000000014</v>
      </c>
      <c r="P34" s="13">
        <f t="shared" si="33"/>
        <v>25.112234796315317</v>
      </c>
      <c r="Q34" s="20">
        <f t="shared" si="2"/>
        <v>204.44316393691588</v>
      </c>
      <c r="R34" s="59">
        <f t="shared" si="0"/>
        <v>497.77649727024919</v>
      </c>
      <c r="S34" s="59">
        <f ca="1">AVERAGE(OFFSET($R$3,0,0,'Données projet'!$E$9+1,1))-AVERAGE(OFFSET($H$3,0,0,'Données projet'!$E$9+1,1))</f>
        <v>295.19075440119076</v>
      </c>
      <c r="T34" s="59">
        <f t="shared" si="34"/>
        <v>173.0182327988216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0.41997403728962518</v>
      </c>
      <c r="AA34" s="21">
        <f>EXP(-LN(2)/25)*AA33+(1-EXP(-LN(2)/25))/(LN(2)/25)*Calculateur!V34*Calculateur!X34*VLOOKUP('Données projet'!$B$9,Paramètres!$A$1:$I$89,3,0)*0.475*44/12</f>
        <v>3.7351775592985499</v>
      </c>
      <c r="AB34" s="21">
        <f>EXP(-LN(2)/2)*AB33+(1-EXP(-LN(2)/2))/(LN(2)/2)*V34*Y34*VLOOKUP('Données projet'!$B$9,Paramètres!$A$1:$I$89,3,0)*0.475*44/12</f>
        <v>0</v>
      </c>
      <c r="AC34" s="22">
        <f t="shared" si="3"/>
        <v>4.1551515965881753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14.6</v>
      </c>
      <c r="AI34" s="13">
        <f>IF('Données projet'!$A$62&gt;35,AI33+AH34-AQ33,IF(A34&lt;'Données projet'!$A$62,$AF$205^A34,IF(A34='Données projet'!$A$62,'Données projet'!$B$62,AI33+AH34-AQ33)))</f>
        <v>174.60000000000005</v>
      </c>
      <c r="AJ34" s="13">
        <f>AI34*VLOOKUP('Données projet'!$B$10,Paramètres!$A$1:$I$89,3,0)*VLOOKUP('Données projet'!$B$10,Paramètres!$A$1:$I$89,5,0)</f>
        <v>104.41080000000004</v>
      </c>
      <c r="AK34" s="13">
        <f t="shared" si="35"/>
        <v>28.010155571424168</v>
      </c>
      <c r="AL34" s="20">
        <f t="shared" si="4"/>
        <v>230.63316428689714</v>
      </c>
      <c r="AM34" s="59">
        <f t="shared" si="5"/>
        <v>523.96649762023048</v>
      </c>
      <c r="AN34" s="59">
        <f ca="1">AVERAGE(OFFSET($AM$3,0,0,'Données projet'!$E$10+1,1))-AVERAGE(OFFSET($H$3,0,0,'Données projet'!$E$10+1,1))</f>
        <v>294.45857786714919</v>
      </c>
      <c r="AO34" s="59">
        <f t="shared" si="36"/>
        <v>221.9773436301067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1.1899264389872712</v>
      </c>
      <c r="AV34" s="21">
        <f>EXP(-LN(2)/25)*AV33+(1-EXP(-LN(2)/25))/(LN(2)/25)*Calculateur!AQ34*Calculateur!AS34*VLOOKUP('Données projet'!$B$10,Paramètres!$A$1:$I$89,3,0)*0.475*44/12</f>
        <v>10.583003084679223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11.772929523666495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183.83333333333329</v>
      </c>
      <c r="BE34" s="13">
        <f>BD34*VLOOKUP('Données projet'!$B$11,Paramètres!$A$1:$I$89,3,0)*VLOOKUP('Données projet'!$B$11,Paramètres!$A$1:$I$89,5,0)</f>
        <v>114.71199999999997</v>
      </c>
      <c r="BF34" s="13">
        <f t="shared" si="37"/>
        <v>30.438443898016164</v>
      </c>
      <c r="BG34" s="20">
        <f t="shared" si="7"/>
        <v>252.80368978904474</v>
      </c>
      <c r="BH34" s="59">
        <f t="shared" si="8"/>
        <v>546.13702312237808</v>
      </c>
      <c r="BI34" s="59">
        <f ca="1">AVERAGE(OFFSET($BH$3,0,0,'Données projet'!$E$11+1,1))-AVERAGE(OFFSET($H$3,0,0,'Données projet'!$E$11+1,1))</f>
        <v>179.44051550872138</v>
      </c>
      <c r="BJ34" s="59">
        <f t="shared" si="38"/>
        <v>272.9500808380069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2.5807100262434934</v>
      </c>
      <c r="BQ34" s="21">
        <f>EXP(-LN(2)/25)*BQ33+(1-EXP(-LN(2)/25))/(LN(2)/25)*Calculateur!BL34*Calculateur!BN34*VLOOKUP('Données projet'!$B$11,Paramètres!$A$1:$I$89,3,0)*0.475*44/12</f>
        <v>51.415986109580608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53.996696135824102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10.1</v>
      </c>
      <c r="BY34" s="12">
        <f>IF('Données projet'!$A$114&gt;35,BY33+BX34-CG33,IF(A34&lt;'Données projet'!$A$114,$BV$205^A34,IF(A34='Données projet'!$A$114,'Données projet'!$B$114,BY33+BX34-CG33)))</f>
        <v>184.09999999999988</v>
      </c>
      <c r="BZ34" s="13">
        <f>BY34*VLOOKUP('Données projet'!$B$12,Paramètres!$A$1:$I$89,3,0)*VLOOKUP('Données projet'!$B$12,Paramètres!$A$1:$I$89,5,0)</f>
        <v>86.158799999999943</v>
      </c>
      <c r="CA34" s="13">
        <f t="shared" si="39"/>
        <v>23.636481485559017</v>
      </c>
      <c r="CB34" s="20">
        <f t="shared" si="10"/>
        <v>191.22678192068182</v>
      </c>
      <c r="CC34" s="59">
        <f t="shared" si="11"/>
        <v>484.56011525401516</v>
      </c>
      <c r="CD34" s="59">
        <f ca="1">AVERAGE(OFFSET($CC$3,0,0,'Données projet'!$E$12+1,1))-AVERAGE(OFFSET($H$3,0,0,'Données projet'!$E$12+1,1))</f>
        <v>259.87681411271632</v>
      </c>
      <c r="CE34" s="59">
        <f t="shared" si="40"/>
        <v>191.8684235641158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1.4729524206389752</v>
      </c>
      <c r="CL34" s="21">
        <f>EXP(-LN(2)/25)*CL33+(1-EXP(-LN(2)/25))/(LN(2)/25)*Calculateur!CG34*Calculateur!CI34*VLOOKUP('Données projet'!$B$12,Paramètres!$A$1:$I$89,3,0)*0.475*44/12</f>
        <v>21.122883685958978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22.595836106597954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10.8</v>
      </c>
      <c r="CT34" s="12">
        <f>IF('Données projet'!$A$140&gt;35,CT33+CS34-DB33,IF(A34&lt;'Données projet'!$A$140,$CQ$205^A34,IF(A34='Données projet'!$A$140,'Données projet'!$B$140,CT33+CS34-DB33)))</f>
        <v>100.79999999999998</v>
      </c>
      <c r="CU34" s="17">
        <f>CT34*VLOOKUP('Données projet'!$B$13,Paramètres!$A$1:$I$89,3,0)*VLOOKUP('Données projet'!$B$13,Paramètres!$A$1:$I$89,5,0)</f>
        <v>80.196479999999994</v>
      </c>
      <c r="CV34" s="13">
        <f t="shared" si="41"/>
        <v>22.185217649516314</v>
      </c>
      <c r="CW34" s="20">
        <f t="shared" si="13"/>
        <v>178.31479007290758</v>
      </c>
      <c r="CX34" s="59">
        <f t="shared" si="14"/>
        <v>471.64812340624087</v>
      </c>
      <c r="CY34" s="59">
        <f ca="1">AVERAGE(OFFSET($CX$3,0,0,'Données projet'!$E$13+1,1))-AVERAGE(OFFSET($H$3,0,0,'Données projet'!$E$13+1,1))</f>
        <v>198.11534486400666</v>
      </c>
      <c r="CZ34" s="59">
        <f t="shared" si="42"/>
        <v>174.29856796517652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8.3091032716148554</v>
      </c>
      <c r="DH34" s="21">
        <f>EXP(-LN(2)/2)*DH33+(1-EXP(-LN(2)/2))/(LN(2)/2)*DB34*DE34*VLOOKUP('Données projet'!$B$13,Paramètres!$A$1:$I$89,3,0)*0.475*44/12</f>
        <v>4.4885766029466589</v>
      </c>
      <c r="DI34" s="22">
        <f t="shared" si="15"/>
        <v>12.797679874561513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2.6904761904761907</v>
      </c>
      <c r="DO34" s="12">
        <f>IF('Données projet'!$A$166&gt;35,DO33+DN34-DW33,IF(A34&lt;'Données projet'!$A$166,$DL$205^A34,IF(A34='Données projet'!$A$166,'Données projet'!$B$166,DO33+DN34-DW33)))</f>
        <v>83.404761904761898</v>
      </c>
      <c r="DP34" s="17">
        <f>DO34*VLOOKUP('Données projet'!$B$14,Paramètres!$A$1:$I$89,3,0)*VLOOKUP('Données projet'!$B$14,Paramètres!$A$1:$I$89,5,0)</f>
        <v>84.572428571428574</v>
      </c>
      <c r="DQ34" s="13">
        <f t="shared" si="43"/>
        <v>23.251524570061715</v>
      </c>
      <c r="DR34" s="20">
        <f t="shared" si="16"/>
        <v>187.79338505476224</v>
      </c>
      <c r="DS34" s="59">
        <f t="shared" si="17"/>
        <v>481.12671838809558</v>
      </c>
      <c r="DT34" s="59">
        <f ca="1">AVERAGE(OFFSET($DS$3,0,0,'Données projet'!$E$14+1,1))-AVERAGE(OFFSET($H$3,0,0,'Données projet'!$E$14+1,1))</f>
        <v>247.92503505485405</v>
      </c>
      <c r="DU34" s="59">
        <f t="shared" si="44"/>
        <v>148.26437652597514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2.6904761904761907</v>
      </c>
      <c r="EJ34" s="12">
        <f>IF('Données projet'!$A$192&gt;35,EJ33+EI34-ER33,IF(A34&lt;'Données projet'!$A$192,$EG$205^A34,IF(A34='Données projet'!$A$192,'Données projet'!$B$192,EJ33+EI34-ER33)))</f>
        <v>83.404761904761898</v>
      </c>
      <c r="EK34" s="17">
        <f>EJ34*VLOOKUP('Données projet'!$B$15,Paramètres!$A$1:$I$89,3,0)*VLOOKUP('Données projet'!$B$15,Paramètres!$A$1:$I$89,5,0)</f>
        <v>80.669085714285714</v>
      </c>
      <c r="EL34" s="13">
        <f t="shared" si="45"/>
        <v>22.300699679484339</v>
      </c>
      <c r="EM34" s="20">
        <f t="shared" si="19"/>
        <v>179.33904289414951</v>
      </c>
      <c r="EN34" s="59">
        <f t="shared" si="20"/>
        <v>472.6723762274828</v>
      </c>
      <c r="EO34" s="59">
        <f ca="1">AVERAGE(OFFSET($EN$3,0,0,'Données projet'!$E$15+1,1))-AVERAGE(OFFSET($H$3,0,0,'Données projet'!$E$15+1,1))</f>
        <v>232.99870507181964</v>
      </c>
      <c r="EP34" s="59">
        <f t="shared" si="46"/>
        <v>140.07662669226278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10.8</v>
      </c>
      <c r="FE34" s="12">
        <f>IF('Données projet'!$A$218&gt;35,FE33+FD34-FM33,IF(A34&lt;'Données projet'!$A$218,$FB$205^A34,IF(A34='Données projet'!$A$218,'Données projet'!$B$218,FE33+FD34-FM33)))</f>
        <v>100.79999999999998</v>
      </c>
      <c r="FF34" s="17">
        <f>FE34*VLOOKUP('Données projet'!$B$16,Paramètres!$A$1:$I$89,3,0)*VLOOKUP('Données projet'!$B$16,Paramètres!$A$1:$I$89,5,0)</f>
        <v>78.623999999999995</v>
      </c>
      <c r="FG34" s="13">
        <f t="shared" si="47"/>
        <v>21.800406010684444</v>
      </c>
      <c r="FH34" s="20">
        <f t="shared" si="22"/>
        <v>174.90584046860872</v>
      </c>
      <c r="FI34" s="59">
        <f t="shared" si="23"/>
        <v>468.239173801942</v>
      </c>
      <c r="FJ34" s="59">
        <f ca="1">AVERAGE(OFFSET($FI$3,0,0,'Données projet'!$E$16+1,1))-AVERAGE(OFFSET($H$3,0,0,'Données projet'!$E$16+1,1))</f>
        <v>193.47609744163839</v>
      </c>
      <c r="FK34" s="59">
        <f t="shared" si="48"/>
        <v>170.3221892406973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</v>
      </c>
      <c r="FR34" s="21">
        <f>EXP(-LN(2)/25)*FR33+(1-EXP(-LN(2)/25))/(LN(2)/25)*Calculateur!FM34*Calculateur!FO34*VLOOKUP('Données projet'!$B$16,Paramètres!$A$1:$I$89,3,0)*0.475*44/12</f>
        <v>6.609164644458728</v>
      </c>
      <c r="FS34" s="21">
        <f>EXP(-LN(2)/2)*FS33+(1-EXP(-LN(2)/2))/(LN(2)/2)*FM34*FP34*VLOOKUP('Données projet'!$B$16,Paramètres!$A$1:$I$89,3,0)*0.475*44/12</f>
        <v>4.400565297006529</v>
      </c>
      <c r="FT34" s="22">
        <f t="shared" si="24"/>
        <v>11.009729941465256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12.833333333333334</v>
      </c>
      <c r="FZ34" s="12">
        <f>IF('Données projet'!$A$244&gt;35,FZ33+FY34-GH33,IF(A34&lt;'Données projet'!$A$244,$FW$205^A34,IF(A34='Données projet'!$A$244,'Données projet'!$B$244,FZ33+FY34-GH33)))</f>
        <v>183.83333333333329</v>
      </c>
      <c r="GA34" s="17">
        <f>FZ34*VLOOKUP('Données projet'!$B$17,Paramètres!$A$1:$I$89,3,0)*VLOOKUP('Données projet'!$B$17,Paramètres!$A$1:$I$89,5,0)</f>
        <v>100.37299999999998</v>
      </c>
      <c r="GB34" s="13">
        <f t="shared" si="49"/>
        <v>27.050840390811405</v>
      </c>
      <c r="GC34" s="20">
        <f t="shared" si="25"/>
        <v>221.92985534732983</v>
      </c>
      <c r="GD34" s="59">
        <f t="shared" si="26"/>
        <v>515.26318868066312</v>
      </c>
      <c r="GE34" s="59">
        <f ca="1">AVERAGE(OFFSET($GD$3,0,0,'Données projet'!$E$17+1,1))-AVERAGE(OFFSET($H$3,0,0,'Données projet'!$E$17+1,1))</f>
        <v>153.43773674911449</v>
      </c>
      <c r="GF34" s="59">
        <f t="shared" si="50"/>
        <v>235.49395036616602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2.2581212729630566</v>
      </c>
      <c r="GM34" s="21">
        <f>EXP(-LN(2)/25)*GM33+(1-EXP(-LN(2)/25))/(LN(2)/25)*Calculateur!GH34*Calculateur!GJ34*VLOOKUP('Données projet'!$B$17,Paramètres!$A$1:$I$89,3,0)*0.475*44/12</f>
        <v>44.988987845883031</v>
      </c>
      <c r="GN34" s="21">
        <f>EXP(-LN(2)/2)*GN33+(1-EXP(-LN(2)/2))/(LN(2)/2)*GH34*GK34*VLOOKUP('Données projet'!$B$17,Paramètres!$A$1:$I$89,3,0)*0.475*44/12</f>
        <v>0</v>
      </c>
      <c r="GO34" s="21">
        <f t="shared" si="27"/>
        <v>47.24710911884609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10.8</v>
      </c>
      <c r="GU34" s="12">
        <f>IF('Données projet'!$A$270&gt;35,GU33+GT34-HC33,IF(A34&lt;'Données projet'!$A$270,$GR$205^A34,IF(A34='Données projet'!$A$270,'Données projet'!$B$270,GU33+GT34-HC33)))</f>
        <v>100.79999999999998</v>
      </c>
      <c r="GV34" s="17">
        <f>GU34*VLOOKUP('Données projet'!$B$18,Paramètres!$A$1:$I$89,3,0)*VLOOKUP('Données projet'!$B$18,Paramètres!$A$1:$I$89,5,0)</f>
        <v>80.196479999999994</v>
      </c>
      <c r="GW34" s="13">
        <f t="shared" si="51"/>
        <v>22.185217649516314</v>
      </c>
      <c r="GX34" s="20">
        <f t="shared" si="28"/>
        <v>178.31479007290758</v>
      </c>
      <c r="GY34" s="59">
        <f t="shared" si="29"/>
        <v>471.64812340624087</v>
      </c>
      <c r="GZ34" s="59">
        <f ca="1">AVERAGE(OFFSET($GY$3,0,0,'Données projet'!$E$18+1,1))-AVERAGE(OFFSET($H$3,0,0,'Données projet'!$E$18+1,1))</f>
        <v>198.11534486400666</v>
      </c>
      <c r="HA34" s="59">
        <f t="shared" si="52"/>
        <v>174.29856796517652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>
        <f>EXP(-LN(2)/35)*HG33+(1-EXP(-LN(2)/35))/(LN(2)/35)*HC34*HD34*VLOOKUP('Données projet'!$B$18,Paramètres!$A$1:$I$89,3,0)*0.475*44/12</f>
        <v>0</v>
      </c>
      <c r="HH34" s="21">
        <f>EXP(-LN(2)/25)*HH33+(1-EXP(-LN(2)/25))/(LN(2)/25)*Calculateur!HC34*Calculateur!HE34*VLOOKUP('Données projet'!$B$18,Paramètres!$A$1:$I$89,3,0)*0.475*44/12</f>
        <v>8.3091032716148554</v>
      </c>
      <c r="HI34" s="21">
        <f>EXP(-LN(2)/2)*HI33+(1-EXP(-LN(2)/2))/(LN(2)/2)*HC34*HF34*VLOOKUP('Données projet'!$B$18,Paramètres!$A$1:$I$89,3,0)*0.475*44/12</f>
        <v>4.4885766029466589</v>
      </c>
      <c r="HJ34" s="22">
        <f t="shared" si="30"/>
        <v>12.797679874561513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10.3</v>
      </c>
      <c r="N35" s="13">
        <f>IF('Données projet'!$A$36&gt;35,N34+M35-V34,IF(A35&lt;'Données projet'!$A$36,$K$205^A35,IF(A35='Données projet'!$A$36,'Données projet'!$B$36,N34+M35-V34)))</f>
        <v>164.60000000000002</v>
      </c>
      <c r="O35" s="13">
        <f>N35*VLOOKUP('Données projet'!$B$9,Paramètres!$A$1:$I$89,3,0)*VLOOKUP('Données projet'!$B$9,Paramètres!$A$1:$I$89,5,0)</f>
        <v>98.430800000000019</v>
      </c>
      <c r="P35" s="13">
        <f t="shared" si="33"/>
        <v>26.587813857912444</v>
      </c>
      <c r="Q35" s="20">
        <f t="shared" ref="Q35:Q66" si="53">(O35+P35)*0.475*44/12</f>
        <v>217.74075246919756</v>
      </c>
      <c r="R35" s="59">
        <f t="shared" si="0"/>
        <v>511.07408580253087</v>
      </c>
      <c r="S35" s="59">
        <f ca="1">AVERAGE(OFFSET($R$3,0,0,'Données projet'!$E$9+1,1))-AVERAGE(OFFSET($H$3,0,0,'Données projet'!$E$9+1,1))</f>
        <v>295.19075440119076</v>
      </c>
      <c r="T35" s="59">
        <f t="shared" si="34"/>
        <v>173.0182327988216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0.41173860257724482</v>
      </c>
      <c r="AA35" s="21">
        <f>EXP(-LN(2)/25)*AA34+(1-EXP(-LN(2)/25))/(LN(2)/25)*Calculateur!V35*Calculateur!X35*VLOOKUP('Données projet'!$B$9,Paramètres!$A$1:$I$89,3,0)*0.475*44/12</f>
        <v>3.6330389325150803</v>
      </c>
      <c r="AB35" s="21">
        <f>EXP(-LN(2)/2)*AB34+(1-EXP(-LN(2)/2))/(LN(2)/2)*V35*Y35*VLOOKUP('Données projet'!$B$9,Paramètres!$A$1:$I$89,3,0)*0.475*44/12</f>
        <v>0</v>
      </c>
      <c r="AC35" s="22">
        <f t="shared" si="3"/>
        <v>4.044777535092325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14.6</v>
      </c>
      <c r="AI35" s="13">
        <f>IF('Données projet'!$A$62&gt;35,AI34+AH35-AQ34,IF(A35&lt;'Données projet'!$A$62,$AF$205^A35,IF(A35='Données projet'!$A$62,'Données projet'!$B$62,AI34+AH35-AQ34)))</f>
        <v>189.20000000000005</v>
      </c>
      <c r="AJ35" s="13">
        <f>AI35*VLOOKUP('Données projet'!$B$10,Paramètres!$A$1:$I$89,3,0)*VLOOKUP('Données projet'!$B$10,Paramètres!$A$1:$I$89,5,0)</f>
        <v>113.14160000000004</v>
      </c>
      <c r="AK35" s="13">
        <f t="shared" si="35"/>
        <v>30.069952587742019</v>
      </c>
      <c r="AL35" s="20">
        <f t="shared" si="4"/>
        <v>249.42678742365072</v>
      </c>
      <c r="AM35" s="59">
        <f t="shared" si="5"/>
        <v>542.76012075698407</v>
      </c>
      <c r="AN35" s="59">
        <f ca="1">AVERAGE(OFFSET($AM$3,0,0,'Données projet'!$E$10+1,1))-AVERAGE(OFFSET($H$3,0,0,'Données projet'!$E$10+1,1))</f>
        <v>294.45857786714919</v>
      </c>
      <c r="AO35" s="59">
        <f t="shared" si="36"/>
        <v>221.9773436301067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1.1665927073021936</v>
      </c>
      <c r="AV35" s="21">
        <f>EXP(-LN(2)/25)*AV34+(1-EXP(-LN(2)/25))/(LN(2)/25)*Calculateur!AQ35*Calculateur!AS35*VLOOKUP('Données projet'!$B$10,Paramètres!$A$1:$I$89,3,0)*0.475*44/12</f>
        <v>10.293610308792726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11.460203016094919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196.66666666666663</v>
      </c>
      <c r="BE35" s="13">
        <f>BD35*VLOOKUP('Données projet'!$B$11,Paramètres!$A$1:$I$89,3,0)*VLOOKUP('Données projet'!$B$11,Paramètres!$A$1:$I$89,5,0)</f>
        <v>122.71999999999997</v>
      </c>
      <c r="BF35" s="13">
        <f t="shared" si="37"/>
        <v>32.308564708068729</v>
      </c>
      <c r="BG35" s="20">
        <f t="shared" si="7"/>
        <v>270.00808353321963</v>
      </c>
      <c r="BH35" s="59">
        <f t="shared" si="8"/>
        <v>563.34141686655289</v>
      </c>
      <c r="BI35" s="59">
        <f ca="1">AVERAGE(OFFSET($BH$3,0,0,'Données projet'!$E$11+1,1))-AVERAGE(OFFSET($H$3,0,0,'Données projet'!$E$11+1,1))</f>
        <v>179.44051550872138</v>
      </c>
      <c r="BJ35" s="59">
        <f t="shared" si="38"/>
        <v>272.9500808380069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2.5301038767065474</v>
      </c>
      <c r="BQ35" s="21">
        <f>EXP(-LN(2)/25)*BQ34+(1-EXP(-LN(2)/25))/(LN(2)/25)*Calculateur!BL35*Calculateur!BN35*VLOOKUP('Données projet'!$B$11,Paramètres!$A$1:$I$89,3,0)*0.475*44/12</f>
        <v>50.010013265564929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52.540117142271477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10.1</v>
      </c>
      <c r="BY35" s="12">
        <f>IF('Données projet'!$A$114&gt;35,BY34+BX35-CG34,IF(A35&lt;'Données projet'!$A$114,$BV$205^A35,IF(A35='Données projet'!$A$114,'Données projet'!$B$114,BY34+BX35-CG34)))</f>
        <v>194.19999999999987</v>
      </c>
      <c r="BZ35" s="13">
        <f>BY35*VLOOKUP('Données projet'!$B$12,Paramètres!$A$1:$I$89,3,0)*VLOOKUP('Données projet'!$B$12,Paramètres!$A$1:$I$89,5,0)</f>
        <v>90.88559999999994</v>
      </c>
      <c r="CA35" s="13">
        <f t="shared" si="39"/>
        <v>24.778688516498875</v>
      </c>
      <c r="CB35" s="20">
        <f t="shared" si="10"/>
        <v>201.44863583290206</v>
      </c>
      <c r="CC35" s="59">
        <f t="shared" si="11"/>
        <v>494.7819691662354</v>
      </c>
      <c r="CD35" s="59">
        <f ca="1">AVERAGE(OFFSET($CC$3,0,0,'Données projet'!$E$12+1,1))-AVERAGE(OFFSET($H$3,0,0,'Données projet'!$E$12+1,1))</f>
        <v>259.87681411271632</v>
      </c>
      <c r="CE35" s="59">
        <f t="shared" si="40"/>
        <v>191.8684235641158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1.4440687220825106</v>
      </c>
      <c r="CL35" s="21">
        <f>EXP(-LN(2)/25)*CL34+(1-EXP(-LN(2)/25))/(LN(2)/25)*Calculateur!CG35*Calculateur!CI35*VLOOKUP('Données projet'!$B$12,Paramètres!$A$1:$I$89,3,0)*0.475*44/12</f>
        <v>20.545277320762253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21.989346042844762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10.8</v>
      </c>
      <c r="CT35" s="12">
        <f>IF('Données projet'!$A$140&gt;35,CT34+CS35-DB34,IF(A35&lt;'Données projet'!$A$140,$CQ$205^A35,IF(A35='Données projet'!$A$140,'Données projet'!$B$140,CT34+CS35-DB34)))</f>
        <v>111.59999999999998</v>
      </c>
      <c r="CU35" s="17">
        <f>CT35*VLOOKUP('Données projet'!$B$13,Paramètres!$A$1:$I$89,3,0)*VLOOKUP('Données projet'!$B$13,Paramètres!$A$1:$I$89,5,0)</f>
        <v>88.788959999999989</v>
      </c>
      <c r="CV35" s="13">
        <f t="shared" si="41"/>
        <v>24.272921419743579</v>
      </c>
      <c r="CW35" s="20">
        <f t="shared" si="13"/>
        <v>196.91611013938669</v>
      </c>
      <c r="CX35" s="59">
        <f t="shared" si="14"/>
        <v>490.24944347272003</v>
      </c>
      <c r="CY35" s="59">
        <f ca="1">AVERAGE(OFFSET($CX$3,0,0,'Données projet'!$E$13+1,1))-AVERAGE(OFFSET($H$3,0,0,'Données projet'!$E$13+1,1))</f>
        <v>198.11534486400666</v>
      </c>
      <c r="CZ35" s="59">
        <f t="shared" si="42"/>
        <v>174.29856796517652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8.0818904056957965</v>
      </c>
      <c r="DH35" s="21">
        <f>EXP(-LN(2)/2)*DH34+(1-EXP(-LN(2)/2))/(LN(2)/2)*DB35*DE35*VLOOKUP('Données projet'!$B$13,Paramètres!$A$1:$I$89,3,0)*0.475*44/12</f>
        <v>3.1739029538188603</v>
      </c>
      <c r="DI35" s="22">
        <f t="shared" si="15"/>
        <v>11.255793359514657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2.6904761904761907</v>
      </c>
      <c r="DO35" s="12">
        <f>IF('Données projet'!$A$166&gt;35,DO34+DN35-DW34,IF(A35&lt;'Données projet'!$A$166,$DL$205^A35,IF(A35='Données projet'!$A$166,'Données projet'!$B$166,DO34+DN35-DW34)))</f>
        <v>86.095238095238088</v>
      </c>
      <c r="DP35" s="17">
        <f>DO35*VLOOKUP('Données projet'!$B$14,Paramètres!$A$1:$I$89,3,0)*VLOOKUP('Données projet'!$B$14,Paramètres!$A$1:$I$89,5,0)</f>
        <v>87.30057142857143</v>
      </c>
      <c r="DQ35" s="13">
        <f t="shared" si="43"/>
        <v>23.91303846424216</v>
      </c>
      <c r="DR35" s="20">
        <f t="shared" si="16"/>
        <v>193.69703722998369</v>
      </c>
      <c r="DS35" s="59">
        <f t="shared" si="17"/>
        <v>487.03037056331698</v>
      </c>
      <c r="DT35" s="59">
        <f ca="1">AVERAGE(OFFSET($DS$3,0,0,'Données projet'!$E$14+1,1))-AVERAGE(OFFSET($H$3,0,0,'Données projet'!$E$14+1,1))</f>
        <v>247.92503505485405</v>
      </c>
      <c r="DU35" s="59">
        <f t="shared" si="44"/>
        <v>148.26437652597514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2.6904761904761907</v>
      </c>
      <c r="EJ35" s="12">
        <f>IF('Données projet'!$A$192&gt;35,EJ34+EI35-ER34,IF(A35&lt;'Données projet'!$A$192,$EG$205^A35,IF(A35='Données projet'!$A$192,'Données projet'!$B$192,EJ34+EI35-ER34)))</f>
        <v>86.095238095238088</v>
      </c>
      <c r="EK35" s="17">
        <f>EJ35*VLOOKUP('Données projet'!$B$15,Paramètres!$A$1:$I$89,3,0)*VLOOKUP('Données projet'!$B$15,Paramètres!$A$1:$I$89,5,0)</f>
        <v>83.271314285714283</v>
      </c>
      <c r="EL35" s="13">
        <f t="shared" si="45"/>
        <v>22.935162277559293</v>
      </c>
      <c r="EM35" s="20">
        <f t="shared" si="19"/>
        <v>184.97628001436814</v>
      </c>
      <c r="EN35" s="59">
        <f t="shared" si="20"/>
        <v>478.30961334770143</v>
      </c>
      <c r="EO35" s="59">
        <f ca="1">AVERAGE(OFFSET($EN$3,0,0,'Données projet'!$E$15+1,1))-AVERAGE(OFFSET($H$3,0,0,'Données projet'!$E$15+1,1))</f>
        <v>232.99870507181964</v>
      </c>
      <c r="EP35" s="59">
        <f t="shared" si="46"/>
        <v>140.07662669226278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10.8</v>
      </c>
      <c r="FE35" s="12">
        <f>IF('Données projet'!$A$218&gt;35,FE34+FD35-FM34,IF(A35&lt;'Données projet'!$A$218,$FB$205^A35,IF(A35='Données projet'!$A$218,'Données projet'!$B$218,FE34+FD35-FM34)))</f>
        <v>111.59999999999998</v>
      </c>
      <c r="FF35" s="17">
        <f>FE35*VLOOKUP('Données projet'!$B$16,Paramètres!$A$1:$I$89,3,0)*VLOOKUP('Données projet'!$B$16,Paramètres!$A$1:$I$89,5,0)</f>
        <v>87.047999999999988</v>
      </c>
      <c r="FG35" s="13">
        <f t="shared" si="47"/>
        <v>23.851897708444891</v>
      </c>
      <c r="FH35" s="20">
        <f t="shared" si="22"/>
        <v>193.15065517554149</v>
      </c>
      <c r="FI35" s="59">
        <f t="shared" si="23"/>
        <v>486.4839885088748</v>
      </c>
      <c r="FJ35" s="59">
        <f ca="1">AVERAGE(OFFSET($FI$3,0,0,'Données projet'!$E$16+1,1))-AVERAGE(OFFSET($H$3,0,0,'Données projet'!$E$16+1,1))</f>
        <v>193.47609744163839</v>
      </c>
      <c r="FK35" s="59">
        <f t="shared" si="48"/>
        <v>170.3221892406973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</v>
      </c>
      <c r="FR35" s="21">
        <f>EXP(-LN(2)/25)*FR34+(1-EXP(-LN(2)/25))/(LN(2)/25)*Calculateur!FM35*Calculateur!FO35*VLOOKUP('Données projet'!$B$16,Paramètres!$A$1:$I$89,3,0)*0.475*44/12</f>
        <v>6.4284366896951406</v>
      </c>
      <c r="FS35" s="21">
        <f>EXP(-LN(2)/2)*FS34+(1-EXP(-LN(2)/2))/(LN(2)/2)*FM35*FP35*VLOOKUP('Données projet'!$B$16,Paramètres!$A$1:$I$89,3,0)*0.475*44/12</f>
        <v>3.1116695625675104</v>
      </c>
      <c r="FT35" s="22">
        <f t="shared" si="24"/>
        <v>9.5401062522626514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12.833333333333334</v>
      </c>
      <c r="FZ35" s="12">
        <f>IF('Données projet'!$A$244&gt;35,FZ34+FY35-GH34,IF(A35&lt;'Données projet'!$A$244,$FW$205^A35,IF(A35='Données projet'!$A$244,'Données projet'!$B$244,FZ34+FY35-GH34)))</f>
        <v>196.66666666666663</v>
      </c>
      <c r="GA35" s="17">
        <f>FZ35*VLOOKUP('Données projet'!$B$17,Paramètres!$A$1:$I$89,3,0)*VLOOKUP('Données projet'!$B$17,Paramètres!$A$1:$I$89,5,0)</f>
        <v>107.37999999999998</v>
      </c>
      <c r="GB35" s="13">
        <f t="shared" si="49"/>
        <v>28.712828753743615</v>
      </c>
      <c r="GC35" s="20">
        <f t="shared" si="25"/>
        <v>237.02834341277006</v>
      </c>
      <c r="GD35" s="59">
        <f t="shared" si="26"/>
        <v>530.3616767461034</v>
      </c>
      <c r="GE35" s="59">
        <f ca="1">AVERAGE(OFFSET($GD$3,0,0,'Données projet'!$E$17+1,1))-AVERAGE(OFFSET($H$3,0,0,'Données projet'!$E$17+1,1))</f>
        <v>153.43773674911449</v>
      </c>
      <c r="GF35" s="59">
        <f t="shared" si="50"/>
        <v>235.49395036616602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2.2138408921182289</v>
      </c>
      <c r="GM35" s="21">
        <f>EXP(-LN(2)/25)*GM34+(1-EXP(-LN(2)/25))/(LN(2)/25)*Calculateur!GH35*Calculateur!GJ35*VLOOKUP('Données projet'!$B$17,Paramètres!$A$1:$I$89,3,0)*0.475*44/12</f>
        <v>43.758761607369316</v>
      </c>
      <c r="GN35" s="21">
        <f>EXP(-LN(2)/2)*GN34+(1-EXP(-LN(2)/2))/(LN(2)/2)*GH35*GK35*VLOOKUP('Données projet'!$B$17,Paramètres!$A$1:$I$89,3,0)*0.475*44/12</f>
        <v>0</v>
      </c>
      <c r="GO35" s="21">
        <f t="shared" si="27"/>
        <v>45.972602499487543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10.8</v>
      </c>
      <c r="GU35" s="12">
        <f>IF('Données projet'!$A$270&gt;35,GU34+GT35-HC34,IF(A35&lt;'Données projet'!$A$270,$GR$205^A35,IF(A35='Données projet'!$A$270,'Données projet'!$B$270,GU34+GT35-HC34)))</f>
        <v>111.59999999999998</v>
      </c>
      <c r="GV35" s="17">
        <f>GU35*VLOOKUP('Données projet'!$B$18,Paramètres!$A$1:$I$89,3,0)*VLOOKUP('Données projet'!$B$18,Paramètres!$A$1:$I$89,5,0)</f>
        <v>88.788959999999989</v>
      </c>
      <c r="GW35" s="13">
        <f t="shared" si="51"/>
        <v>24.272921419743579</v>
      </c>
      <c r="GX35" s="20">
        <f t="shared" si="28"/>
        <v>196.91611013938669</v>
      </c>
      <c r="GY35" s="59">
        <f t="shared" si="29"/>
        <v>490.24944347272003</v>
      </c>
      <c r="GZ35" s="59">
        <f ca="1">AVERAGE(OFFSET($GY$3,0,0,'Données projet'!$E$18+1,1))-AVERAGE(OFFSET($H$3,0,0,'Données projet'!$E$18+1,1))</f>
        <v>198.11534486400666</v>
      </c>
      <c r="HA35" s="59">
        <f t="shared" si="52"/>
        <v>174.29856796517652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>
        <f>EXP(-LN(2)/35)*HG34+(1-EXP(-LN(2)/35))/(LN(2)/35)*HC35*HD35*VLOOKUP('Données projet'!$B$18,Paramètres!$A$1:$I$89,3,0)*0.475*44/12</f>
        <v>0</v>
      </c>
      <c r="HH35" s="21">
        <f>EXP(-LN(2)/25)*HH34+(1-EXP(-LN(2)/25))/(LN(2)/25)*Calculateur!HC35*Calculateur!HE35*VLOOKUP('Données projet'!$B$18,Paramètres!$A$1:$I$89,3,0)*0.475*44/12</f>
        <v>8.0818904056957965</v>
      </c>
      <c r="HI35" s="21">
        <f>EXP(-LN(2)/2)*HI34+(1-EXP(-LN(2)/2))/(LN(2)/2)*HC35*HF35*VLOOKUP('Données projet'!$B$18,Paramètres!$A$1:$I$89,3,0)*0.475*44/12</f>
        <v>3.1739029538188603</v>
      </c>
      <c r="HJ35" s="22">
        <f t="shared" si="30"/>
        <v>11.255793359514657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10.3</v>
      </c>
      <c r="N36" s="13">
        <f>IF('Données projet'!$A$36&gt;35,N35+M36-V35,IF(A36&lt;'Données projet'!$A$36,$K$205^A36,IF(A36='Données projet'!$A$36,'Données projet'!$B$36,N35+M36-V35)))</f>
        <v>174.90000000000003</v>
      </c>
      <c r="O36" s="13">
        <f>N36*VLOOKUP('Données projet'!$B$9,Paramètres!$A$1:$I$89,3,0)*VLOOKUP('Données projet'!$B$9,Paramètres!$A$1:$I$89,5,0)</f>
        <v>104.59020000000004</v>
      </c>
      <c r="P36" s="13">
        <f t="shared" si="33"/>
        <v>28.052676705559303</v>
      </c>
      <c r="Q36" s="20">
        <f t="shared" si="53"/>
        <v>231.01967692884918</v>
      </c>
      <c r="R36" s="59">
        <f t="shared" si="0"/>
        <v>524.35301026218247</v>
      </c>
      <c r="S36" s="59">
        <f ca="1">AVERAGE(OFFSET($R$3,0,0,'Données projet'!$E$9+1,1))-AVERAGE(OFFSET($H$3,0,0,'Données projet'!$E$9+1,1))</f>
        <v>295.19075440119076</v>
      </c>
      <c r="T36" s="59">
        <f t="shared" si="34"/>
        <v>173.0182327988216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0.40366465971645504</v>
      </c>
      <c r="AA36" s="21">
        <f>EXP(-LN(2)/25)*AA35+(1-EXP(-LN(2)/25))/(LN(2)/25)*Calculateur!V36*Calculateur!X36*VLOOKUP('Données projet'!$B$9,Paramètres!$A$1:$I$89,3,0)*0.475*44/12</f>
        <v>3.5336932918522415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3.9373579515686963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14.6</v>
      </c>
      <c r="AI36" s="13">
        <f>IF('Données projet'!$A$62&gt;35,AI35+AH36-AQ35,IF(A36&lt;'Données projet'!$A$62,$AF$205^A36,IF(A36='Données projet'!$A$62,'Données projet'!$B$62,AI35+AH36-AQ35)))</f>
        <v>203.80000000000004</v>
      </c>
      <c r="AJ36" s="13">
        <f>AI36*VLOOKUP('Données projet'!$B$10,Paramètres!$A$1:$I$89,3,0)*VLOOKUP('Données projet'!$B$10,Paramètres!$A$1:$I$89,5,0)</f>
        <v>121.87240000000003</v>
      </c>
      <c r="AK36" s="13">
        <f t="shared" si="35"/>
        <v>32.111311550408985</v>
      </c>
      <c r="AL36" s="20">
        <f t="shared" si="4"/>
        <v>268.1882976169623</v>
      </c>
      <c r="AM36" s="59">
        <f t="shared" si="5"/>
        <v>561.52163095029562</v>
      </c>
      <c r="AN36" s="59">
        <f ca="1">AVERAGE(OFFSET($AM$3,0,0,'Données projet'!$E$10+1,1))-AVERAGE(OFFSET($H$3,0,0,'Données projet'!$E$10+1,1))</f>
        <v>294.45857786714919</v>
      </c>
      <c r="AO36" s="59">
        <f t="shared" si="36"/>
        <v>221.9773436301067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1.143716535863289</v>
      </c>
      <c r="AV36" s="21">
        <f>EXP(-LN(2)/25)*AV35+(1-EXP(-LN(2)/25))/(LN(2)/25)*Calculateur!AQ36*Calculateur!AS36*VLOOKUP('Données projet'!$B$10,Paramètres!$A$1:$I$89,3,0)*0.475*44/12</f>
        <v>10.01213099358135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11.155847529444639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209.49999999999997</v>
      </c>
      <c r="BE36" s="13">
        <f>BD36*VLOOKUP('Données projet'!$B$11,Paramètres!$A$1:$I$89,3,0)*VLOOKUP('Données projet'!$B$11,Paramètres!$A$1:$I$89,5,0)</f>
        <v>130.72799999999998</v>
      </c>
      <c r="BF36" s="13">
        <f t="shared" si="37"/>
        <v>34.164524045585857</v>
      </c>
      <c r="BG36" s="20">
        <f t="shared" si="7"/>
        <v>287.18781271272866</v>
      </c>
      <c r="BH36" s="59">
        <f t="shared" si="8"/>
        <v>580.52114604606197</v>
      </c>
      <c r="BI36" s="59">
        <f ca="1">AVERAGE(OFFSET($BH$3,0,0,'Données projet'!$E$11+1,1))-AVERAGE(OFFSET($H$3,0,0,'Données projet'!$E$11+1,1))</f>
        <v>179.44051550872138</v>
      </c>
      <c r="BJ36" s="59">
        <f t="shared" si="38"/>
        <v>272.9500808380069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2.4804900828953174</v>
      </c>
      <c r="BQ36" s="21">
        <f>EXP(-LN(2)/25)*BQ35+(1-EXP(-LN(2)/25))/(LN(2)/25)*Calculateur!BL36*Calculateur!BN36*VLOOKUP('Données projet'!$B$11,Paramètres!$A$1:$I$89,3,0)*0.475*44/12</f>
        <v>48.642486822905759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51.122976905801075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10.1</v>
      </c>
      <c r="BY36" s="12">
        <f>IF('Données projet'!$A$114&gt;35,BY35+BX36-CG35,IF(A36&lt;'Données projet'!$A$114,$BV$205^A36,IF(A36='Données projet'!$A$114,'Données projet'!$B$114,BY35+BX36-CG35)))</f>
        <v>204.29999999999987</v>
      </c>
      <c r="BZ36" s="13">
        <f>BY36*VLOOKUP('Données projet'!$B$12,Paramètres!$A$1:$I$89,3,0)*VLOOKUP('Données projet'!$B$12,Paramètres!$A$1:$I$89,5,0)</f>
        <v>95.612399999999937</v>
      </c>
      <c r="CA36" s="13">
        <f t="shared" si="39"/>
        <v>25.913998506547955</v>
      </c>
      <c r="CB36" s="20">
        <f t="shared" si="10"/>
        <v>211.65847739890424</v>
      </c>
      <c r="CC36" s="59">
        <f t="shared" si="11"/>
        <v>504.99181073223758</v>
      </c>
      <c r="CD36" s="59">
        <f ca="1">AVERAGE(OFFSET($CC$3,0,0,'Données projet'!$E$12+1,1))-AVERAGE(OFFSET($H$3,0,0,'Données projet'!$E$12+1,1))</f>
        <v>259.87681411271632</v>
      </c>
      <c r="CE36" s="59">
        <f t="shared" si="40"/>
        <v>191.8684235641158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1.4157514152374218</v>
      </c>
      <c r="CL36" s="21">
        <f>EXP(-LN(2)/25)*CL35+(1-EXP(-LN(2)/25))/(LN(2)/25)*Calculateur!CG36*Calculateur!CI36*VLOOKUP('Données projet'!$B$12,Paramètres!$A$1:$I$89,3,0)*0.475*44/12</f>
        <v>19.983465631996832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21.399217047234256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10.8</v>
      </c>
      <c r="CT36" s="12">
        <f>IF('Données projet'!$A$140&gt;35,CT35+CS36-DB35,IF(A36&lt;'Données projet'!$A$140,$CQ$205^A36,IF(A36='Données projet'!$A$140,'Données projet'!$B$140,CT35+CS36-DB35)))</f>
        <v>122.39999999999998</v>
      </c>
      <c r="CU36" s="17">
        <f>CT36*VLOOKUP('Données projet'!$B$13,Paramètres!$A$1:$I$89,3,0)*VLOOKUP('Données projet'!$B$13,Paramètres!$A$1:$I$89,5,0)</f>
        <v>97.381439999999998</v>
      </c>
      <c r="CV36" s="13">
        <f t="shared" si="41"/>
        <v>26.337201615555223</v>
      </c>
      <c r="CW36" s="20">
        <f t="shared" si="13"/>
        <v>215.476634147092</v>
      </c>
      <c r="CX36" s="59">
        <f t="shared" si="14"/>
        <v>508.80996748042531</v>
      </c>
      <c r="CY36" s="59">
        <f ca="1">AVERAGE(OFFSET($CX$3,0,0,'Données projet'!$E$13+1,1))-AVERAGE(OFFSET($H$3,0,0,'Données projet'!$E$13+1,1))</f>
        <v>198.11534486400666</v>
      </c>
      <c r="CZ36" s="59">
        <f t="shared" si="42"/>
        <v>174.29856796517652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7.8608906875438995</v>
      </c>
      <c r="DH36" s="21">
        <f>EXP(-LN(2)/2)*DH35+(1-EXP(-LN(2)/2))/(LN(2)/2)*DB36*DE36*VLOOKUP('Données projet'!$B$13,Paramètres!$A$1:$I$89,3,0)*0.475*44/12</f>
        <v>2.2442883014733299</v>
      </c>
      <c r="DI36" s="22">
        <f t="shared" si="15"/>
        <v>10.105178989017229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2.6904761904761907</v>
      </c>
      <c r="DO36" s="12">
        <f>IF('Données projet'!$A$166&gt;35,DO35+DN36-DW35,IF(A36&lt;'Données projet'!$A$166,$DL$205^A36,IF(A36='Données projet'!$A$166,'Données projet'!$B$166,DO35+DN36-DW35)))</f>
        <v>88.785714285714278</v>
      </c>
      <c r="DP36" s="17">
        <f>DO36*VLOOKUP('Données projet'!$B$14,Paramètres!$A$1:$I$89,3,0)*VLOOKUP('Données projet'!$B$14,Paramètres!$A$1:$I$89,5,0)</f>
        <v>90.028714285714287</v>
      </c>
      <c r="DQ36" s="13">
        <f t="shared" si="43"/>
        <v>24.572150059609498</v>
      </c>
      <c r="DR36" s="20">
        <f t="shared" si="16"/>
        <v>199.59650540143889</v>
      </c>
      <c r="DS36" s="59">
        <f t="shared" si="17"/>
        <v>492.9298387347722</v>
      </c>
      <c r="DT36" s="59">
        <f ca="1">AVERAGE(OFFSET($DS$3,0,0,'Données projet'!$E$14+1,1))-AVERAGE(OFFSET($H$3,0,0,'Données projet'!$E$14+1,1))</f>
        <v>247.92503505485405</v>
      </c>
      <c r="DU36" s="59">
        <f t="shared" si="44"/>
        <v>148.26437652597514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2.6904761904761907</v>
      </c>
      <c r="EJ36" s="12">
        <f>IF('Données projet'!$A$192&gt;35,EJ35+EI36-ER35,IF(A36&lt;'Données projet'!$A$192,$EG$205^A36,IF(A36='Données projet'!$A$192,'Données projet'!$B$192,EJ35+EI36-ER35)))</f>
        <v>88.785714285714278</v>
      </c>
      <c r="EK36" s="17">
        <f>EJ36*VLOOKUP('Données projet'!$B$15,Paramètres!$A$1:$I$89,3,0)*VLOOKUP('Données projet'!$B$15,Paramètres!$A$1:$I$89,5,0)</f>
        <v>85.873542857142851</v>
      </c>
      <c r="EL36" s="13">
        <f t="shared" si="45"/>
        <v>23.56732081405708</v>
      </c>
      <c r="EM36" s="20">
        <f t="shared" si="19"/>
        <v>190.6095042273399</v>
      </c>
      <c r="EN36" s="59">
        <f t="shared" si="20"/>
        <v>483.94283756067318</v>
      </c>
      <c r="EO36" s="59">
        <f ca="1">AVERAGE(OFFSET($EN$3,0,0,'Données projet'!$E$15+1,1))-AVERAGE(OFFSET($H$3,0,0,'Données projet'!$E$15+1,1))</f>
        <v>232.99870507181964</v>
      </c>
      <c r="EP36" s="59">
        <f t="shared" si="46"/>
        <v>140.07662669226278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10.8</v>
      </c>
      <c r="FE36" s="12">
        <f>IF('Données projet'!$A$218&gt;35,FE35+FD36-FM35,IF(A36&lt;'Données projet'!$A$218,$FB$205^A36,IF(A36='Données projet'!$A$218,'Données projet'!$B$218,FE35+FD36-FM35)))</f>
        <v>122.39999999999998</v>
      </c>
      <c r="FF36" s="17">
        <f>FE36*VLOOKUP('Données projet'!$B$16,Paramètres!$A$1:$I$89,3,0)*VLOOKUP('Données projet'!$B$16,Paramètres!$A$1:$I$89,5,0)</f>
        <v>95.47199999999998</v>
      </c>
      <c r="FG36" s="13">
        <f t="shared" si="47"/>
        <v>25.880372123231144</v>
      </c>
      <c r="FH36" s="20">
        <f t="shared" si="22"/>
        <v>211.35538144796087</v>
      </c>
      <c r="FI36" s="59">
        <f t="shared" si="23"/>
        <v>504.68871478129415</v>
      </c>
      <c r="FJ36" s="59">
        <f ca="1">AVERAGE(OFFSET($FI$3,0,0,'Données projet'!$E$16+1,1))-AVERAGE(OFFSET($H$3,0,0,'Données projet'!$E$16+1,1))</f>
        <v>193.47609744163839</v>
      </c>
      <c r="FK36" s="59">
        <f t="shared" si="48"/>
        <v>170.3221892406973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</v>
      </c>
      <c r="FR36" s="21">
        <f>EXP(-LN(2)/25)*FR35+(1-EXP(-LN(2)/25))/(LN(2)/25)*Calculateur!FM36*Calculateur!FO36*VLOOKUP('Données projet'!$B$16,Paramètres!$A$1:$I$89,3,0)*0.475*44/12</f>
        <v>6.2526507503586339</v>
      </c>
      <c r="FS36" s="21">
        <f>EXP(-LN(2)/2)*FS35+(1-EXP(-LN(2)/2))/(LN(2)/2)*FM36*FP36*VLOOKUP('Données projet'!$B$16,Paramètres!$A$1:$I$89,3,0)*0.475*44/12</f>
        <v>2.2002826485032649</v>
      </c>
      <c r="FT36" s="22">
        <f t="shared" si="24"/>
        <v>8.452933398861898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12.833333333333334</v>
      </c>
      <c r="FZ36" s="12">
        <f>IF('Données projet'!$A$244&gt;35,FZ35+FY36-GH35,IF(A36&lt;'Données projet'!$A$244,$FW$205^A36,IF(A36='Données projet'!$A$244,'Données projet'!$B$244,FZ35+FY36-GH35)))</f>
        <v>209.49999999999997</v>
      </c>
      <c r="GA36" s="17">
        <f>FZ36*VLOOKUP('Données projet'!$B$17,Paramètres!$A$1:$I$89,3,0)*VLOOKUP('Données projet'!$B$17,Paramètres!$A$1:$I$89,5,0)</f>
        <v>114.38699999999997</v>
      </c>
      <c r="GB36" s="13">
        <f t="shared" si="49"/>
        <v>30.362231725170943</v>
      </c>
      <c r="GC36" s="20">
        <f t="shared" si="25"/>
        <v>252.10491192133932</v>
      </c>
      <c r="GD36" s="59">
        <f t="shared" si="26"/>
        <v>545.43824525467267</v>
      </c>
      <c r="GE36" s="59">
        <f ca="1">AVERAGE(OFFSET($GD$3,0,0,'Données projet'!$E$17+1,1))-AVERAGE(OFFSET($H$3,0,0,'Données projet'!$E$17+1,1))</f>
        <v>153.43773674911449</v>
      </c>
      <c r="GF36" s="59">
        <f t="shared" si="50"/>
        <v>235.49395036616602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2.1704288225334025</v>
      </c>
      <c r="GM36" s="21">
        <f>EXP(-LN(2)/25)*GM35+(1-EXP(-LN(2)/25))/(LN(2)/25)*Calculateur!GH36*Calculateur!GJ36*VLOOKUP('Données projet'!$B$17,Paramètres!$A$1:$I$89,3,0)*0.475*44/12</f>
        <v>42.562175970042539</v>
      </c>
      <c r="GN36" s="21">
        <f>EXP(-LN(2)/2)*GN35+(1-EXP(-LN(2)/2))/(LN(2)/2)*GH36*GK36*VLOOKUP('Données projet'!$B$17,Paramètres!$A$1:$I$89,3,0)*0.475*44/12</f>
        <v>0</v>
      </c>
      <c r="GO36" s="21">
        <f t="shared" si="27"/>
        <v>44.732604792575941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10.8</v>
      </c>
      <c r="GU36" s="12">
        <f>IF('Données projet'!$A$270&gt;35,GU35+GT36-HC35,IF(A36&lt;'Données projet'!$A$270,$GR$205^A36,IF(A36='Données projet'!$A$270,'Données projet'!$B$270,GU35+GT36-HC35)))</f>
        <v>122.39999999999998</v>
      </c>
      <c r="GV36" s="17">
        <f>GU36*VLOOKUP('Données projet'!$B$18,Paramètres!$A$1:$I$89,3,0)*VLOOKUP('Données projet'!$B$18,Paramètres!$A$1:$I$89,5,0)</f>
        <v>97.381439999999998</v>
      </c>
      <c r="GW36" s="13">
        <f t="shared" si="51"/>
        <v>26.337201615555223</v>
      </c>
      <c r="GX36" s="20">
        <f t="shared" si="28"/>
        <v>215.476634147092</v>
      </c>
      <c r="GY36" s="59">
        <f t="shared" si="29"/>
        <v>508.80996748042531</v>
      </c>
      <c r="GZ36" s="59">
        <f ca="1">AVERAGE(OFFSET($GY$3,0,0,'Données projet'!$E$18+1,1))-AVERAGE(OFFSET($H$3,0,0,'Données projet'!$E$18+1,1))</f>
        <v>198.11534486400666</v>
      </c>
      <c r="HA36" s="59">
        <f t="shared" si="52"/>
        <v>174.29856796517652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>
        <f>EXP(-LN(2)/35)*HG35+(1-EXP(-LN(2)/35))/(LN(2)/35)*HC36*HD36*VLOOKUP('Données projet'!$B$18,Paramètres!$A$1:$I$89,3,0)*0.475*44/12</f>
        <v>0</v>
      </c>
      <c r="HH36" s="21">
        <f>EXP(-LN(2)/25)*HH35+(1-EXP(-LN(2)/25))/(LN(2)/25)*Calculateur!HC36*Calculateur!HE36*VLOOKUP('Données projet'!$B$18,Paramètres!$A$1:$I$89,3,0)*0.475*44/12</f>
        <v>7.8608906875438995</v>
      </c>
      <c r="HI36" s="21">
        <f>EXP(-LN(2)/2)*HI35+(1-EXP(-LN(2)/2))/(LN(2)/2)*HC36*HF36*VLOOKUP('Données projet'!$B$18,Paramètres!$A$1:$I$89,3,0)*0.475*44/12</f>
        <v>2.2442883014733299</v>
      </c>
      <c r="HJ36" s="22">
        <f t="shared" si="30"/>
        <v>10.105178989017229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10.3</v>
      </c>
      <c r="N37" s="13">
        <f>IF('Données projet'!$A$36&gt;35,N36+M37-V36,IF(A37&lt;'Données projet'!$A$36,$K$205^A37,IF(A37='Données projet'!$A$36,'Données projet'!$B$36,N36+M37-V36)))</f>
        <v>185.20000000000005</v>
      </c>
      <c r="O37" s="13">
        <f>N37*VLOOKUP('Données projet'!$B$9,Paramètres!$A$1:$I$89,3,0)*VLOOKUP('Données projet'!$B$9,Paramètres!$A$1:$I$89,5,0)</f>
        <v>110.74960000000003</v>
      </c>
      <c r="P37" s="13">
        <f t="shared" si="33"/>
        <v>29.507526310895447</v>
      </c>
      <c r="Q37" s="20">
        <f t="shared" si="53"/>
        <v>244.28116165814291</v>
      </c>
      <c r="R37" s="59">
        <f t="shared" si="0"/>
        <v>537.61449499147625</v>
      </c>
      <c r="S37" s="59">
        <f ca="1">AVERAGE(OFFSET($R$3,0,0,'Données projet'!$E$9+1,1))-AVERAGE(OFFSET($H$3,0,0,'Données projet'!$E$9+1,1))</f>
        <v>295.19075440119076</v>
      </c>
      <c r="T37" s="59">
        <f t="shared" si="34"/>
        <v>173.0182327988216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0.39574904195054644</v>
      </c>
      <c r="AA37" s="21">
        <f>EXP(-LN(2)/25)*AA36+(1-EXP(-LN(2)/25))/(LN(2)/25)*Calculateur!V37*Calculateur!X37*VLOOKUP('Données projet'!$B$9,Paramètres!$A$1:$I$89,3,0)*0.475*44/12</f>
        <v>3.437064262957688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3.8328133049082345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14.6</v>
      </c>
      <c r="AI37" s="13">
        <f>IF('Données projet'!$A$62&gt;35,AI36+AH37-AQ36,IF(A37&lt;'Données projet'!$A$62,$AF$205^A37,IF(A37='Données projet'!$A$62,'Données projet'!$B$62,AI36+AH37-AQ36)))</f>
        <v>218.40000000000003</v>
      </c>
      <c r="AJ37" s="13">
        <f>AI37*VLOOKUP('Données projet'!$B$10,Paramètres!$A$1:$I$89,3,0)*VLOOKUP('Données projet'!$B$10,Paramètres!$A$1:$I$89,5,0)</f>
        <v>130.60320000000004</v>
      </c>
      <c r="AK37" s="13">
        <f t="shared" si="35"/>
        <v>34.135703567016428</v>
      </c>
      <c r="AL37" s="20">
        <f t="shared" si="4"/>
        <v>286.92025704588701</v>
      </c>
      <c r="AM37" s="59">
        <f t="shared" si="5"/>
        <v>580.25359037922033</v>
      </c>
      <c r="AN37" s="59">
        <f ca="1">AVERAGE(OFFSET($AM$3,0,0,'Données projet'!$E$10+1,1))-AVERAGE(OFFSET($H$3,0,0,'Données projet'!$E$10+1,1))</f>
        <v>294.45857786714919</v>
      </c>
      <c r="AO37" s="59">
        <f t="shared" si="36"/>
        <v>221.9773436301067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1.1212889521932148</v>
      </c>
      <c r="AV37" s="21">
        <f>EXP(-LN(2)/25)*AV36+(1-EXP(-LN(2)/25))/(LN(2)/25)*Calculateur!AQ37*Calculateur!AS37*VLOOKUP('Données projet'!$B$10,Paramètres!$A$1:$I$89,3,0)*0.475*44/12</f>
        <v>9.7383487450467818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10.859637697239997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222.33333333333331</v>
      </c>
      <c r="BE37" s="13">
        <f>BD37*VLOOKUP('Données projet'!$B$11,Paramètres!$A$1:$I$89,3,0)*VLOOKUP('Données projet'!$B$11,Paramètres!$A$1:$I$89,5,0)</f>
        <v>138.73599999999999</v>
      </c>
      <c r="BF37" s="13">
        <f t="shared" si="37"/>
        <v>36.007288175538044</v>
      </c>
      <c r="BG37" s="20">
        <f t="shared" si="7"/>
        <v>304.34456023906205</v>
      </c>
      <c r="BH37" s="59">
        <f t="shared" si="8"/>
        <v>597.67789357239531</v>
      </c>
      <c r="BI37" s="59">
        <f ca="1">AVERAGE(OFFSET($BH$3,0,0,'Données projet'!$E$11+1,1))-AVERAGE(OFFSET($H$3,0,0,'Données projet'!$E$11+1,1))</f>
        <v>179.44051550872138</v>
      </c>
      <c r="BJ37" s="59">
        <f t="shared" si="38"/>
        <v>272.9500808380069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2.4318491853192996</v>
      </c>
      <c r="BQ37" s="21">
        <f>EXP(-LN(2)/25)*BQ36+(1-EXP(-LN(2)/25))/(LN(2)/25)*Calculateur!BL37*Calculateur!BN37*VLOOKUP('Données projet'!$B$11,Paramètres!$A$1:$I$89,3,0)*0.475*44/12</f>
        <v>47.312355462736193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49.744204648055494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10.1</v>
      </c>
      <c r="BY37" s="12">
        <f>IF('Données projet'!$A$114&gt;35,BY36+BX37-CG36,IF(A37&lt;'Données projet'!$A$114,$BV$205^A37,IF(A37='Données projet'!$A$114,'Données projet'!$B$114,BY36+BX37-CG36)))</f>
        <v>214.39999999999986</v>
      </c>
      <c r="BZ37" s="13">
        <f>BY37*VLOOKUP('Données projet'!$B$12,Paramètres!$A$1:$I$89,3,0)*VLOOKUP('Données projet'!$B$12,Paramètres!$A$1:$I$89,5,0)</f>
        <v>100.33919999999995</v>
      </c>
      <c r="CA37" s="13">
        <f t="shared" si="39"/>
        <v>27.042791337995506</v>
      </c>
      <c r="CB37" s="20">
        <f t="shared" si="10"/>
        <v>221.85696824700872</v>
      </c>
      <c r="CC37" s="59">
        <f t="shared" si="11"/>
        <v>515.19030158034207</v>
      </c>
      <c r="CD37" s="59">
        <f ca="1">AVERAGE(OFFSET($CC$3,0,0,'Données projet'!$E$12+1,1))-AVERAGE(OFFSET($H$3,0,0,'Données projet'!$E$12+1,1))</f>
        <v>259.87681411271632</v>
      </c>
      <c r="CE37" s="59">
        <f t="shared" si="40"/>
        <v>191.8684235641158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1.3879893935077134</v>
      </c>
      <c r="CL37" s="21">
        <f>EXP(-LN(2)/25)*CL36+(1-EXP(-LN(2)/25))/(LN(2)/25)*Calculateur!CG37*Calculateur!CI37*VLOOKUP('Données projet'!$B$12,Paramètres!$A$1:$I$89,3,0)*0.475*44/12</f>
        <v>19.437016713405093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20.825006106912806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10.8</v>
      </c>
      <c r="CT37" s="12">
        <f>IF('Données projet'!$A$140&gt;35,CT36+CS37-DB36,IF(A37&lt;'Données projet'!$A$140,$CQ$205^A37,IF(A37='Données projet'!$A$140,'Données projet'!$B$140,CT36+CS37-DB36)))</f>
        <v>133.19999999999999</v>
      </c>
      <c r="CU37" s="17">
        <f>CT37*VLOOKUP('Données projet'!$B$13,Paramètres!$A$1:$I$89,3,0)*VLOOKUP('Données projet'!$B$13,Paramètres!$A$1:$I$89,5,0)</f>
        <v>105.97392000000001</v>
      </c>
      <c r="CV37" s="13">
        <f t="shared" si="41"/>
        <v>28.380360034754435</v>
      </c>
      <c r="CW37" s="20">
        <f t="shared" si="13"/>
        <v>234.00037106053068</v>
      </c>
      <c r="CX37" s="59">
        <f t="shared" si="14"/>
        <v>527.33370439386397</v>
      </c>
      <c r="CY37" s="59">
        <f ca="1">AVERAGE(OFFSET($CX$3,0,0,'Données projet'!$E$13+1,1))-AVERAGE(OFFSET($H$3,0,0,'Données projet'!$E$13+1,1))</f>
        <v>198.11534486400666</v>
      </c>
      <c r="CZ37" s="59">
        <f t="shared" si="42"/>
        <v>174.29856796517652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7.6459342183067367</v>
      </c>
      <c r="DH37" s="21">
        <f>EXP(-LN(2)/2)*DH36+(1-EXP(-LN(2)/2))/(LN(2)/2)*DB37*DE37*VLOOKUP('Données projet'!$B$13,Paramètres!$A$1:$I$89,3,0)*0.475*44/12</f>
        <v>1.5869514769094304</v>
      </c>
      <c r="DI37" s="22">
        <f t="shared" si="15"/>
        <v>9.2328856952161669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2.6904761904761907</v>
      </c>
      <c r="DO37" s="12">
        <f>IF('Données projet'!$A$166&gt;35,DO36+DN37-DW36,IF(A37&lt;'Données projet'!$A$166,$DL$205^A37,IF(A37='Données projet'!$A$166,'Données projet'!$B$166,DO36+DN37-DW36)))</f>
        <v>91.476190476190467</v>
      </c>
      <c r="DP37" s="17">
        <f>DO37*VLOOKUP('Données projet'!$B$14,Paramètres!$A$1:$I$89,3,0)*VLOOKUP('Données projet'!$B$14,Paramètres!$A$1:$I$89,5,0)</f>
        <v>92.756857142857143</v>
      </c>
      <c r="DQ37" s="13">
        <f t="shared" si="43"/>
        <v>25.228940508687224</v>
      </c>
      <c r="DR37" s="20">
        <f t="shared" si="16"/>
        <v>205.49193090977312</v>
      </c>
      <c r="DS37" s="59">
        <f t="shared" si="17"/>
        <v>498.8252642431064</v>
      </c>
      <c r="DT37" s="59">
        <f ca="1">AVERAGE(OFFSET($DS$3,0,0,'Données projet'!$E$14+1,1))-AVERAGE(OFFSET($H$3,0,0,'Données projet'!$E$14+1,1))</f>
        <v>247.92503505485405</v>
      </c>
      <c r="DU37" s="59">
        <f t="shared" si="44"/>
        <v>148.26437652597514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2.6904761904761907</v>
      </c>
      <c r="EJ37" s="12">
        <f>IF('Données projet'!$A$192&gt;35,EJ36+EI37-ER36,IF(A37&lt;'Données projet'!$A$192,$EG$205^A37,IF(A37='Données projet'!$A$192,'Données projet'!$B$192,EJ36+EI37-ER36)))</f>
        <v>91.476190476190467</v>
      </c>
      <c r="EK37" s="17">
        <f>EJ37*VLOOKUP('Données projet'!$B$15,Paramètres!$A$1:$I$89,3,0)*VLOOKUP('Données projet'!$B$15,Paramètres!$A$1:$I$89,5,0)</f>
        <v>88.47577142857142</v>
      </c>
      <c r="EL37" s="13">
        <f t="shared" si="45"/>
        <v>24.197253122930082</v>
      </c>
      <c r="EM37" s="20">
        <f t="shared" si="19"/>
        <v>196.23885109386507</v>
      </c>
      <c r="EN37" s="59">
        <f t="shared" si="20"/>
        <v>489.57218442719841</v>
      </c>
      <c r="EO37" s="59">
        <f ca="1">AVERAGE(OFFSET($EN$3,0,0,'Données projet'!$E$15+1,1))-AVERAGE(OFFSET($H$3,0,0,'Données projet'!$E$15+1,1))</f>
        <v>232.99870507181964</v>
      </c>
      <c r="EP37" s="59">
        <f t="shared" si="46"/>
        <v>140.07662669226278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10.8</v>
      </c>
      <c r="FE37" s="12">
        <f>IF('Données projet'!$A$218&gt;35,FE36+FD37-FM36,IF(A37&lt;'Données projet'!$A$218,$FB$205^A37,IF(A37='Données projet'!$A$218,'Données projet'!$B$218,FE36+FD37-FM36)))</f>
        <v>133.19999999999999</v>
      </c>
      <c r="FF37" s="17">
        <f>FE37*VLOOKUP('Données projet'!$B$16,Paramètres!$A$1:$I$89,3,0)*VLOOKUP('Données projet'!$B$16,Paramètres!$A$1:$I$89,5,0)</f>
        <v>103.896</v>
      </c>
      <c r="FG37" s="13">
        <f t="shared" si="47"/>
        <v>27.888091127225799</v>
      </c>
      <c r="FH37" s="20">
        <f t="shared" si="22"/>
        <v>229.52395871325157</v>
      </c>
      <c r="FI37" s="59">
        <f t="shared" si="23"/>
        <v>522.85729204658492</v>
      </c>
      <c r="FJ37" s="59">
        <f ca="1">AVERAGE(OFFSET($FI$3,0,0,'Données projet'!$E$16+1,1))-AVERAGE(OFFSET($H$3,0,0,'Données projet'!$E$16+1,1))</f>
        <v>193.47609744163839</v>
      </c>
      <c r="FK37" s="59">
        <f t="shared" si="48"/>
        <v>170.3221892406973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</v>
      </c>
      <c r="FR37" s="21">
        <f>EXP(-LN(2)/25)*FR36+(1-EXP(-LN(2)/25))/(LN(2)/25)*Calculateur!FM37*Calculateur!FO37*VLOOKUP('Données projet'!$B$16,Paramètres!$A$1:$I$89,3,0)*0.475*44/12</f>
        <v>6.0816716867774652</v>
      </c>
      <c r="FS37" s="21">
        <f>EXP(-LN(2)/2)*FS36+(1-EXP(-LN(2)/2))/(LN(2)/2)*FM37*FP37*VLOOKUP('Données projet'!$B$16,Paramètres!$A$1:$I$89,3,0)*0.475*44/12</f>
        <v>1.5558347812837556</v>
      </c>
      <c r="FT37" s="22">
        <f t="shared" si="24"/>
        <v>7.637506468061221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12.833333333333334</v>
      </c>
      <c r="FZ37" s="12">
        <f>IF('Données projet'!$A$244&gt;35,FZ36+FY37-GH36,IF(A37&lt;'Données projet'!$A$244,$FW$205^A37,IF(A37='Données projet'!$A$244,'Données projet'!$B$244,FZ36+FY37-GH36)))</f>
        <v>222.33333333333331</v>
      </c>
      <c r="GA37" s="17">
        <f>FZ37*VLOOKUP('Données projet'!$B$17,Paramètres!$A$1:$I$89,3,0)*VLOOKUP('Données projet'!$B$17,Paramètres!$A$1:$I$89,5,0)</f>
        <v>121.39399999999999</v>
      </c>
      <c r="GB37" s="13">
        <f t="shared" si="49"/>
        <v>31.999908030972435</v>
      </c>
      <c r="GC37" s="20">
        <f t="shared" si="25"/>
        <v>267.16105648727694</v>
      </c>
      <c r="GD37" s="59">
        <f t="shared" si="26"/>
        <v>560.49438982061019</v>
      </c>
      <c r="GE37" s="59">
        <f ca="1">AVERAGE(OFFSET($GD$3,0,0,'Données projet'!$E$17+1,1))-AVERAGE(OFFSET($H$3,0,0,'Données projet'!$E$17+1,1))</f>
        <v>153.43773674911449</v>
      </c>
      <c r="GF37" s="59">
        <f t="shared" si="50"/>
        <v>235.49395036616602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2.127868037154387</v>
      </c>
      <c r="GM37" s="21">
        <f>EXP(-LN(2)/25)*GM36+(1-EXP(-LN(2)/25))/(LN(2)/25)*Calculateur!GH37*Calculateur!GJ37*VLOOKUP('Données projet'!$B$17,Paramètres!$A$1:$I$89,3,0)*0.475*44/12</f>
        <v>41.398311029894167</v>
      </c>
      <c r="GN37" s="21">
        <f>EXP(-LN(2)/2)*GN36+(1-EXP(-LN(2)/2))/(LN(2)/2)*GH37*GK37*VLOOKUP('Données projet'!$B$17,Paramètres!$A$1:$I$89,3,0)*0.475*44/12</f>
        <v>0</v>
      </c>
      <c r="GO37" s="21">
        <f t="shared" si="27"/>
        <v>43.526179067048552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10.8</v>
      </c>
      <c r="GU37" s="12">
        <f>IF('Données projet'!$A$270&gt;35,GU36+GT37-HC36,IF(A37&lt;'Données projet'!$A$270,$GR$205^A37,IF(A37='Données projet'!$A$270,'Données projet'!$B$270,GU36+GT37-HC36)))</f>
        <v>133.19999999999999</v>
      </c>
      <c r="GV37" s="17">
        <f>GU37*VLOOKUP('Données projet'!$B$18,Paramètres!$A$1:$I$89,3,0)*VLOOKUP('Données projet'!$B$18,Paramètres!$A$1:$I$89,5,0)</f>
        <v>105.97392000000001</v>
      </c>
      <c r="GW37" s="13">
        <f t="shared" si="51"/>
        <v>28.380360034754435</v>
      </c>
      <c r="GX37" s="20">
        <f t="shared" si="28"/>
        <v>234.00037106053068</v>
      </c>
      <c r="GY37" s="59">
        <f t="shared" si="29"/>
        <v>527.33370439386397</v>
      </c>
      <c r="GZ37" s="59">
        <f ca="1">AVERAGE(OFFSET($GY$3,0,0,'Données projet'!$E$18+1,1))-AVERAGE(OFFSET($H$3,0,0,'Données projet'!$E$18+1,1))</f>
        <v>198.11534486400666</v>
      </c>
      <c r="HA37" s="59">
        <f t="shared" si="52"/>
        <v>174.29856796517652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>
        <f>EXP(-LN(2)/35)*HG36+(1-EXP(-LN(2)/35))/(LN(2)/35)*HC37*HD37*VLOOKUP('Données projet'!$B$18,Paramètres!$A$1:$I$89,3,0)*0.475*44/12</f>
        <v>0</v>
      </c>
      <c r="HH37" s="21">
        <f>EXP(-LN(2)/25)*HH36+(1-EXP(-LN(2)/25))/(LN(2)/25)*Calculateur!HC37*Calculateur!HE37*VLOOKUP('Données projet'!$B$18,Paramètres!$A$1:$I$89,3,0)*0.475*44/12</f>
        <v>7.6459342183067367</v>
      </c>
      <c r="HI37" s="21">
        <f>EXP(-LN(2)/2)*HI36+(1-EXP(-LN(2)/2))/(LN(2)/2)*HC37*HF37*VLOOKUP('Données projet'!$B$18,Paramètres!$A$1:$I$89,3,0)*0.475*44/12</f>
        <v>1.5869514769094304</v>
      </c>
      <c r="HJ37" s="22">
        <f t="shared" si="30"/>
        <v>9.2328856952161669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10.3</v>
      </c>
      <c r="N38" s="13">
        <f>IF('Données projet'!$A$36&gt;35,N37+M38-V37,IF(A38&lt;'Données projet'!$A$36,$K$205^A38,IF(A38='Données projet'!$A$36,'Données projet'!$B$36,N37+M38-V37)))</f>
        <v>195.50000000000006</v>
      </c>
      <c r="O38" s="13">
        <f>N38*VLOOKUP('Données projet'!$B$9,Paramètres!$A$1:$I$89,3,0)*VLOOKUP('Données projet'!$B$9,Paramètres!$A$1:$I$89,5,0)</f>
        <v>116.90900000000005</v>
      </c>
      <c r="P38" s="13">
        <f t="shared" si="33"/>
        <v>30.952983037024019</v>
      </c>
      <c r="Q38" s="20">
        <f t="shared" si="53"/>
        <v>257.52628712281688</v>
      </c>
      <c r="R38" s="59">
        <f t="shared" si="0"/>
        <v>550.8596204561502</v>
      </c>
      <c r="S38" s="59">
        <f ca="1">AVERAGE(OFFSET($R$3,0,0,'Données projet'!$E$9+1,1))-AVERAGE(OFFSET($H$3,0,0,'Données projet'!$E$9+1,1))</f>
        <v>295.19075440119076</v>
      </c>
      <c r="T38" s="59">
        <f t="shared" si="34"/>
        <v>173.0182327988216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0.38798864462097721</v>
      </c>
      <c r="AA38" s="21">
        <f>EXP(-LN(2)/25)*AA37+(1-EXP(-LN(2)/25))/(LN(2)/25)*Calculateur!V38*Calculateur!X38*VLOOKUP('Données projet'!$B$9,Paramètres!$A$1:$I$89,3,0)*0.475*44/12</f>
        <v>3.343077559939756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3.731066204560733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233</v>
      </c>
      <c r="AG38" s="12">
        <f>VLOOKUP(A38,'Données projet'!$A$61:$I$81,9,0)</f>
        <v>14.6</v>
      </c>
      <c r="AH38" s="12">
        <f t="array" ref="AH38">INDEX(AG:AG,MIN(IF(ISNUMBER(AG38:AG234),ROW(AG38:AG234),"")))</f>
        <v>14.6</v>
      </c>
      <c r="AI38" s="13">
        <f>IF('Données projet'!$A$62&gt;35,AI37+AH38-AQ37,IF(A38&lt;'Données projet'!$A$62,$AF$205^A38,IF(A38='Données projet'!$A$62,'Données projet'!$B$62,AI37+AH38-AQ37)))</f>
        <v>233.00000000000003</v>
      </c>
      <c r="AJ38" s="13">
        <f>AI38*VLOOKUP('Données projet'!$B$10,Paramètres!$A$1:$I$89,3,0)*VLOOKUP('Données projet'!$B$10,Paramètres!$A$1:$I$89,5,0)</f>
        <v>139.33400000000003</v>
      </c>
      <c r="AK38" s="13">
        <f t="shared" si="35"/>
        <v>36.144391930570897</v>
      </c>
      <c r="AL38" s="20">
        <f t="shared" si="4"/>
        <v>305.62486594574438</v>
      </c>
      <c r="AM38" s="59">
        <f t="shared" si="5"/>
        <v>598.95819927907769</v>
      </c>
      <c r="AN38" s="59">
        <f ca="1">AVERAGE(OFFSET($AM$3,0,0,'Données projet'!$E$10+1,1))-AVERAGE(OFFSET($H$3,0,0,'Données projet'!$E$10+1,1))</f>
        <v>294.45857786714919</v>
      </c>
      <c r="AO38" s="59">
        <f t="shared" si="36"/>
        <v>221.9773436301067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41</v>
      </c>
      <c r="AR38" s="16">
        <f>IF(ISNA(VLOOKUP(A38,'Données projet'!$A$61:$I$81,5,0)),0%,VLOOKUP(A38,'Données projet'!$A$61:$I$81,5,0)*VLOOKUP('Données projet'!$B$10,Paramètres!$A$1:$I$89,7,0))</f>
        <v>9.0000000000000011E-2</v>
      </c>
      <c r="AS38" s="16">
        <f>IF(ISNA(VLOOKUP(A38,'Données projet'!$A$61:$I$81,6,0)),0%,VLOOKUP(A38,'Données projet'!$A$61:$I$81,6,0)*VLOOKUP('Données projet'!$B$10,Paramètres!$A$1:$I$89,7,0))</f>
        <v>0.36000000000000004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4.0265248184214339</v>
      </c>
      <c r="AV38" s="21">
        <f>EXP(-LN(2)/25)*AV37+(1-EXP(-LN(2)/25))/(LN(2)/25)*Calculateur!AQ38*Calculateur!AS38*VLOOKUP('Données projet'!$B$10,Paramètres!$A$1:$I$89,3,0)*0.475*44/12</f>
        <v>21.134845341528731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25.161370159950167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235.16666666666666</v>
      </c>
      <c r="BE38" s="13">
        <f>BD38*VLOOKUP('Données projet'!$B$11,Paramètres!$A$1:$I$89,3,0)*VLOOKUP('Données projet'!$B$11,Paramètres!$A$1:$I$89,5,0)</f>
        <v>146.744</v>
      </c>
      <c r="BF38" s="13">
        <f t="shared" si="37"/>
        <v>37.837705514258651</v>
      </c>
      <c r="BG38" s="20">
        <f t="shared" si="7"/>
        <v>321.47980377066716</v>
      </c>
      <c r="BH38" s="59">
        <f t="shared" si="8"/>
        <v>614.81313710400048</v>
      </c>
      <c r="BI38" s="59">
        <f ca="1">AVERAGE(OFFSET($BH$3,0,0,'Données projet'!$E$11+1,1))-AVERAGE(OFFSET($H$3,0,0,'Données projet'!$E$11+1,1))</f>
        <v>179.44051550872138</v>
      </c>
      <c r="BJ38" s="59">
        <f t="shared" si="38"/>
        <v>272.9500808380069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2.3841621060767295</v>
      </c>
      <c r="BQ38" s="21">
        <f>EXP(-LN(2)/25)*BQ37+(1-EXP(-LN(2)/25))/(LN(2)/25)*Calculateur!BL38*Calculateur!BN38*VLOOKUP('Données projet'!$B$11,Paramètres!$A$1:$I$89,3,0)*0.475*44/12</f>
        <v>46.01859661455903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48.402758720635759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10.1</v>
      </c>
      <c r="BY38" s="12">
        <f>IF('Données projet'!$A$114&gt;35,BY37+BX38-CG37,IF(A38&lt;'Données projet'!$A$114,$BV$205^A38,IF(A38='Données projet'!$A$114,'Données projet'!$B$114,BY37+BX38-CG37)))</f>
        <v>224.49999999999986</v>
      </c>
      <c r="BZ38" s="13">
        <f>BY38*VLOOKUP('Données projet'!$B$12,Paramètres!$A$1:$I$89,3,0)*VLOOKUP('Données projet'!$B$12,Paramètres!$A$1:$I$89,5,0)</f>
        <v>105.06599999999995</v>
      </c>
      <c r="CA38" s="13">
        <f t="shared" si="39"/>
        <v>28.165409079424791</v>
      </c>
      <c r="CB38" s="20">
        <f t="shared" si="10"/>
        <v>232.04470414666477</v>
      </c>
      <c r="CC38" s="59">
        <f t="shared" si="11"/>
        <v>525.37803747999806</v>
      </c>
      <c r="CD38" s="59">
        <f ca="1">AVERAGE(OFFSET($CC$3,0,0,'Données projet'!$E$12+1,1))-AVERAGE(OFFSET($H$3,0,0,'Données projet'!$E$12+1,1))</f>
        <v>259.87681411271632</v>
      </c>
      <c r="CE38" s="59">
        <f t="shared" si="40"/>
        <v>191.8684235641158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1.3607717680909635</v>
      </c>
      <c r="CL38" s="21">
        <f>EXP(-LN(2)/25)*CL37+(1-EXP(-LN(2)/25))/(LN(2)/25)*Calculateur!CG38*Calculateur!CI38*VLOOKUP('Données projet'!$B$12,Paramètres!$A$1:$I$89,3,0)*0.475*44/12</f>
        <v>18.905510469228744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20.266282237319707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144</v>
      </c>
      <c r="CR38" s="12">
        <f>VLOOKUP(A38,'Données projet'!$A$139:$I$159,9,0)</f>
        <v>10.8</v>
      </c>
      <c r="CS38" s="12">
        <f t="array" ref="CS38">INDEX(CR:CR,MIN(IF(ISNUMBER(CR38:CR234),ROW(CR38:CR234),"")))</f>
        <v>10.8</v>
      </c>
      <c r="CT38" s="12">
        <f>IF('Données projet'!$A$140&gt;35,CT37+CS38-DB37,IF(A38&lt;'Données projet'!$A$140,$CQ$205^A38,IF(A38='Données projet'!$A$140,'Données projet'!$B$140,CT37+CS38-DB37)))</f>
        <v>144</v>
      </c>
      <c r="CU38" s="17">
        <f>CT38*VLOOKUP('Données projet'!$B$13,Paramètres!$A$1:$I$89,3,0)*VLOOKUP('Données projet'!$B$13,Paramètres!$A$1:$I$89,5,0)</f>
        <v>114.5664</v>
      </c>
      <c r="CV38" s="13">
        <f t="shared" si="41"/>
        <v>30.404303956519186</v>
      </c>
      <c r="CW38" s="20">
        <f t="shared" si="13"/>
        <v>252.49064272427088</v>
      </c>
      <c r="CX38" s="59">
        <f t="shared" si="14"/>
        <v>545.82397605760423</v>
      </c>
      <c r="CY38" s="59">
        <f ca="1">AVERAGE(OFFSET($CX$3,0,0,'Données projet'!$E$13+1,1))-AVERAGE(OFFSET($H$3,0,0,'Données projet'!$E$13+1,1))</f>
        <v>198.11534486400666</v>
      </c>
      <c r="CZ38" s="59">
        <f t="shared" si="42"/>
        <v>174.29856796517652</v>
      </c>
      <c r="DA38" s="15">
        <f>IF(ISNA(VLOOKUP(A38,'Données projet'!$A$139:$I$159,3,0)),0,VLOOKUP(A38,'Données projet'!$A$139:$I$159,3,0))</f>
        <v>4</v>
      </c>
      <c r="DB38" s="15">
        <f>IF(ISNA(VLOOKUP(A38,'Données projet'!$A$139:$I$159,4,0)),0,VLOOKUP(A38,'Données projet'!$A$139:$I$159,4,0))</f>
        <v>28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0.1855</v>
      </c>
      <c r="DE38" s="16">
        <f>IF(ISNA(VLOOKUP(A38,'Données projet'!$A$139:$I$159,7,0)),0%,VLOOKUP(A38,'Données projet'!$A$139:$I$159,7,0))</f>
        <v>0.35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11.987055597158559</v>
      </c>
      <c r="DH38" s="21">
        <f>EXP(-LN(2)/2)*DH37+(1-EXP(-LN(2)/2))/(LN(2)/2)*DB38*DE38*VLOOKUP('Données projet'!$B$13,Paramètres!$A$1:$I$89,3,0)*0.475*44/12</f>
        <v>8.4787102806851244</v>
      </c>
      <c r="DI38" s="22">
        <f t="shared" si="15"/>
        <v>20.465765877843683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2.6904761904761907</v>
      </c>
      <c r="DO38" s="12">
        <f>IF('Données projet'!$A$166&gt;35,DO37+DN38-DW37,IF(A38&lt;'Données projet'!$A$166,$DL$205^A38,IF(A38='Données projet'!$A$166,'Données projet'!$B$166,DO37+DN38-DW37)))</f>
        <v>94.166666666666657</v>
      </c>
      <c r="DP38" s="17">
        <f>DO38*VLOOKUP('Données projet'!$B$14,Paramètres!$A$1:$I$89,3,0)*VLOOKUP('Données projet'!$B$14,Paramètres!$A$1:$I$89,5,0)</f>
        <v>95.484999999999999</v>
      </c>
      <c r="DQ38" s="13">
        <f t="shared" si="43"/>
        <v>25.883485918927366</v>
      </c>
      <c r="DR38" s="20">
        <f t="shared" si="16"/>
        <v>211.38344630879848</v>
      </c>
      <c r="DS38" s="59">
        <f t="shared" si="17"/>
        <v>504.71677964213177</v>
      </c>
      <c r="DT38" s="59">
        <f ca="1">AVERAGE(OFFSET($DS$3,0,0,'Données projet'!$E$14+1,1))-AVERAGE(OFFSET($H$3,0,0,'Données projet'!$E$14+1,1))</f>
        <v>247.92503505485405</v>
      </c>
      <c r="DU38" s="59">
        <f t="shared" si="44"/>
        <v>148.26437652597514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2.6904761904761907</v>
      </c>
      <c r="EJ38" s="12">
        <f>IF('Données projet'!$A$192&gt;35,EJ37+EI38-ER37,IF(A38&lt;'Données projet'!$A$192,$EG$205^A38,IF(A38='Données projet'!$A$192,'Données projet'!$B$192,EJ37+EI38-ER37)))</f>
        <v>94.166666666666657</v>
      </c>
      <c r="EK38" s="17">
        <f>EJ38*VLOOKUP('Données projet'!$B$15,Paramètres!$A$1:$I$89,3,0)*VLOOKUP('Données projet'!$B$15,Paramètres!$A$1:$I$89,5,0)</f>
        <v>91.077999999999989</v>
      </c>
      <c r="EL38" s="13">
        <f t="shared" si="45"/>
        <v>24.825032199367286</v>
      </c>
      <c r="EM38" s="20">
        <f t="shared" si="19"/>
        <v>201.86444774723134</v>
      </c>
      <c r="EN38" s="59">
        <f t="shared" si="20"/>
        <v>495.19778108056465</v>
      </c>
      <c r="EO38" s="59">
        <f ca="1">AVERAGE(OFFSET($EN$3,0,0,'Données projet'!$E$15+1,1))-AVERAGE(OFFSET($H$3,0,0,'Données projet'!$E$15+1,1))</f>
        <v>232.99870507181964</v>
      </c>
      <c r="EP38" s="59">
        <f t="shared" si="46"/>
        <v>140.07662669226278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144</v>
      </c>
      <c r="FC38" s="12">
        <f>VLOOKUP(A38,'Données projet'!$A$217:$I$237,9,0)</f>
        <v>10.8</v>
      </c>
      <c r="FD38" s="12">
        <f t="array" ref="FD38">INDEX(FC:FC,MIN(IF(ISNUMBER(FC38:FC234),ROW(FC38:FC234),"")))</f>
        <v>10.8</v>
      </c>
      <c r="FE38" s="12">
        <f>IF('Données projet'!$A$218&gt;35,FE37+FD38-FM37,IF(A38&lt;'Données projet'!$A$218,$FB$205^A38,IF(A38='Données projet'!$A$218,'Données projet'!$B$218,FE37+FD38-FM37)))</f>
        <v>144</v>
      </c>
      <c r="FF38" s="17">
        <f>FE38*VLOOKUP('Données projet'!$B$16,Paramètres!$A$1:$I$89,3,0)*VLOOKUP('Données projet'!$B$16,Paramètres!$A$1:$I$89,5,0)</f>
        <v>112.32000000000001</v>
      </c>
      <c r="FG38" s="13">
        <f t="shared" si="47"/>
        <v>29.87692891707237</v>
      </c>
      <c r="FH38" s="20">
        <f t="shared" si="22"/>
        <v>247.65965119723435</v>
      </c>
      <c r="FI38" s="59">
        <f t="shared" si="23"/>
        <v>540.9929845305677</v>
      </c>
      <c r="FJ38" s="59">
        <f ca="1">AVERAGE(OFFSET($FI$3,0,0,'Données projet'!$E$16+1,1))-AVERAGE(OFFSET($H$3,0,0,'Données projet'!$E$16+1,1))</f>
        <v>193.47609744163839</v>
      </c>
      <c r="FK38" s="59">
        <f t="shared" si="48"/>
        <v>170.3221892406973</v>
      </c>
      <c r="FL38" s="15">
        <f>IF(ISNA(VLOOKUP(A38,'Données projet'!$A$217:$I$237,3,0)),0,VLOOKUP(A38,'Données projet'!$A$217:$I$237,3,0))</f>
        <v>4</v>
      </c>
      <c r="FM38" s="15">
        <f>IF(ISNA(VLOOKUP(A38,'Données projet'!$A$217:$I$237,4,0)),0,VLOOKUP(A38,'Données projet'!$A$217:$I$237,4,0))</f>
        <v>28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0.15049999999999999</v>
      </c>
      <c r="FP38" s="16">
        <f>IF(ISNA(VLOOKUP(A38,'Données projet'!$A$217:$I$237,7,0)),0%,VLOOKUP(A38,'Données projet'!$A$217:$I$237,7,0))</f>
        <v>0.35</v>
      </c>
      <c r="FQ38" s="21">
        <f>EXP(-LN(2)/35)*FQ37+(1-EXP(-LN(2)/35))/(LN(2)/35)*FM38*FN38*VLOOKUP('Données projet'!$B$16,Paramètres!$A$1:$I$89,3,0)*0.475*44/12</f>
        <v>0</v>
      </c>
      <c r="FR38" s="21">
        <f>EXP(-LN(2)/25)*FR37+(1-EXP(-LN(2)/25))/(LN(2)/25)*Calculateur!FM38*Calculateur!FO38*VLOOKUP('Données projet'!$B$16,Paramètres!$A$1:$I$89,3,0)*0.475*44/12</f>
        <v>9.534653915608919</v>
      </c>
      <c r="FS38" s="21">
        <f>EXP(-LN(2)/2)*FS37+(1-EXP(-LN(2)/2))/(LN(2)/2)*FM38*FP38*VLOOKUP('Données projet'!$B$16,Paramètres!$A$1:$I$89,3,0)*0.475*44/12</f>
        <v>8.3124610594952202</v>
      </c>
      <c r="FT38" s="22">
        <f t="shared" si="24"/>
        <v>17.847114975104141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12.833333333333334</v>
      </c>
      <c r="FZ38" s="12">
        <f>IF('Données projet'!$A$244&gt;35,FZ37+FY38-GH37,IF(A38&lt;'Données projet'!$A$244,$FW$205^A38,IF(A38='Données projet'!$A$244,'Données projet'!$B$244,FZ37+FY38-GH37)))</f>
        <v>235.16666666666666</v>
      </c>
      <c r="GA38" s="17">
        <f>FZ38*VLOOKUP('Données projet'!$B$17,Paramètres!$A$1:$I$89,3,0)*VLOOKUP('Données projet'!$B$17,Paramètres!$A$1:$I$89,5,0)</f>
        <v>128.40100000000001</v>
      </c>
      <c r="GB38" s="13">
        <f t="shared" si="49"/>
        <v>33.626611664187173</v>
      </c>
      <c r="GC38" s="20">
        <f t="shared" si="25"/>
        <v>282.19809031512602</v>
      </c>
      <c r="GD38" s="59">
        <f t="shared" si="26"/>
        <v>575.53142364845939</v>
      </c>
      <c r="GE38" s="59">
        <f ca="1">AVERAGE(OFFSET($GD$3,0,0,'Données projet'!$E$17+1,1))-AVERAGE(OFFSET($H$3,0,0,'Données projet'!$E$17+1,1))</f>
        <v>153.43773674911449</v>
      </c>
      <c r="GF38" s="59">
        <f t="shared" si="50"/>
        <v>235.49395036616602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2.0861418428171379</v>
      </c>
      <c r="GM38" s="21">
        <f>EXP(-LN(2)/25)*GM37+(1-EXP(-LN(2)/25))/(LN(2)/25)*Calculateur!GH38*Calculateur!GJ38*VLOOKUP('Données projet'!$B$17,Paramètres!$A$1:$I$89,3,0)*0.475*44/12</f>
        <v>40.266272037739149</v>
      </c>
      <c r="GN38" s="21">
        <f>EXP(-LN(2)/2)*GN37+(1-EXP(-LN(2)/2))/(LN(2)/2)*GH38*GK38*VLOOKUP('Données projet'!$B$17,Paramètres!$A$1:$I$89,3,0)*0.475*44/12</f>
        <v>0</v>
      </c>
      <c r="GO38" s="21">
        <f t="shared" si="27"/>
        <v>42.352413880556284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>
        <f>VLOOKUP(A38,'Données projet'!$A$269:$I$289,2,0)</f>
        <v>144</v>
      </c>
      <c r="GS38" s="12">
        <f>VLOOKUP(A38,'Données projet'!$A$269:$I$289,9,0)</f>
        <v>10.8</v>
      </c>
      <c r="GT38" s="12">
        <f t="array" ref="GT38">INDEX(GS:GS,MIN(IF(ISNUMBER(GS38:GS234),ROW(GS38:GS234),"")))</f>
        <v>10.8</v>
      </c>
      <c r="GU38" s="12">
        <f>IF('Données projet'!$A$270&gt;35,GU37+GT38-HC37,IF(A38&lt;'Données projet'!$A$270,$GR$205^A38,IF(A38='Données projet'!$A$270,'Données projet'!$B$270,GU37+GT38-HC37)))</f>
        <v>144</v>
      </c>
      <c r="GV38" s="17">
        <f>GU38*VLOOKUP('Données projet'!$B$18,Paramètres!$A$1:$I$89,3,0)*VLOOKUP('Données projet'!$B$18,Paramètres!$A$1:$I$89,5,0)</f>
        <v>114.5664</v>
      </c>
      <c r="GW38" s="13">
        <f t="shared" si="51"/>
        <v>30.404303956519186</v>
      </c>
      <c r="GX38" s="20">
        <f t="shared" si="28"/>
        <v>252.49064272427088</v>
      </c>
      <c r="GY38" s="59">
        <f t="shared" si="29"/>
        <v>545.82397605760423</v>
      </c>
      <c r="GZ38" s="59">
        <f ca="1">AVERAGE(OFFSET($GY$3,0,0,'Données projet'!$E$18+1,1))-AVERAGE(OFFSET($H$3,0,0,'Données projet'!$E$18+1,1))</f>
        <v>198.11534486400666</v>
      </c>
      <c r="HA38" s="59">
        <f t="shared" si="52"/>
        <v>174.29856796517652</v>
      </c>
      <c r="HB38" s="15">
        <f>IF(ISNA(VLOOKUP(A38,'Données projet'!$A$269:$I$289,3,0)),0,VLOOKUP(A38,'Données projet'!$A$269:$I$289,3,0))</f>
        <v>4</v>
      </c>
      <c r="HC38" s="15">
        <f>IF(ISNA(VLOOKUP(A38,'Données projet'!$A$269:$I$289,4,0)),0,VLOOKUP(A38,'Données projet'!$A$269:$I$289,4,0))</f>
        <v>28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0.1855</v>
      </c>
      <c r="HF38" s="16">
        <f>IF(ISNA(VLOOKUP(A38,'Données projet'!$A$269:$I$289,7,0)),0%,VLOOKUP(A38,'Données projet'!$A$269:$I$289,7,0))</f>
        <v>0.35</v>
      </c>
      <c r="HG38" s="21">
        <f>EXP(-LN(2)/35)*HG37+(1-EXP(-LN(2)/35))/(LN(2)/35)*HC38*HD38*VLOOKUP('Données projet'!$B$18,Paramètres!$A$1:$I$89,3,0)*0.475*44/12</f>
        <v>0</v>
      </c>
      <c r="HH38" s="21">
        <f>EXP(-LN(2)/25)*HH37+(1-EXP(-LN(2)/25))/(LN(2)/25)*Calculateur!HC38*Calculateur!HE38*VLOOKUP('Données projet'!$B$18,Paramètres!$A$1:$I$89,3,0)*0.475*44/12</f>
        <v>11.987055597158559</v>
      </c>
      <c r="HI38" s="21">
        <f>EXP(-LN(2)/2)*HI37+(1-EXP(-LN(2)/2))/(LN(2)/2)*HC38*HF38*VLOOKUP('Données projet'!$B$18,Paramètres!$A$1:$I$89,3,0)*0.475*44/12</f>
        <v>8.4787102806851244</v>
      </c>
      <c r="HJ38" s="22">
        <f t="shared" si="30"/>
        <v>20.465765877843683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10.3</v>
      </c>
      <c r="N39" s="13">
        <f>IF('Données projet'!$A$36&gt;35,N38+M39-V38,IF(A39&lt;'Données projet'!$A$36,$K$205^A39,IF(A39='Données projet'!$A$36,'Données projet'!$B$36,N38+M39-V38)))</f>
        <v>205.80000000000007</v>
      </c>
      <c r="O39" s="13">
        <f>N39*VLOOKUP('Données projet'!$B$9,Paramètres!$A$1:$I$89,3,0)*VLOOKUP('Données projet'!$B$9,Paramètres!$A$1:$I$89,5,0)</f>
        <v>123.06840000000005</v>
      </c>
      <c r="P39" s="13">
        <f t="shared" si="33"/>
        <v>32.389598186893679</v>
      </c>
      <c r="Q39" s="20">
        <f t="shared" si="53"/>
        <v>270.75601350883994</v>
      </c>
      <c r="R39" s="59">
        <f t="shared" si="0"/>
        <v>564.0893468421732</v>
      </c>
      <c r="S39" s="59">
        <f ca="1">AVERAGE(OFFSET($R$3,0,0,'Données projet'!$E$9+1,1))-AVERAGE(OFFSET($H$3,0,0,'Données projet'!$E$9+1,1))</f>
        <v>295.19075440119076</v>
      </c>
      <c r="T39" s="59">
        <f t="shared" si="34"/>
        <v>173.0182327988216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0.38038042394966587</v>
      </c>
      <c r="AA39" s="21">
        <f>EXP(-LN(2)/25)*AA38+(1-EXP(-LN(2)/25))/(LN(2)/25)*Calculateur!V39*Calculateur!X39*VLOOKUP('Données projet'!$B$9,Paramètres!$A$1:$I$89,3,0)*0.475*44/12</f>
        <v>3.2516609282583953</v>
      </c>
      <c r="AB39" s="21">
        <f>EXP(-LN(2)/2)*AB38+(1-EXP(-LN(2)/2))/(LN(2)/2)*V39*Y39*VLOOKUP('Données projet'!$B$9,Paramètres!$A$1:$I$89,3,0)*0.475*44/12</f>
        <v>0</v>
      </c>
      <c r="AC39" s="22">
        <f t="shared" si="3"/>
        <v>3.632041352208061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14.4</v>
      </c>
      <c r="AI39" s="13">
        <f>IF('Données projet'!$A$62&gt;35,AI38+AH39-AQ38,IF(A39&lt;'Données projet'!$A$62,$AF$205^A39,IF(A39='Données projet'!$A$62,'Données projet'!$B$62,AI38+AH39-AQ38)))</f>
        <v>206.40000000000003</v>
      </c>
      <c r="AJ39" s="13">
        <f>AI39*VLOOKUP('Données projet'!$B$10,Paramètres!$A$1:$I$89,3,0)*VLOOKUP('Données projet'!$B$10,Paramètres!$A$1:$I$89,5,0)</f>
        <v>123.42720000000003</v>
      </c>
      <c r="AK39" s="13">
        <f t="shared" si="35"/>
        <v>32.473022671122074</v>
      </c>
      <c r="AL39" s="20">
        <f t="shared" si="4"/>
        <v>271.5262211522043</v>
      </c>
      <c r="AM39" s="59">
        <f t="shared" si="5"/>
        <v>564.85955448553761</v>
      </c>
      <c r="AN39" s="59">
        <f ca="1">AVERAGE(OFFSET($AM$3,0,0,'Données projet'!$E$10+1,1))-AVERAGE(OFFSET($H$3,0,0,'Données projet'!$E$10+1,1))</f>
        <v>294.45857786714919</v>
      </c>
      <c r="AO39" s="59">
        <f t="shared" si="36"/>
        <v>221.9773436301067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3.9475671226698252</v>
      </c>
      <c r="AV39" s="21">
        <f>EXP(-LN(2)/25)*AV38+(1-EXP(-LN(2)/25))/(LN(2)/25)*Calculateur!AQ39*Calculateur!AS39*VLOOKUP('Données projet'!$B$10,Paramètres!$A$1:$I$89,3,0)*0.475*44/12</f>
        <v>20.556911884231415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24.504479006901239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154.75199999999998</v>
      </c>
      <c r="BF39" s="13">
        <f t="shared" si="37"/>
        <v>39.656526650076415</v>
      </c>
      <c r="BG39" s="20">
        <f t="shared" si="7"/>
        <v>338.5948505822164</v>
      </c>
      <c r="BH39" s="59">
        <f t="shared" si="8"/>
        <v>631.92818391554965</v>
      </c>
      <c r="BI39" s="59">
        <f ca="1">AVERAGE(OFFSET($BH$3,0,0,'Données projet'!$E$11+1,1))-AVERAGE(OFFSET($H$3,0,0,'Données projet'!$E$11+1,1))</f>
        <v>179.44051550872138</v>
      </c>
      <c r="BJ39" s="59">
        <f t="shared" si="38"/>
        <v>272.9500808380069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0.18</v>
      </c>
      <c r="BN39" s="16">
        <f>IF(ISNA(VLOOKUP(A39,'Données projet'!$A$87:$I$107,6,0)),0%,VLOOKUP(A39,'Données projet'!$A$87:$I$107,6,0)*VLOOKUP('Données projet'!$B$11,Paramètres!$A$1:$I$89,7,0))</f>
        <v>0.42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11.575392758739946</v>
      </c>
      <c r="BQ39" s="21">
        <f>EXP(-LN(2)/25)*BQ38+(1-EXP(-LN(2)/25))/(LN(2)/25)*Calculateur!BL39*Calculateur!BN39*VLOOKUP('Données projet'!$B$11,Paramètres!$A$1:$I$89,3,0)*0.475*44/12</f>
        <v>66.230637043118833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77.806029801858784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10.1</v>
      </c>
      <c r="BY39" s="12">
        <f>IF('Données projet'!$A$114&gt;35,BY38+BX39-CG38,IF(A39&lt;'Données projet'!$A$114,$BV$205^A39,IF(A39='Données projet'!$A$114,'Données projet'!$B$114,BY38+BX39-CG38)))</f>
        <v>234.59999999999985</v>
      </c>
      <c r="BZ39" s="13">
        <f>BY39*VLOOKUP('Données projet'!$B$12,Paramètres!$A$1:$I$89,3,0)*VLOOKUP('Données projet'!$B$12,Paramètres!$A$1:$I$89,5,0)</f>
        <v>109.79279999999993</v>
      </c>
      <c r="CA39" s="13">
        <f t="shared" si="39"/>
        <v>29.282161280908586</v>
      </c>
      <c r="CB39" s="20">
        <f t="shared" si="10"/>
        <v>242.22222423091566</v>
      </c>
      <c r="CC39" s="59">
        <f t="shared" si="11"/>
        <v>535.55555756424894</v>
      </c>
      <c r="CD39" s="59">
        <f ca="1">AVERAGE(OFFSET($CC$3,0,0,'Données projet'!$E$12+1,1))-AVERAGE(OFFSET($H$3,0,0,'Données projet'!$E$12+1,1))</f>
        <v>259.87681411271632</v>
      </c>
      <c r="CE39" s="59">
        <f t="shared" si="40"/>
        <v>191.8684235641158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1.3340878637075235</v>
      </c>
      <c r="CL39" s="21">
        <f>EXP(-LN(2)/25)*CL38+(1-EXP(-LN(2)/25))/(LN(2)/25)*Calculateur!CG39*Calculateur!CI39*VLOOKUP('Données projet'!$B$12,Paramètres!$A$1:$I$89,3,0)*0.475*44/12</f>
        <v>18.388538291250097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19.72262615495762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9.6</v>
      </c>
      <c r="CT39" s="12">
        <f>IF('Données projet'!$A$140&gt;35,CT38+CS39-DB38,IF(A39&lt;'Données projet'!$A$140,$CQ$205^A39,IF(A39='Données projet'!$A$140,'Données projet'!$B$140,CT38+CS39-DB38)))</f>
        <v>125.6</v>
      </c>
      <c r="CU39" s="17">
        <f>CT39*VLOOKUP('Données projet'!$B$13,Paramètres!$A$1:$I$89,3,0)*VLOOKUP('Données projet'!$B$13,Paramètres!$A$1:$I$89,5,0)</f>
        <v>99.927359999999993</v>
      </c>
      <c r="CV39" s="13">
        <f t="shared" si="41"/>
        <v>26.944691338219549</v>
      </c>
      <c r="CW39" s="20">
        <f t="shared" si="13"/>
        <v>220.968822747399</v>
      </c>
      <c r="CX39" s="59">
        <f t="shared" si="14"/>
        <v>514.30215608073229</v>
      </c>
      <c r="CY39" s="59">
        <f ca="1">AVERAGE(OFFSET($CX$3,0,0,'Données projet'!$E$13+1,1))-AVERAGE(OFFSET($H$3,0,0,'Données projet'!$E$13+1,1))</f>
        <v>198.11534486400666</v>
      </c>
      <c r="CZ39" s="59">
        <f t="shared" si="42"/>
        <v>174.29856796517652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11.659268931482401</v>
      </c>
      <c r="DH39" s="21">
        <f>EXP(-LN(2)/2)*DH38+(1-EXP(-LN(2)/2))/(LN(2)/2)*DB39*DE39*VLOOKUP('Données projet'!$B$13,Paramètres!$A$1:$I$89,3,0)*0.475*44/12</f>
        <v>5.9953535351885474</v>
      </c>
      <c r="DI39" s="22">
        <f t="shared" si="15"/>
        <v>17.654622466670951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2.6904761904761907</v>
      </c>
      <c r="DO39" s="12">
        <f>IF('Données projet'!$A$166&gt;35,DO38+DN39-DW38,IF(A39&lt;'Données projet'!$A$166,$DL$205^A39,IF(A39='Données projet'!$A$166,'Données projet'!$B$166,DO38+DN39-DW38)))</f>
        <v>96.857142857142847</v>
      </c>
      <c r="DP39" s="17">
        <f>DO39*VLOOKUP('Données projet'!$B$14,Paramètres!$A$1:$I$89,3,0)*VLOOKUP('Données projet'!$B$14,Paramètres!$A$1:$I$89,5,0)</f>
        <v>98.213142857142856</v>
      </c>
      <c r="DQ39" s="13">
        <f t="shared" si="43"/>
        <v>26.535857801424978</v>
      </c>
      <c r="DR39" s="20">
        <f t="shared" si="16"/>
        <v>217.27117614700566</v>
      </c>
      <c r="DS39" s="59">
        <f t="shared" si="17"/>
        <v>510.60450948033895</v>
      </c>
      <c r="DT39" s="59">
        <f ca="1">AVERAGE(OFFSET($DS$3,0,0,'Données projet'!$E$14+1,1))-AVERAGE(OFFSET($H$3,0,0,'Données projet'!$E$14+1,1))</f>
        <v>247.92503505485405</v>
      </c>
      <c r="DU39" s="59">
        <f t="shared" si="44"/>
        <v>148.26437652597514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2.6904761904761907</v>
      </c>
      <c r="EJ39" s="12">
        <f>IF('Données projet'!$A$192&gt;35,EJ38+EI39-ER38,IF(A39&lt;'Données projet'!$A$192,$EG$205^A39,IF(A39='Données projet'!$A$192,'Données projet'!$B$192,EJ38+EI39-ER38)))</f>
        <v>96.857142857142847</v>
      </c>
      <c r="EK39" s="17">
        <f>EJ39*VLOOKUP('Données projet'!$B$15,Paramètres!$A$1:$I$89,3,0)*VLOOKUP('Données projet'!$B$15,Paramètres!$A$1:$I$89,5,0)</f>
        <v>93.680228571428572</v>
      </c>
      <c r="EL39" s="13">
        <f t="shared" si="45"/>
        <v>25.450726630159625</v>
      </c>
      <c r="EM39" s="20">
        <f t="shared" si="19"/>
        <v>207.48641364276611</v>
      </c>
      <c r="EN39" s="59">
        <f t="shared" si="20"/>
        <v>500.8197469760994</v>
      </c>
      <c r="EO39" s="59">
        <f ca="1">AVERAGE(OFFSET($EN$3,0,0,'Données projet'!$E$15+1,1))-AVERAGE(OFFSET($H$3,0,0,'Données projet'!$E$15+1,1))</f>
        <v>232.99870507181964</v>
      </c>
      <c r="EP39" s="59">
        <f t="shared" si="46"/>
        <v>140.07662669226278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9.6</v>
      </c>
      <c r="FE39" s="12">
        <f>IF('Données projet'!$A$218&gt;35,FE38+FD39-FM38,IF(A39&lt;'Données projet'!$A$218,$FB$205^A39,IF(A39='Données projet'!$A$218,'Données projet'!$B$218,FE38+FD39-FM38)))</f>
        <v>125.6</v>
      </c>
      <c r="FF39" s="17">
        <f>FE39*VLOOKUP('Données projet'!$B$16,Paramètres!$A$1:$I$89,3,0)*VLOOKUP('Données projet'!$B$16,Paramètres!$A$1:$I$89,5,0)</f>
        <v>97.968000000000004</v>
      </c>
      <c r="FG39" s="13">
        <f t="shared" si="47"/>
        <v>26.477324689152429</v>
      </c>
      <c r="FH39" s="20">
        <f t="shared" si="22"/>
        <v>216.74227383360713</v>
      </c>
      <c r="FI39" s="59">
        <f t="shared" si="23"/>
        <v>510.07560716694047</v>
      </c>
      <c r="FJ39" s="59">
        <f ca="1">AVERAGE(OFFSET($FI$3,0,0,'Données projet'!$E$16+1,1))-AVERAGE(OFFSET($H$3,0,0,'Données projet'!$E$16+1,1))</f>
        <v>193.47609744163839</v>
      </c>
      <c r="FK39" s="59">
        <f t="shared" si="48"/>
        <v>170.3221892406973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</v>
      </c>
      <c r="FR39" s="21">
        <f>EXP(-LN(2)/25)*FR38+(1-EXP(-LN(2)/25))/(LN(2)/25)*Calculateur!FM39*Calculateur!FO39*VLOOKUP('Données projet'!$B$16,Paramètres!$A$1:$I$89,3,0)*0.475*44/12</f>
        <v>9.2739283028809361</v>
      </c>
      <c r="FS39" s="21">
        <f>EXP(-LN(2)/2)*FS38+(1-EXP(-LN(2)/2))/(LN(2)/2)*FM39*FP39*VLOOKUP('Données projet'!$B$16,Paramètres!$A$1:$I$89,3,0)*0.475*44/12</f>
        <v>5.8777975835181842</v>
      </c>
      <c r="FT39" s="22">
        <f t="shared" si="24"/>
        <v>15.15172588639912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>
        <f>VLOOKUP(A39,'Données projet'!$A$243:$I$263,2,0)</f>
        <v>248</v>
      </c>
      <c r="FX39" s="12">
        <f>VLOOKUP(A39,'Données projet'!$A$243:$I$263,9,0)</f>
        <v>12.833333333333334</v>
      </c>
      <c r="FY39" s="12">
        <f t="array" ref="FY39">INDEX(FX:FX,MIN(IF(ISNUMBER(FX39:FX235),ROW(FX39:FX235),"")))</f>
        <v>12.833333333333334</v>
      </c>
      <c r="FZ39" s="12">
        <f>IF('Données projet'!$A$244&gt;35,FZ38+FY39-GH38,IF(A39&lt;'Données projet'!$A$244,$FW$205^A39,IF(A39='Données projet'!$A$244,'Données projet'!$B$244,FZ38+FY39-GH38)))</f>
        <v>248</v>
      </c>
      <c r="GA39" s="17">
        <f>FZ39*VLOOKUP('Données projet'!$B$17,Paramètres!$A$1:$I$89,3,0)*VLOOKUP('Données projet'!$B$17,Paramètres!$A$1:$I$89,5,0)</f>
        <v>135.40799999999999</v>
      </c>
      <c r="GB39" s="13">
        <f t="shared" si="49"/>
        <v>35.243009677478732</v>
      </c>
      <c r="GC39" s="20">
        <f t="shared" si="25"/>
        <v>297.21717518827546</v>
      </c>
      <c r="GD39" s="59">
        <f t="shared" si="26"/>
        <v>590.55050852160878</v>
      </c>
      <c r="GE39" s="59">
        <f ca="1">AVERAGE(OFFSET($GD$3,0,0,'Données projet'!$E$17+1,1))-AVERAGE(OFFSET($H$3,0,0,'Données projet'!$E$17+1,1))</f>
        <v>153.43773674911449</v>
      </c>
      <c r="GF39" s="59">
        <f t="shared" si="50"/>
        <v>235.49395036616602</v>
      </c>
      <c r="GG39" s="15">
        <f>IF(ISNA(VLOOKUP(A39,'Données projet'!$A$243:$I$263,3,0)),0,VLOOKUP(A39,'Données projet'!$A$243:$I$263,3,0))</f>
        <v>5</v>
      </c>
      <c r="GH39" s="15">
        <f>IF(ISNA(VLOOKUP(A39,'Données projet'!$A$243:$I$263,4,0)),0,VLOOKUP(A39,'Données projet'!$A$243:$I$263,4,0))</f>
        <v>62</v>
      </c>
      <c r="GI39" s="16">
        <f>IF(ISNA(VLOOKUP(A39,'Données projet'!$A$243:$I$263,5,0)),0%,VLOOKUP(A39,'Données projet'!$A$243:$I$263,5,0)*VLOOKUP('Données projet'!$B$17,Paramètres!$A$1:$I$89,7,0))</f>
        <v>0.18</v>
      </c>
      <c r="GJ39" s="16">
        <f>IF(ISNA(VLOOKUP(A39,'Données projet'!$A$243:$I$263,6,0)),0%,VLOOKUP(A39,'Données projet'!$A$243:$I$263,6,0)*VLOOKUP('Données projet'!$B$17,Paramètres!$A$1:$I$89,7,0))</f>
        <v>0.42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10.128468663897454</v>
      </c>
      <c r="GM39" s="21">
        <f>EXP(-LN(2)/25)*GM38+(1-EXP(-LN(2)/25))/(LN(2)/25)*Calculateur!GH39*Calculateur!GJ39*VLOOKUP('Données projet'!$B$17,Paramètres!$A$1:$I$89,3,0)*0.475*44/12</f>
        <v>57.951807412728968</v>
      </c>
      <c r="GN39" s="21">
        <f>EXP(-LN(2)/2)*GN38+(1-EXP(-LN(2)/2))/(LN(2)/2)*GH39*GK39*VLOOKUP('Données projet'!$B$17,Paramètres!$A$1:$I$89,3,0)*0.475*44/12</f>
        <v>0</v>
      </c>
      <c r="GO39" s="21">
        <f t="shared" si="27"/>
        <v>68.080276076626419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9.6</v>
      </c>
      <c r="GU39" s="12">
        <f>IF('Données projet'!$A$270&gt;35,GU38+GT39-HC38,IF(A39&lt;'Données projet'!$A$270,$GR$205^A39,IF(A39='Données projet'!$A$270,'Données projet'!$B$270,GU38+GT39-HC38)))</f>
        <v>125.6</v>
      </c>
      <c r="GV39" s="17">
        <f>GU39*VLOOKUP('Données projet'!$B$18,Paramètres!$A$1:$I$89,3,0)*VLOOKUP('Données projet'!$B$18,Paramètres!$A$1:$I$89,5,0)</f>
        <v>99.927359999999993</v>
      </c>
      <c r="GW39" s="13">
        <f t="shared" si="51"/>
        <v>26.944691338219549</v>
      </c>
      <c r="GX39" s="20">
        <f t="shared" si="28"/>
        <v>220.968822747399</v>
      </c>
      <c r="GY39" s="59">
        <f t="shared" si="29"/>
        <v>514.30215608073229</v>
      </c>
      <c r="GZ39" s="59">
        <f ca="1">AVERAGE(OFFSET($GY$3,0,0,'Données projet'!$E$18+1,1))-AVERAGE(OFFSET($H$3,0,0,'Données projet'!$E$18+1,1))</f>
        <v>198.11534486400666</v>
      </c>
      <c r="HA39" s="59">
        <f t="shared" si="52"/>
        <v>174.29856796517652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>
        <f>EXP(-LN(2)/35)*HG38+(1-EXP(-LN(2)/35))/(LN(2)/35)*HC39*HD39*VLOOKUP('Données projet'!$B$18,Paramètres!$A$1:$I$89,3,0)*0.475*44/12</f>
        <v>0</v>
      </c>
      <c r="HH39" s="21">
        <f>EXP(-LN(2)/25)*HH38+(1-EXP(-LN(2)/25))/(LN(2)/25)*Calculateur!HC39*Calculateur!HE39*VLOOKUP('Données projet'!$B$18,Paramètres!$A$1:$I$89,3,0)*0.475*44/12</f>
        <v>11.659268931482401</v>
      </c>
      <c r="HI39" s="21">
        <f>EXP(-LN(2)/2)*HI38+(1-EXP(-LN(2)/2))/(LN(2)/2)*HC39*HF39*VLOOKUP('Données projet'!$B$18,Paramètres!$A$1:$I$89,3,0)*0.475*44/12</f>
        <v>5.9953535351885474</v>
      </c>
      <c r="HJ39" s="22">
        <f t="shared" si="30"/>
        <v>17.654622466670951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10.3</v>
      </c>
      <c r="N40" s="13">
        <f>IF('Données projet'!$A$36&gt;35,N39+M40-V39,IF(A40&lt;'Données projet'!$A$36,$K$205^A40,IF(A40='Données projet'!$A$36,'Données projet'!$B$36,N39+M40-V39)))</f>
        <v>216.10000000000008</v>
      </c>
      <c r="O40" s="13">
        <f>N40*VLOOKUP('Données projet'!$B$9,Paramètres!$A$1:$I$89,3,0)*VLOOKUP('Données projet'!$B$9,Paramètres!$A$1:$I$89,5,0)</f>
        <v>129.22780000000006</v>
      </c>
      <c r="P40" s="13">
        <f t="shared" si="33"/>
        <v>33.817864762286938</v>
      </c>
      <c r="Q40" s="20">
        <f t="shared" si="53"/>
        <v>283.9711994609832</v>
      </c>
      <c r="R40" s="59">
        <f t="shared" si="0"/>
        <v>577.30453279431651</v>
      </c>
      <c r="S40" s="59">
        <f ca="1">AVERAGE(OFFSET($R$3,0,0,'Données projet'!$E$9+1,1))-AVERAGE(OFFSET($H$3,0,0,'Données projet'!$E$9+1,1))</f>
        <v>295.19075440119076</v>
      </c>
      <c r="T40" s="59">
        <f t="shared" si="34"/>
        <v>173.0182327988216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0.37292139584516254</v>
      </c>
      <c r="AA40" s="21">
        <f>EXP(-LN(2)/25)*AA39+(1-EXP(-LN(2)/25))/(LN(2)/25)*Calculateur!V40*Calculateur!X40*VLOOKUP('Données projet'!$B$9,Paramètres!$A$1:$I$89,3,0)*0.475*44/12</f>
        <v>3.1627440891777532</v>
      </c>
      <c r="AB40" s="21">
        <f>EXP(-LN(2)/2)*AB39+(1-EXP(-LN(2)/2))/(LN(2)/2)*V40*Y40*VLOOKUP('Données projet'!$B$9,Paramètres!$A$1:$I$89,3,0)*0.475*44/12</f>
        <v>0</v>
      </c>
      <c r="AC40" s="22">
        <f t="shared" si="3"/>
        <v>3.5356654850229159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14.4</v>
      </c>
      <c r="AI40" s="13">
        <f>IF('Données projet'!$A$62&gt;35,AI39+AH40-AQ39,IF(A40&lt;'Données projet'!$A$62,$AF$205^A40,IF(A40='Données projet'!$A$62,'Données projet'!$B$62,AI39+AH40-AQ39)))</f>
        <v>220.80000000000004</v>
      </c>
      <c r="AJ40" s="13">
        <f>AI40*VLOOKUP('Données projet'!$B$10,Paramètres!$A$1:$I$89,3,0)*VLOOKUP('Données projet'!$B$10,Paramètres!$A$1:$I$89,5,0)</f>
        <v>132.03840000000005</v>
      </c>
      <c r="AK40" s="13">
        <f t="shared" si="35"/>
        <v>34.466946374534373</v>
      </c>
      <c r="AL40" s="20">
        <f t="shared" si="4"/>
        <v>289.99681160231415</v>
      </c>
      <c r="AM40" s="59">
        <f t="shared" si="5"/>
        <v>583.33014493564747</v>
      </c>
      <c r="AN40" s="59">
        <f ca="1">AVERAGE(OFFSET($AM$3,0,0,'Données projet'!$E$10+1,1))-AVERAGE(OFFSET($H$3,0,0,'Données projet'!$E$10+1,1))</f>
        <v>294.45857786714919</v>
      </c>
      <c r="AO40" s="59">
        <f t="shared" si="36"/>
        <v>221.9773436301067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3.8701577391724666</v>
      </c>
      <c r="AV40" s="21">
        <f>EXP(-LN(2)/25)*AV39+(1-EXP(-LN(2)/25))/(LN(2)/25)*Calculateur!AQ40*Calculateur!AS40*VLOOKUP('Données projet'!$B$10,Paramètres!$A$1:$I$89,3,0)*0.475*44/12</f>
        <v>19.994782047716093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23.864939786888559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123.24</v>
      </c>
      <c r="BF40" s="13">
        <f t="shared" si="37"/>
        <v>32.429500380369056</v>
      </c>
      <c r="BG40" s="20">
        <f t="shared" si="7"/>
        <v>271.12437982914275</v>
      </c>
      <c r="BH40" s="59">
        <f t="shared" si="8"/>
        <v>564.45771316247601</v>
      </c>
      <c r="BI40" s="59">
        <f ca="1">AVERAGE(OFFSET($BH$3,0,0,'Données projet'!$E$11+1,1))-AVERAGE(OFFSET($H$3,0,0,'Données projet'!$E$11+1,1))</f>
        <v>179.44051550872138</v>
      </c>
      <c r="BJ40" s="59">
        <f t="shared" si="38"/>
        <v>272.9500808380069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11.348406367033492</v>
      </c>
      <c r="BQ40" s="21">
        <f>EXP(-LN(2)/25)*BQ39+(1-EXP(-LN(2)/25))/(LN(2)/25)*Calculateur!BL40*Calculateur!BN40*VLOOKUP('Données projet'!$B$11,Paramètres!$A$1:$I$89,3,0)*0.475*44/12</f>
        <v>64.419556790256919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75.76796315729041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10.1</v>
      </c>
      <c r="BY40" s="12">
        <f>IF('Données projet'!$A$114&gt;35,BY39+BX40-CG39,IF(A40&lt;'Données projet'!$A$114,$BV$205^A40,IF(A40='Données projet'!$A$114,'Données projet'!$B$114,BY39+BX40-CG39)))</f>
        <v>244.69999999999985</v>
      </c>
      <c r="BZ40" s="13">
        <f>BY40*VLOOKUP('Données projet'!$B$12,Paramètres!$A$1:$I$89,3,0)*VLOOKUP('Données projet'!$B$12,Paramètres!$A$1:$I$89,5,0)</f>
        <v>114.51959999999993</v>
      </c>
      <c r="CA40" s="13">
        <f t="shared" si="39"/>
        <v>30.393329331608626</v>
      </c>
      <c r="CB40" s="20">
        <f t="shared" si="10"/>
        <v>252.39001858588486</v>
      </c>
      <c r="CC40" s="59">
        <f t="shared" si="11"/>
        <v>545.7233519192182</v>
      </c>
      <c r="CD40" s="59">
        <f ca="1">AVERAGE(OFFSET($CC$3,0,0,'Données projet'!$E$12+1,1))-AVERAGE(OFFSET($H$3,0,0,'Données projet'!$E$12+1,1))</f>
        <v>259.87681411271632</v>
      </c>
      <c r="CE40" s="59">
        <f t="shared" si="40"/>
        <v>191.8684235641158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1.3079272144134684</v>
      </c>
      <c r="CL40" s="21">
        <f>EXP(-LN(2)/25)*CL39+(1-EXP(-LN(2)/25))/(LN(2)/25)*Calculateur!CG40*Calculateur!CI40*VLOOKUP('Données projet'!$B$12,Paramètres!$A$1:$I$89,3,0)*0.475*44/12</f>
        <v>17.885702744664663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19.19362995907813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9.6</v>
      </c>
      <c r="CT40" s="12">
        <f>IF('Données projet'!$A$140&gt;35,CT39+CS40-DB39,IF(A40&lt;'Données projet'!$A$140,$CQ$205^A40,IF(A40='Données projet'!$A$140,'Données projet'!$B$140,CT39+CS40-DB39)))</f>
        <v>135.19999999999999</v>
      </c>
      <c r="CU40" s="17">
        <f>CT40*VLOOKUP('Données projet'!$B$13,Paramètres!$A$1:$I$89,3,0)*VLOOKUP('Données projet'!$B$13,Paramètres!$A$1:$I$89,5,0)</f>
        <v>107.56512000000001</v>
      </c>
      <c r="CV40" s="13">
        <f t="shared" si="41"/>
        <v>28.756562640969442</v>
      </c>
      <c r="CW40" s="20">
        <f t="shared" si="13"/>
        <v>237.42693059968846</v>
      </c>
      <c r="CX40" s="59">
        <f t="shared" si="14"/>
        <v>530.76026393302175</v>
      </c>
      <c r="CY40" s="59">
        <f ca="1">AVERAGE(OFFSET($CX$3,0,0,'Données projet'!$E$13+1,1))-AVERAGE(OFFSET($H$3,0,0,'Données projet'!$E$13+1,1))</f>
        <v>198.11534486400666</v>
      </c>
      <c r="CZ40" s="59">
        <f t="shared" si="42"/>
        <v>174.29856796517652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11.34044560941671</v>
      </c>
      <c r="DH40" s="21">
        <f>EXP(-LN(2)/2)*DH39+(1-EXP(-LN(2)/2))/(LN(2)/2)*DB40*DE40*VLOOKUP('Données projet'!$B$13,Paramètres!$A$1:$I$89,3,0)*0.475*44/12</f>
        <v>4.2393551403425622</v>
      </c>
      <c r="DI40" s="22">
        <f t="shared" si="15"/>
        <v>15.579800749759272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2.6904761904761907</v>
      </c>
      <c r="DO40" s="12">
        <f>IF('Données projet'!$A$166&gt;35,DO39+DN40-DW39,IF(A40&lt;'Données projet'!$A$166,$DL$205^A40,IF(A40='Données projet'!$A$166,'Données projet'!$B$166,DO39+DN40-DW39)))</f>
        <v>99.547619047619037</v>
      </c>
      <c r="DP40" s="17">
        <f>DO40*VLOOKUP('Données projet'!$B$14,Paramètres!$A$1:$I$89,3,0)*VLOOKUP('Données projet'!$B$14,Paramètres!$A$1:$I$89,5,0)</f>
        <v>100.94128571428573</v>
      </c>
      <c r="DQ40" s="13">
        <f t="shared" si="43"/>
        <v>27.186123468374046</v>
      </c>
      <c r="DR40" s="20">
        <f t="shared" si="16"/>
        <v>223.15523765979904</v>
      </c>
      <c r="DS40" s="59">
        <f t="shared" si="17"/>
        <v>516.48857099313238</v>
      </c>
      <c r="DT40" s="59">
        <f ca="1">AVERAGE(OFFSET($DS$3,0,0,'Données projet'!$E$14+1,1))-AVERAGE(OFFSET($H$3,0,0,'Données projet'!$E$14+1,1))</f>
        <v>247.92503505485405</v>
      </c>
      <c r="DU40" s="59">
        <f t="shared" si="44"/>
        <v>148.26437652597514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2.6904761904761907</v>
      </c>
      <c r="EJ40" s="12">
        <f>IF('Données projet'!$A$192&gt;35,EJ39+EI40-ER39,IF(A40&lt;'Données projet'!$A$192,$EG$205^A40,IF(A40='Données projet'!$A$192,'Données projet'!$B$192,EJ39+EI40-ER39)))</f>
        <v>99.547619047619037</v>
      </c>
      <c r="EK40" s="17">
        <f>EJ40*VLOOKUP('Données projet'!$B$15,Paramètres!$A$1:$I$89,3,0)*VLOOKUP('Données projet'!$B$15,Paramètres!$A$1:$I$89,5,0)</f>
        <v>96.282457142857126</v>
      </c>
      <c r="EL40" s="13">
        <f t="shared" si="45"/>
        <v>26.074400974902723</v>
      </c>
      <c r="EM40" s="20">
        <f t="shared" si="19"/>
        <v>213.10486122176508</v>
      </c>
      <c r="EN40" s="59">
        <f t="shared" si="20"/>
        <v>506.43819455509839</v>
      </c>
      <c r="EO40" s="59">
        <f ca="1">AVERAGE(OFFSET($EN$3,0,0,'Données projet'!$E$15+1,1))-AVERAGE(OFFSET($H$3,0,0,'Données projet'!$E$15+1,1))</f>
        <v>232.99870507181964</v>
      </c>
      <c r="EP40" s="59">
        <f t="shared" si="46"/>
        <v>140.07662669226278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9.6</v>
      </c>
      <c r="FE40" s="12">
        <f>IF('Données projet'!$A$218&gt;35,FE39+FD40-FM39,IF(A40&lt;'Données projet'!$A$218,$FB$205^A40,IF(A40='Données projet'!$A$218,'Données projet'!$B$218,FE39+FD40-FM39)))</f>
        <v>135.19999999999999</v>
      </c>
      <c r="FF40" s="17">
        <f>FE40*VLOOKUP('Données projet'!$B$16,Paramètres!$A$1:$I$89,3,0)*VLOOKUP('Données projet'!$B$16,Paramètres!$A$1:$I$89,5,0)</f>
        <v>105.45599999999999</v>
      </c>
      <c r="FG40" s="13">
        <f t="shared" si="47"/>
        <v>28.257768345963548</v>
      </c>
      <c r="FH40" s="20">
        <f t="shared" si="22"/>
        <v>232.88481320255315</v>
      </c>
      <c r="FI40" s="59">
        <f t="shared" si="23"/>
        <v>526.21814653588649</v>
      </c>
      <c r="FJ40" s="59">
        <f ca="1">AVERAGE(OFFSET($FI$3,0,0,'Données projet'!$E$16+1,1))-AVERAGE(OFFSET($H$3,0,0,'Données projet'!$E$16+1,1))</f>
        <v>193.47609744163839</v>
      </c>
      <c r="FK40" s="59">
        <f t="shared" si="48"/>
        <v>170.3221892406973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</v>
      </c>
      <c r="FR40" s="21">
        <f>EXP(-LN(2)/25)*FR39+(1-EXP(-LN(2)/25))/(LN(2)/25)*Calculateur!FM40*Calculateur!FO40*VLOOKUP('Données projet'!$B$16,Paramètres!$A$1:$I$89,3,0)*0.475*44/12</f>
        <v>9.0203322457439636</v>
      </c>
      <c r="FS40" s="21">
        <f>EXP(-LN(2)/2)*FS39+(1-EXP(-LN(2)/2))/(LN(2)/2)*FM40*FP40*VLOOKUP('Données projet'!$B$16,Paramètres!$A$1:$I$89,3,0)*0.475*44/12</f>
        <v>4.156230529747611</v>
      </c>
      <c r="FT40" s="22">
        <f t="shared" si="24"/>
        <v>13.176562775491576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11.5</v>
      </c>
      <c r="FZ40" s="12">
        <f>IF('Données projet'!$A$244&gt;35,FZ39+FY40-GH39,IF(A40&lt;'Données projet'!$A$244,$FW$205^A40,IF(A40='Données projet'!$A$244,'Données projet'!$B$244,FZ39+FY40-GH39)))</f>
        <v>197.5</v>
      </c>
      <c r="GA40" s="17">
        <f>FZ40*VLOOKUP('Données projet'!$B$17,Paramètres!$A$1:$I$89,3,0)*VLOOKUP('Données projet'!$B$17,Paramètres!$A$1:$I$89,5,0)</f>
        <v>107.83500000000001</v>
      </c>
      <c r="GB40" s="13">
        <f t="shared" si="49"/>
        <v>28.820305061662388</v>
      </c>
      <c r="GC40" s="20">
        <f t="shared" si="25"/>
        <v>238.00798964906201</v>
      </c>
      <c r="GD40" s="59">
        <f t="shared" si="26"/>
        <v>531.34132298239535</v>
      </c>
      <c r="GE40" s="59">
        <f ca="1">AVERAGE(OFFSET($GD$3,0,0,'Données projet'!$E$17+1,1))-AVERAGE(OFFSET($H$3,0,0,'Données projet'!$E$17+1,1))</f>
        <v>153.43773674911449</v>
      </c>
      <c r="GF40" s="59">
        <f t="shared" si="50"/>
        <v>235.49395036616602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9.9298555711543077</v>
      </c>
      <c r="GM40" s="21">
        <f>EXP(-LN(2)/25)*GM39+(1-EXP(-LN(2)/25))/(LN(2)/25)*Calculateur!GH40*Calculateur!GJ40*VLOOKUP('Données projet'!$B$17,Paramètres!$A$1:$I$89,3,0)*0.475*44/12</f>
        <v>56.367112191474796</v>
      </c>
      <c r="GN40" s="21">
        <f>EXP(-LN(2)/2)*GN39+(1-EXP(-LN(2)/2))/(LN(2)/2)*GH40*GK40*VLOOKUP('Données projet'!$B$17,Paramètres!$A$1:$I$89,3,0)*0.475*44/12</f>
        <v>0</v>
      </c>
      <c r="GO40" s="21">
        <f t="shared" si="27"/>
        <v>66.296967762629109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9.6</v>
      </c>
      <c r="GU40" s="12">
        <f>IF('Données projet'!$A$270&gt;35,GU39+GT40-HC39,IF(A40&lt;'Données projet'!$A$270,$GR$205^A40,IF(A40='Données projet'!$A$270,'Données projet'!$B$270,GU39+GT40-HC39)))</f>
        <v>135.19999999999999</v>
      </c>
      <c r="GV40" s="17">
        <f>GU40*VLOOKUP('Données projet'!$B$18,Paramètres!$A$1:$I$89,3,0)*VLOOKUP('Données projet'!$B$18,Paramètres!$A$1:$I$89,5,0)</f>
        <v>107.56512000000001</v>
      </c>
      <c r="GW40" s="13">
        <f t="shared" si="51"/>
        <v>28.756562640969442</v>
      </c>
      <c r="GX40" s="20">
        <f t="shared" si="28"/>
        <v>237.42693059968846</v>
      </c>
      <c r="GY40" s="59">
        <f t="shared" si="29"/>
        <v>530.76026393302175</v>
      </c>
      <c r="GZ40" s="59">
        <f ca="1">AVERAGE(OFFSET($GY$3,0,0,'Données projet'!$E$18+1,1))-AVERAGE(OFFSET($H$3,0,0,'Données projet'!$E$18+1,1))</f>
        <v>198.11534486400666</v>
      </c>
      <c r="HA40" s="59">
        <f t="shared" si="52"/>
        <v>174.29856796517652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>
        <f>EXP(-LN(2)/35)*HG39+(1-EXP(-LN(2)/35))/(LN(2)/35)*HC40*HD40*VLOOKUP('Données projet'!$B$18,Paramètres!$A$1:$I$89,3,0)*0.475*44/12</f>
        <v>0</v>
      </c>
      <c r="HH40" s="21">
        <f>EXP(-LN(2)/25)*HH39+(1-EXP(-LN(2)/25))/(LN(2)/25)*Calculateur!HC40*Calculateur!HE40*VLOOKUP('Données projet'!$B$18,Paramètres!$A$1:$I$89,3,0)*0.475*44/12</f>
        <v>11.34044560941671</v>
      </c>
      <c r="HI40" s="21">
        <f>EXP(-LN(2)/2)*HI39+(1-EXP(-LN(2)/2))/(LN(2)/2)*HC40*HF40*VLOOKUP('Données projet'!$B$18,Paramètres!$A$1:$I$89,3,0)*0.475*44/12</f>
        <v>4.2393551403425622</v>
      </c>
      <c r="HJ40" s="22">
        <f t="shared" si="30"/>
        <v>15.579800749759272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10.3</v>
      </c>
      <c r="N41" s="13">
        <f>IF('Données projet'!$A$36&gt;35,N40+M41-V40,IF(A41&lt;'Données projet'!$A$36,$K$205^A41,IF(A41='Données projet'!$A$36,'Données projet'!$B$36,N40+M41-V40)))</f>
        <v>226.40000000000009</v>
      </c>
      <c r="O41" s="13">
        <f>N41*VLOOKUP('Données projet'!$B$9,Paramètres!$A$1:$I$89,3,0)*VLOOKUP('Données projet'!$B$9,Paramètres!$A$1:$I$89,5,0)</f>
        <v>135.38720000000006</v>
      </c>
      <c r="P41" s="13">
        <f t="shared" si="33"/>
        <v>35.238226113459113</v>
      </c>
      <c r="Q41" s="20">
        <f t="shared" si="53"/>
        <v>297.17261714760809</v>
      </c>
      <c r="R41" s="59">
        <f t="shared" si="0"/>
        <v>590.50595048094146</v>
      </c>
      <c r="S41" s="59">
        <f ca="1">AVERAGE(OFFSET($R$3,0,0,'Données projet'!$E$9+1,1))-AVERAGE(OFFSET($H$3,0,0,'Données projet'!$E$9+1,1))</f>
        <v>295.19075440119076</v>
      </c>
      <c r="T41" s="59">
        <f t="shared" si="34"/>
        <v>173.0182327988216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0.3656086347322306</v>
      </c>
      <c r="AA41" s="21">
        <f>EXP(-LN(2)/25)*AA40+(1-EXP(-LN(2)/25))/(LN(2)/25)*Calculateur!V41*Calculateur!X41*VLOOKUP('Données projet'!$B$9,Paramètres!$A$1:$I$89,3,0)*0.475*44/12</f>
        <v>3.0762586857377046</v>
      </c>
      <c r="AB41" s="21">
        <f>EXP(-LN(2)/2)*AB40+(1-EXP(-LN(2)/2))/(LN(2)/2)*V41*Y41*VLOOKUP('Données projet'!$B$9,Paramètres!$A$1:$I$89,3,0)*0.475*44/12</f>
        <v>0</v>
      </c>
      <c r="AC41" s="22">
        <f t="shared" si="3"/>
        <v>3.4418673204699353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14.4</v>
      </c>
      <c r="AI41" s="13">
        <f>IF('Données projet'!$A$62&gt;35,AI40+AH41-AQ40,IF(A41&lt;'Données projet'!$A$62,$AF$205^A41,IF(A41='Données projet'!$A$62,'Données projet'!$B$62,AI40+AH41-AQ40)))</f>
        <v>235.20000000000005</v>
      </c>
      <c r="AJ41" s="13">
        <f>AI41*VLOOKUP('Données projet'!$B$10,Paramètres!$A$1:$I$89,3,0)*VLOOKUP('Données projet'!$B$10,Paramètres!$A$1:$I$89,5,0)</f>
        <v>140.64960000000002</v>
      </c>
      <c r="AK41" s="13">
        <f t="shared" si="35"/>
        <v>36.445779615258601</v>
      </c>
      <c r="AL41" s="20">
        <f t="shared" si="4"/>
        <v>308.44111949657542</v>
      </c>
      <c r="AM41" s="59">
        <f t="shared" si="5"/>
        <v>601.7744528299088</v>
      </c>
      <c r="AN41" s="59">
        <f ca="1">AVERAGE(OFFSET($AM$3,0,0,'Données projet'!$E$10+1,1))-AVERAGE(OFFSET($H$3,0,0,'Données projet'!$E$10+1,1))</f>
        <v>294.45857786714919</v>
      </c>
      <c r="AO41" s="59">
        <f t="shared" si="36"/>
        <v>221.9773436301067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3.7942663064704294</v>
      </c>
      <c r="AV41" s="21">
        <f>EXP(-LN(2)/25)*AV40+(1-EXP(-LN(2)/25))/(LN(2)/25)*Calculateur!AQ41*Calculateur!AS41*VLOOKUP('Données projet'!$B$10,Paramètres!$A$1:$I$89,3,0)*0.475*44/12</f>
        <v>19.448023681141407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23.242289987611837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130.416</v>
      </c>
      <c r="BF41" s="13">
        <f t="shared" si="37"/>
        <v>34.092466837179941</v>
      </c>
      <c r="BG41" s="20">
        <f t="shared" si="7"/>
        <v>286.51891307475506</v>
      </c>
      <c r="BH41" s="59">
        <f t="shared" si="8"/>
        <v>579.85224640808838</v>
      </c>
      <c r="BI41" s="59">
        <f ca="1">AVERAGE(OFFSET($BH$3,0,0,'Données projet'!$E$11+1,1))-AVERAGE(OFFSET($H$3,0,0,'Données projet'!$E$11+1,1))</f>
        <v>179.44051550872138</v>
      </c>
      <c r="BJ41" s="59">
        <f t="shared" si="38"/>
        <v>272.9500808380069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11.125871040020375</v>
      </c>
      <c r="BQ41" s="21">
        <f>EXP(-LN(2)/25)*BQ40+(1-EXP(-LN(2)/25))/(LN(2)/25)*Calculateur!BL41*Calculateur!BN41*VLOOKUP('Données projet'!$B$11,Paramètres!$A$1:$I$89,3,0)*0.475*44/12</f>
        <v>62.658000622150084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73.783871662170455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10.1</v>
      </c>
      <c r="BY41" s="12">
        <f>IF('Données projet'!$A$114&gt;35,BY40+BX41-CG40,IF(A41&lt;'Données projet'!$A$114,$BV$205^A41,IF(A41='Données projet'!$A$114,'Données projet'!$B$114,BY40+BX41-CG40)))</f>
        <v>254.79999999999984</v>
      </c>
      <c r="BZ41" s="13">
        <f>BY41*VLOOKUP('Données projet'!$B$12,Paramètres!$A$1:$I$89,3,0)*VLOOKUP('Données projet'!$B$12,Paramètres!$A$1:$I$89,5,0)</f>
        <v>119.24639999999992</v>
      </c>
      <c r="CA41" s="13">
        <f t="shared" si="39"/>
        <v>31.499170077667014</v>
      </c>
      <c r="CB41" s="20">
        <f t="shared" si="10"/>
        <v>262.5485345519366</v>
      </c>
      <c r="CC41" s="59">
        <f t="shared" si="11"/>
        <v>555.88186788526991</v>
      </c>
      <c r="CD41" s="59">
        <f ca="1">AVERAGE(OFFSET($CC$3,0,0,'Données projet'!$E$12+1,1))-AVERAGE(OFFSET($H$3,0,0,'Données projet'!$E$12+1,1))</f>
        <v>259.87681411271632</v>
      </c>
      <c r="CE41" s="59">
        <f t="shared" si="40"/>
        <v>191.8684235641158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1.2822795594956491</v>
      </c>
      <c r="CL41" s="21">
        <f>EXP(-LN(2)/25)*CL40+(1-EXP(-LN(2)/25))/(LN(2)/25)*Calculateur!CG41*Calculateur!CI41*VLOOKUP('Données projet'!$B$12,Paramètres!$A$1:$I$89,3,0)*0.475*44/12</f>
        <v>17.396617262543579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18.678896822039228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9.6</v>
      </c>
      <c r="CT41" s="12">
        <f>IF('Données projet'!$A$140&gt;35,CT40+CS41-DB40,IF(A41&lt;'Données projet'!$A$140,$CQ$205^A41,IF(A41='Données projet'!$A$140,'Données projet'!$B$140,CT40+CS41-DB40)))</f>
        <v>144.79999999999998</v>
      </c>
      <c r="CU41" s="17">
        <f>CT41*VLOOKUP('Données projet'!$B$13,Paramètres!$A$1:$I$89,3,0)*VLOOKUP('Données projet'!$B$13,Paramètres!$A$1:$I$89,5,0)</f>
        <v>115.20288000000001</v>
      </c>
      <c r="CV41" s="13">
        <f t="shared" si="41"/>
        <v>30.553507147925856</v>
      </c>
      <c r="CW41" s="20">
        <f t="shared" si="13"/>
        <v>253.85904094930422</v>
      </c>
      <c r="CX41" s="59">
        <f t="shared" si="14"/>
        <v>547.1923742826375</v>
      </c>
      <c r="CY41" s="59">
        <f ca="1">AVERAGE(OFFSET($CX$3,0,0,'Données projet'!$E$13+1,1))-AVERAGE(OFFSET($H$3,0,0,'Données projet'!$E$13+1,1))</f>
        <v>198.11534486400666</v>
      </c>
      <c r="CZ41" s="59">
        <f t="shared" si="42"/>
        <v>174.29856796517652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11.030340527859094</v>
      </c>
      <c r="DH41" s="21">
        <f>EXP(-LN(2)/2)*DH40+(1-EXP(-LN(2)/2))/(LN(2)/2)*DB41*DE41*VLOOKUP('Données projet'!$B$13,Paramètres!$A$1:$I$89,3,0)*0.475*44/12</f>
        <v>2.9976767675942737</v>
      </c>
      <c r="DI41" s="22">
        <f t="shared" si="15"/>
        <v>14.028017295453367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2.6904761904761907</v>
      </c>
      <c r="DO41" s="12">
        <f>IF('Données projet'!$A$166&gt;35,DO40+DN41-DW40,IF(A41&lt;'Données projet'!$A$166,$DL$205^A41,IF(A41='Données projet'!$A$166,'Données projet'!$B$166,DO40+DN41-DW40)))</f>
        <v>102.23809523809523</v>
      </c>
      <c r="DP41" s="17">
        <f>DO41*VLOOKUP('Données projet'!$B$14,Paramètres!$A$1:$I$89,3,0)*VLOOKUP('Données projet'!$B$14,Paramètres!$A$1:$I$89,5,0)</f>
        <v>103.66942857142855</v>
      </c>
      <c r="DQ41" s="13">
        <f t="shared" si="43"/>
        <v>27.834346386346731</v>
      </c>
      <c r="DR41" s="20">
        <f t="shared" si="16"/>
        <v>229.03574138479192</v>
      </c>
      <c r="DS41" s="59">
        <f t="shared" si="17"/>
        <v>522.36907471812526</v>
      </c>
      <c r="DT41" s="59">
        <f ca="1">AVERAGE(OFFSET($DS$3,0,0,'Données projet'!$E$14+1,1))-AVERAGE(OFFSET($H$3,0,0,'Données projet'!$E$14+1,1))</f>
        <v>247.92503505485405</v>
      </c>
      <c r="DU41" s="59">
        <f t="shared" si="44"/>
        <v>148.26437652597514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2.6904761904761907</v>
      </c>
      <c r="EJ41" s="12">
        <f>IF('Données projet'!$A$192&gt;35,EJ40+EI41-ER40,IF(A41&lt;'Données projet'!$A$192,$EG$205^A41,IF(A41='Données projet'!$A$192,'Données projet'!$B$192,EJ40+EI41-ER40)))</f>
        <v>102.23809523809523</v>
      </c>
      <c r="EK41" s="17">
        <f>EJ41*VLOOKUP('Données projet'!$B$15,Paramètres!$A$1:$I$89,3,0)*VLOOKUP('Données projet'!$B$15,Paramètres!$A$1:$I$89,5,0)</f>
        <v>98.884685714285709</v>
      </c>
      <c r="EL41" s="13">
        <f t="shared" si="45"/>
        <v>26.696116104829319</v>
      </c>
      <c r="EM41" s="20">
        <f t="shared" si="19"/>
        <v>218.7198965016253</v>
      </c>
      <c r="EN41" s="59">
        <f t="shared" si="20"/>
        <v>512.05322983495864</v>
      </c>
      <c r="EO41" s="59">
        <f ca="1">AVERAGE(OFFSET($EN$3,0,0,'Données projet'!$E$15+1,1))-AVERAGE(OFFSET($H$3,0,0,'Données projet'!$E$15+1,1))</f>
        <v>232.99870507181964</v>
      </c>
      <c r="EP41" s="59">
        <f t="shared" si="46"/>
        <v>140.07662669226278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9.6</v>
      </c>
      <c r="FE41" s="12">
        <f>IF('Données projet'!$A$218&gt;35,FE40+FD41-FM40,IF(A41&lt;'Données projet'!$A$218,$FB$205^A41,IF(A41='Données projet'!$A$218,'Données projet'!$B$218,FE40+FD41-FM40)))</f>
        <v>144.79999999999998</v>
      </c>
      <c r="FF41" s="17">
        <f>FE41*VLOOKUP('Données projet'!$B$16,Paramètres!$A$1:$I$89,3,0)*VLOOKUP('Données projet'!$B$16,Paramètres!$A$1:$I$89,5,0)</f>
        <v>112.94399999999999</v>
      </c>
      <c r="FG41" s="13">
        <f t="shared" si="47"/>
        <v>30.023544118335728</v>
      </c>
      <c r="FH41" s="20">
        <f t="shared" si="22"/>
        <v>249.00180600610136</v>
      </c>
      <c r="FI41" s="59">
        <f t="shared" si="23"/>
        <v>542.3351393394347</v>
      </c>
      <c r="FJ41" s="59">
        <f ca="1">AVERAGE(OFFSET($FI$3,0,0,'Données projet'!$E$16+1,1))-AVERAGE(OFFSET($H$3,0,0,'Données projet'!$E$16+1,1))</f>
        <v>193.47609744163839</v>
      </c>
      <c r="FK41" s="59">
        <f t="shared" si="48"/>
        <v>170.3221892406973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</v>
      </c>
      <c r="FR41" s="21">
        <f>EXP(-LN(2)/25)*FR40+(1-EXP(-LN(2)/25))/(LN(2)/25)*Calculateur!FM41*Calculateur!FO41*VLOOKUP('Données projet'!$B$16,Paramètres!$A$1:$I$89,3,0)*0.475*44/12</f>
        <v>8.7736707861254377</v>
      </c>
      <c r="FS41" s="21">
        <f>EXP(-LN(2)/2)*FS40+(1-EXP(-LN(2)/2))/(LN(2)/2)*FM41*FP41*VLOOKUP('Données projet'!$B$16,Paramètres!$A$1:$I$89,3,0)*0.475*44/12</f>
        <v>2.9388987917590925</v>
      </c>
      <c r="FT41" s="22">
        <f t="shared" si="24"/>
        <v>11.71256957788453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11.5</v>
      </c>
      <c r="FZ41" s="12">
        <f>IF('Données projet'!$A$244&gt;35,FZ40+FY41-GH40,IF(A41&lt;'Données projet'!$A$244,$FW$205^A41,IF(A41='Données projet'!$A$244,'Données projet'!$B$244,FZ40+FY41-GH40)))</f>
        <v>209</v>
      </c>
      <c r="GA41" s="17">
        <f>FZ41*VLOOKUP('Données projet'!$B$17,Paramètres!$A$1:$I$89,3,0)*VLOOKUP('Données projet'!$B$17,Paramètres!$A$1:$I$89,5,0)</f>
        <v>114.114</v>
      </c>
      <c r="GB41" s="13">
        <f t="shared" si="49"/>
        <v>30.2981940217283</v>
      </c>
      <c r="GC41" s="20">
        <f t="shared" si="25"/>
        <v>251.51790458784345</v>
      </c>
      <c r="GD41" s="59">
        <f t="shared" si="26"/>
        <v>544.85123792117679</v>
      </c>
      <c r="GE41" s="59">
        <f ca="1">AVERAGE(OFFSET($GD$3,0,0,'Données projet'!$E$17+1,1))-AVERAGE(OFFSET($H$3,0,0,'Données projet'!$E$17+1,1))</f>
        <v>153.43773674911449</v>
      </c>
      <c r="GF41" s="59">
        <f t="shared" si="50"/>
        <v>235.49395036616602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9.73513716001783</v>
      </c>
      <c r="GM41" s="21">
        <f>EXP(-LN(2)/25)*GM40+(1-EXP(-LN(2)/25))/(LN(2)/25)*Calculateur!GH41*Calculateur!GJ41*VLOOKUP('Données projet'!$B$17,Paramètres!$A$1:$I$89,3,0)*0.475*44/12</f>
        <v>54.825750544381314</v>
      </c>
      <c r="GN41" s="21">
        <f>EXP(-LN(2)/2)*GN40+(1-EXP(-LN(2)/2))/(LN(2)/2)*GH41*GK41*VLOOKUP('Données projet'!$B$17,Paramètres!$A$1:$I$89,3,0)*0.475*44/12</f>
        <v>0</v>
      </c>
      <c r="GO41" s="21">
        <f t="shared" si="27"/>
        <v>64.56088770439915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9.6</v>
      </c>
      <c r="GU41" s="12">
        <f>IF('Données projet'!$A$270&gt;35,GU40+GT41-HC40,IF(A41&lt;'Données projet'!$A$270,$GR$205^A41,IF(A41='Données projet'!$A$270,'Données projet'!$B$270,GU40+GT41-HC40)))</f>
        <v>144.79999999999998</v>
      </c>
      <c r="GV41" s="17">
        <f>GU41*VLOOKUP('Données projet'!$B$18,Paramètres!$A$1:$I$89,3,0)*VLOOKUP('Données projet'!$B$18,Paramètres!$A$1:$I$89,5,0)</f>
        <v>115.20288000000001</v>
      </c>
      <c r="GW41" s="13">
        <f t="shared" si="51"/>
        <v>30.553507147925856</v>
      </c>
      <c r="GX41" s="20">
        <f t="shared" si="28"/>
        <v>253.85904094930422</v>
      </c>
      <c r="GY41" s="59">
        <f t="shared" si="29"/>
        <v>547.1923742826375</v>
      </c>
      <c r="GZ41" s="59">
        <f ca="1">AVERAGE(OFFSET($GY$3,0,0,'Données projet'!$E$18+1,1))-AVERAGE(OFFSET($H$3,0,0,'Données projet'!$E$18+1,1))</f>
        <v>198.11534486400666</v>
      </c>
      <c r="HA41" s="59">
        <f t="shared" si="52"/>
        <v>174.29856796517652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>
        <f>EXP(-LN(2)/35)*HG40+(1-EXP(-LN(2)/35))/(LN(2)/35)*HC41*HD41*VLOOKUP('Données projet'!$B$18,Paramètres!$A$1:$I$89,3,0)*0.475*44/12</f>
        <v>0</v>
      </c>
      <c r="HH41" s="21">
        <f>EXP(-LN(2)/25)*HH40+(1-EXP(-LN(2)/25))/(LN(2)/25)*Calculateur!HC41*Calculateur!HE41*VLOOKUP('Données projet'!$B$18,Paramètres!$A$1:$I$89,3,0)*0.475*44/12</f>
        <v>11.030340527859094</v>
      </c>
      <c r="HI41" s="21">
        <f>EXP(-LN(2)/2)*HI40+(1-EXP(-LN(2)/2))/(LN(2)/2)*HC41*HF41*VLOOKUP('Données projet'!$B$18,Paramètres!$A$1:$I$89,3,0)*0.475*44/12</f>
        <v>2.9976767675942737</v>
      </c>
      <c r="HJ41" s="22">
        <f t="shared" si="30"/>
        <v>14.028017295453367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10.3</v>
      </c>
      <c r="N42" s="13">
        <f>IF('Données projet'!$A$36&gt;35,N41+M42-V41,IF(A42&lt;'Données projet'!$A$36,$K$205^A42,IF(A42='Données projet'!$A$36,'Données projet'!$B$36,N41+M42-V41)))</f>
        <v>236.7000000000001</v>
      </c>
      <c r="O42" s="13">
        <f>N42*VLOOKUP('Données projet'!$B$9,Paramètres!$A$1:$I$89,3,0)*VLOOKUP('Données projet'!$B$9,Paramètres!$A$1:$I$89,5,0)</f>
        <v>141.54660000000007</v>
      </c>
      <c r="P42" s="13">
        <f t="shared" si="33"/>
        <v>36.65108297022995</v>
      </c>
      <c r="Q42" s="20">
        <f t="shared" si="53"/>
        <v>310.36096450648392</v>
      </c>
      <c r="R42" s="59">
        <f t="shared" si="0"/>
        <v>603.69429783981718</v>
      </c>
      <c r="S42" s="59">
        <f ca="1">AVERAGE(OFFSET($R$3,0,0,'Données projet'!$E$9+1,1))-AVERAGE(OFFSET($H$3,0,0,'Données projet'!$E$9+1,1))</f>
        <v>295.19075440119076</v>
      </c>
      <c r="T42" s="59">
        <f t="shared" si="34"/>
        <v>173.0182327988216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0.35843927240437939</v>
      </c>
      <c r="AA42" s="21">
        <f>EXP(-LN(2)/25)*AA41+(1-EXP(-LN(2)/25))/(LN(2)/25)*Calculateur!V42*Calculateur!X42*VLOOKUP('Données projet'!$B$9,Paramètres!$A$1:$I$89,3,0)*0.475*44/12</f>
        <v>2.9921382302027935</v>
      </c>
      <c r="AB42" s="21">
        <f>EXP(-LN(2)/2)*AB41+(1-EXP(-LN(2)/2))/(LN(2)/2)*V42*Y42*VLOOKUP('Données projet'!$B$9,Paramètres!$A$1:$I$89,3,0)*0.475*44/12</f>
        <v>0</v>
      </c>
      <c r="AC42" s="22">
        <f t="shared" si="3"/>
        <v>3.3505775026071727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14.4</v>
      </c>
      <c r="AI42" s="13">
        <f>IF('Données projet'!$A$62&gt;35,AI41+AH42-AQ41,IF(A42&lt;'Données projet'!$A$62,$AF$205^A42,IF(A42='Données projet'!$A$62,'Données projet'!$B$62,AI41+AH42-AQ41)))</f>
        <v>249.60000000000005</v>
      </c>
      <c r="AJ42" s="13">
        <f>AI42*VLOOKUP('Données projet'!$B$10,Paramètres!$A$1:$I$89,3,0)*VLOOKUP('Données projet'!$B$10,Paramètres!$A$1:$I$89,5,0)</f>
        <v>149.26080000000005</v>
      </c>
      <c r="AK42" s="13">
        <f t="shared" si="35"/>
        <v>38.410551499792909</v>
      </c>
      <c r="AL42" s="20">
        <f t="shared" si="4"/>
        <v>326.86093719547273</v>
      </c>
      <c r="AM42" s="59">
        <f t="shared" si="5"/>
        <v>620.1942705288061</v>
      </c>
      <c r="AN42" s="59">
        <f ca="1">AVERAGE(OFFSET($AM$3,0,0,'Données projet'!$E$10+1,1))-AVERAGE(OFFSET($H$3,0,0,'Données projet'!$E$10+1,1))</f>
        <v>294.45857786714919</v>
      </c>
      <c r="AO42" s="59">
        <f t="shared" si="36"/>
        <v>221.9773436301067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3.7198630584744756</v>
      </c>
      <c r="AV42" s="21">
        <f>EXP(-LN(2)/25)*AV41+(1-EXP(-LN(2)/25))/(LN(2)/25)*Calculateur!AQ42*Calculateur!AS42*VLOOKUP('Données projet'!$B$10,Paramètres!$A$1:$I$89,3,0)*0.475*44/12</f>
        <v>18.916216450853479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22.636079509327956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137.59199999999998</v>
      </c>
      <c r="BF42" s="13">
        <f t="shared" si="37"/>
        <v>35.744810729505772</v>
      </c>
      <c r="BG42" s="20">
        <f t="shared" si="7"/>
        <v>301.89494535388923</v>
      </c>
      <c r="BH42" s="59">
        <f t="shared" si="8"/>
        <v>595.22827868722254</v>
      </c>
      <c r="BI42" s="59">
        <f ca="1">AVERAGE(OFFSET($BH$3,0,0,'Données projet'!$E$11+1,1))-AVERAGE(OFFSET($H$3,0,0,'Données projet'!$E$11+1,1))</f>
        <v>179.44051550872138</v>
      </c>
      <c r="BJ42" s="59">
        <f t="shared" si="38"/>
        <v>272.9500808380069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10.907699495036837</v>
      </c>
      <c r="BQ42" s="21">
        <f>EXP(-LN(2)/25)*BQ41+(1-EXP(-LN(2)/25))/(LN(2)/25)*Calculateur!BL42*Calculateur!BN42*VLOOKUP('Données projet'!$B$11,Paramètres!$A$1:$I$89,3,0)*0.475*44/12</f>
        <v>60.944614300096347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71.852313795133185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10.1</v>
      </c>
      <c r="BY42" s="12">
        <f>IF('Données projet'!$A$114&gt;35,BY41+BX42-CG41,IF(A42&lt;'Données projet'!$A$114,$BV$205^A42,IF(A42='Données projet'!$A$114,'Données projet'!$B$114,BY41+BX42-CG41)))</f>
        <v>264.89999999999986</v>
      </c>
      <c r="BZ42" s="13">
        <f>BY42*VLOOKUP('Données projet'!$B$12,Paramètres!$A$1:$I$89,3,0)*VLOOKUP('Données projet'!$B$12,Paramètres!$A$1:$I$89,5,0)</f>
        <v>123.97319999999993</v>
      </c>
      <c r="CA42" s="13">
        <f t="shared" si="39"/>
        <v>32.599918850316818</v>
      </c>
      <c r="CB42" s="20">
        <f t="shared" si="10"/>
        <v>272.698181997635</v>
      </c>
      <c r="CC42" s="59">
        <f t="shared" si="11"/>
        <v>566.03151533096832</v>
      </c>
      <c r="CD42" s="59">
        <f ca="1">AVERAGE(OFFSET($CC$3,0,0,'Données projet'!$E$12+1,1))-AVERAGE(OFFSET($H$3,0,0,'Données projet'!$E$12+1,1))</f>
        <v>259.87681411271632</v>
      </c>
      <c r="CE42" s="59">
        <f t="shared" si="40"/>
        <v>191.8684235641158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1.2571348394472435</v>
      </c>
      <c r="CL42" s="21">
        <f>EXP(-LN(2)/25)*CL41+(1-EXP(-LN(2)/25))/(LN(2)/25)*Calculateur!CG42*Calculateur!CI42*VLOOKUP('Données projet'!$B$12,Paramètres!$A$1:$I$89,3,0)*0.475*44/12</f>
        <v>16.920905848650982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18.178040688098225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9.6</v>
      </c>
      <c r="CT42" s="12">
        <f>IF('Données projet'!$A$140&gt;35,CT41+CS42-DB41,IF(A42&lt;'Données projet'!$A$140,$CQ$205^A42,IF(A42='Données projet'!$A$140,'Données projet'!$B$140,CT41+CS42-DB41)))</f>
        <v>154.39999999999998</v>
      </c>
      <c r="CU42" s="17">
        <f>CT42*VLOOKUP('Données projet'!$B$13,Paramètres!$A$1:$I$89,3,0)*VLOOKUP('Données projet'!$B$13,Paramètres!$A$1:$I$89,5,0)</f>
        <v>122.84063999999998</v>
      </c>
      <c r="CV42" s="13">
        <f t="shared" si="41"/>
        <v>32.336627088964626</v>
      </c>
      <c r="CW42" s="20">
        <f t="shared" si="13"/>
        <v>270.26707351328002</v>
      </c>
      <c r="CX42" s="59">
        <f t="shared" si="14"/>
        <v>563.6004068466134</v>
      </c>
      <c r="CY42" s="59">
        <f ca="1">AVERAGE(OFFSET($CX$3,0,0,'Données projet'!$E$13+1,1))-AVERAGE(OFFSET($H$3,0,0,'Données projet'!$E$13+1,1))</f>
        <v>198.11534486400666</v>
      </c>
      <c r="CZ42" s="59">
        <f t="shared" si="42"/>
        <v>174.29856796517652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10.728715286064389</v>
      </c>
      <c r="DH42" s="21">
        <f>EXP(-LN(2)/2)*DH41+(1-EXP(-LN(2)/2))/(LN(2)/2)*DB42*DE42*VLOOKUP('Données projet'!$B$13,Paramètres!$A$1:$I$89,3,0)*0.475*44/12</f>
        <v>2.1196775701712811</v>
      </c>
      <c r="DI42" s="22">
        <f t="shared" si="15"/>
        <v>12.84839285623567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2.6904761904761907</v>
      </c>
      <c r="DO42" s="12">
        <f>IF('Données projet'!$A$166&gt;35,DO41+DN42-DW41,IF(A42&lt;'Données projet'!$A$166,$DL$205^A42,IF(A42='Données projet'!$A$166,'Données projet'!$B$166,DO41+DN42-DW41)))</f>
        <v>104.92857142857142</v>
      </c>
      <c r="DP42" s="17">
        <f>DO42*VLOOKUP('Données projet'!$B$14,Paramètres!$A$1:$I$89,3,0)*VLOOKUP('Données projet'!$B$14,Paramètres!$A$1:$I$89,5,0)</f>
        <v>106.39757142857142</v>
      </c>
      <c r="DQ42" s="13">
        <f t="shared" si="43"/>
        <v>28.480586491339245</v>
      </c>
      <c r="DR42" s="20">
        <f t="shared" si="16"/>
        <v>234.9127917105111</v>
      </c>
      <c r="DS42" s="59">
        <f t="shared" si="17"/>
        <v>528.24612504384436</v>
      </c>
      <c r="DT42" s="59">
        <f ca="1">AVERAGE(OFFSET($DS$3,0,0,'Données projet'!$E$14+1,1))-AVERAGE(OFFSET($H$3,0,0,'Données projet'!$E$14+1,1))</f>
        <v>247.92503505485405</v>
      </c>
      <c r="DU42" s="59">
        <f t="shared" si="44"/>
        <v>148.26437652597514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2.6904761904761907</v>
      </c>
      <c r="EJ42" s="12">
        <f>IF('Données projet'!$A$192&gt;35,EJ41+EI42-ER41,IF(A42&lt;'Données projet'!$A$192,$EG$205^A42,IF(A42='Données projet'!$A$192,'Données projet'!$B$192,EJ41+EI42-ER41)))</f>
        <v>104.92857142857142</v>
      </c>
      <c r="EK42" s="17">
        <f>EJ42*VLOOKUP('Données projet'!$B$15,Paramètres!$A$1:$I$89,3,0)*VLOOKUP('Données projet'!$B$15,Paramètres!$A$1:$I$89,5,0)</f>
        <v>101.48691428571426</v>
      </c>
      <c r="EL42" s="13">
        <f t="shared" si="45"/>
        <v>27.31592950497221</v>
      </c>
      <c r="EM42" s="20">
        <f t="shared" si="19"/>
        <v>224.33161960211226</v>
      </c>
      <c r="EN42" s="59">
        <f t="shared" si="20"/>
        <v>517.66495293544563</v>
      </c>
      <c r="EO42" s="59">
        <f ca="1">AVERAGE(OFFSET($EN$3,0,0,'Données projet'!$E$15+1,1))-AVERAGE(OFFSET($H$3,0,0,'Données projet'!$E$15+1,1))</f>
        <v>232.99870507181964</v>
      </c>
      <c r="EP42" s="59">
        <f t="shared" si="46"/>
        <v>140.07662669226278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9.6</v>
      </c>
      <c r="FE42" s="12">
        <f>IF('Données projet'!$A$218&gt;35,FE41+FD42-FM41,IF(A42&lt;'Données projet'!$A$218,$FB$205^A42,IF(A42='Données projet'!$A$218,'Données projet'!$B$218,FE41+FD42-FM41)))</f>
        <v>154.39999999999998</v>
      </c>
      <c r="FF42" s="17">
        <f>FE42*VLOOKUP('Données projet'!$B$16,Paramètres!$A$1:$I$89,3,0)*VLOOKUP('Données projet'!$B$16,Paramètres!$A$1:$I$89,5,0)</f>
        <v>120.43199999999999</v>
      </c>
      <c r="FG42" s="13">
        <f t="shared" si="47"/>
        <v>31.775735117518458</v>
      </c>
      <c r="FH42" s="20">
        <f t="shared" si="22"/>
        <v>265.09513866301126</v>
      </c>
      <c r="FI42" s="59">
        <f t="shared" si="23"/>
        <v>558.42847199634457</v>
      </c>
      <c r="FJ42" s="59">
        <f ca="1">AVERAGE(OFFSET($FI$3,0,0,'Données projet'!$E$16+1,1))-AVERAGE(OFFSET($H$3,0,0,'Données projet'!$E$16+1,1))</f>
        <v>193.47609744163839</v>
      </c>
      <c r="FK42" s="59">
        <f t="shared" si="48"/>
        <v>170.3221892406973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</v>
      </c>
      <c r="FR42" s="21">
        <f>EXP(-LN(2)/25)*FR41+(1-EXP(-LN(2)/25))/(LN(2)/25)*Calculateur!FM42*Calculateur!FO42*VLOOKUP('Données projet'!$B$16,Paramètres!$A$1:$I$89,3,0)*0.475*44/12</f>
        <v>8.5337542970915443</v>
      </c>
      <c r="FS42" s="21">
        <f>EXP(-LN(2)/2)*FS41+(1-EXP(-LN(2)/2))/(LN(2)/2)*FM42*FP42*VLOOKUP('Données projet'!$B$16,Paramètres!$A$1:$I$89,3,0)*0.475*44/12</f>
        <v>2.0781152648738055</v>
      </c>
      <c r="FT42" s="22">
        <f t="shared" si="24"/>
        <v>10.611869561965349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11.5</v>
      </c>
      <c r="FZ42" s="12">
        <f>IF('Données projet'!$A$244&gt;35,FZ41+FY42-GH41,IF(A42&lt;'Données projet'!$A$244,$FW$205^A42,IF(A42='Données projet'!$A$244,'Données projet'!$B$244,FZ41+FY42-GH41)))</f>
        <v>220.5</v>
      </c>
      <c r="GA42" s="17">
        <f>FZ42*VLOOKUP('Données projet'!$B$17,Paramètres!$A$1:$I$89,3,0)*VLOOKUP('Données projet'!$B$17,Paramètres!$A$1:$I$89,5,0)</f>
        <v>120.393</v>
      </c>
      <c r="GB42" s="13">
        <f t="shared" si="49"/>
        <v>31.766642640580073</v>
      </c>
      <c r="GC42" s="20">
        <f t="shared" si="25"/>
        <v>265.0113775990103</v>
      </c>
      <c r="GD42" s="59">
        <f t="shared" si="26"/>
        <v>558.34471093234356</v>
      </c>
      <c r="GE42" s="59">
        <f ca="1">AVERAGE(OFFSET($GD$3,0,0,'Données projet'!$E$17+1,1))-AVERAGE(OFFSET($H$3,0,0,'Données projet'!$E$17+1,1))</f>
        <v>153.43773674911449</v>
      </c>
      <c r="GF42" s="59">
        <f t="shared" si="50"/>
        <v>235.49395036616602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9.5442370581572344</v>
      </c>
      <c r="GM42" s="21">
        <f>EXP(-LN(2)/25)*GM41+(1-EXP(-LN(2)/25))/(LN(2)/25)*Calculateur!GH42*Calculateur!GJ42*VLOOKUP('Données projet'!$B$17,Paramètres!$A$1:$I$89,3,0)*0.475*44/12</f>
        <v>53.326537512584295</v>
      </c>
      <c r="GN42" s="21">
        <f>EXP(-LN(2)/2)*GN41+(1-EXP(-LN(2)/2))/(LN(2)/2)*GH42*GK42*VLOOKUP('Données projet'!$B$17,Paramètres!$A$1:$I$89,3,0)*0.475*44/12</f>
        <v>0</v>
      </c>
      <c r="GO42" s="21">
        <f t="shared" si="27"/>
        <v>62.870774570741531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9.6</v>
      </c>
      <c r="GU42" s="12">
        <f>IF('Données projet'!$A$270&gt;35,GU41+GT42-HC41,IF(A42&lt;'Données projet'!$A$270,$GR$205^A42,IF(A42='Données projet'!$A$270,'Données projet'!$B$270,GU41+GT42-HC41)))</f>
        <v>154.39999999999998</v>
      </c>
      <c r="GV42" s="17">
        <f>GU42*VLOOKUP('Données projet'!$B$18,Paramètres!$A$1:$I$89,3,0)*VLOOKUP('Données projet'!$B$18,Paramètres!$A$1:$I$89,5,0)</f>
        <v>122.84063999999998</v>
      </c>
      <c r="GW42" s="13">
        <f t="shared" si="51"/>
        <v>32.336627088964626</v>
      </c>
      <c r="GX42" s="20">
        <f t="shared" si="28"/>
        <v>270.26707351328002</v>
      </c>
      <c r="GY42" s="59">
        <f t="shared" si="29"/>
        <v>563.6004068466134</v>
      </c>
      <c r="GZ42" s="59">
        <f ca="1">AVERAGE(OFFSET($GY$3,0,0,'Données projet'!$E$18+1,1))-AVERAGE(OFFSET($H$3,0,0,'Données projet'!$E$18+1,1))</f>
        <v>198.11534486400666</v>
      </c>
      <c r="HA42" s="59">
        <f t="shared" si="52"/>
        <v>174.29856796517652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>
        <f>EXP(-LN(2)/35)*HG41+(1-EXP(-LN(2)/35))/(LN(2)/35)*HC42*HD42*VLOOKUP('Données projet'!$B$18,Paramètres!$A$1:$I$89,3,0)*0.475*44/12</f>
        <v>0</v>
      </c>
      <c r="HH42" s="21">
        <f>EXP(-LN(2)/25)*HH41+(1-EXP(-LN(2)/25))/(LN(2)/25)*Calculateur!HC42*Calculateur!HE42*VLOOKUP('Données projet'!$B$18,Paramètres!$A$1:$I$89,3,0)*0.475*44/12</f>
        <v>10.728715286064389</v>
      </c>
      <c r="HI42" s="21">
        <f>EXP(-LN(2)/2)*HI41+(1-EXP(-LN(2)/2))/(LN(2)/2)*HC42*HF42*VLOOKUP('Données projet'!$B$18,Paramètres!$A$1:$I$89,3,0)*0.475*44/12</f>
        <v>2.1196775701712811</v>
      </c>
      <c r="HJ42" s="22">
        <f t="shared" si="30"/>
        <v>12.84839285623567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247</v>
      </c>
      <c r="L43" s="12">
        <f>VLOOKUP(A43,'Données projet'!$A$35:$I$55,9,0)</f>
        <v>10.3</v>
      </c>
      <c r="M43" s="12">
        <f t="array" ref="M43">INDEX(L:L,MIN(IF(ISNUMBER(L43:L239),ROW(L43:L239),"")))</f>
        <v>10.3</v>
      </c>
      <c r="N43" s="13">
        <f>IF('Données projet'!$A$36&gt;35,N42+M43-V42,IF(A43&lt;'Données projet'!$A$36,$K$205^A43,IF(A43='Données projet'!$A$36,'Données projet'!$B$36,N42+M43-V42)))</f>
        <v>247.00000000000011</v>
      </c>
      <c r="O43" s="13">
        <f>N43*VLOOKUP('Données projet'!$B$9,Paramètres!$A$1:$I$89,3,0)*VLOOKUP('Données projet'!$B$9,Paramètres!$A$1:$I$89,5,0)</f>
        <v>147.70600000000007</v>
      </c>
      <c r="P43" s="13">
        <f t="shared" si="33"/>
        <v>38.056799214709841</v>
      </c>
      <c r="Q43" s="20">
        <f t="shared" si="53"/>
        <v>323.53687529895308</v>
      </c>
      <c r="R43" s="59">
        <f t="shared" si="0"/>
        <v>616.87020863228645</v>
      </c>
      <c r="S43" s="59">
        <f ca="1">AVERAGE(OFFSET($R$3,0,0,'Données projet'!$E$9+1,1))-AVERAGE(OFFSET($H$3,0,0,'Données projet'!$E$9+1,1))</f>
        <v>295.19075440119076</v>
      </c>
      <c r="T43" s="59">
        <f t="shared" si="34"/>
        <v>173.0182327988216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21</v>
      </c>
      <c r="W43" s="16">
        <f>IF(ISNA(VLOOKUP(A43,'Données projet'!$A$35:$I$55,5,0)),0%,VLOOKUP(A43,'Données projet'!$A$35:$I$55,5,0)*VLOOKUP('Données projet'!$B$9,Paramètres!$A$1:$I$89,7,0))</f>
        <v>9.0000000000000011E-2</v>
      </c>
      <c r="X43" s="16">
        <f>IF(ISNA(VLOOKUP(A43,'Données projet'!$A$35:$I$55,6,0)),0%,VLOOKUP(A43,'Données projet'!$A$35:$I$55,6,0)*VLOOKUP('Données projet'!$B$9,Paramètres!$A$1:$I$89,7,0))</f>
        <v>0.36000000000000004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1.8507201757257756</v>
      </c>
      <c r="AA43" s="21">
        <f>EXP(-LN(2)/25)*AA42+(1-EXP(-LN(2)/25))/(LN(2)/25)*Calculateur!V43*Calculateur!X43*VLOOKUP('Données projet'!$B$9,Paramètres!$A$1:$I$89,3,0)*0.475*44/12</f>
        <v>8.8839433543064299</v>
      </c>
      <c r="AB43" s="21">
        <f>EXP(-LN(2)/2)*AB42+(1-EXP(-LN(2)/2))/(LN(2)/2)*V43*Y43*VLOOKUP('Données projet'!$B$9,Paramètres!$A$1:$I$89,3,0)*0.475*44/12</f>
        <v>0</v>
      </c>
      <c r="AC43" s="22">
        <f t="shared" si="3"/>
        <v>10.734663530032206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264</v>
      </c>
      <c r="AG43" s="12">
        <f>VLOOKUP(A43,'Données projet'!$A$61:$I$81,9,0)</f>
        <v>14.4</v>
      </c>
      <c r="AH43" s="12">
        <f t="array" ref="AH43">INDEX(AG:AG,MIN(IF(ISNUMBER(AG43:AG239),ROW(AG43:AG239),"")))</f>
        <v>14.4</v>
      </c>
      <c r="AI43" s="13">
        <f>IF('Données projet'!$A$62&gt;35,AI42+AH43-AQ42,IF(A43&lt;'Données projet'!$A$62,$AF$205^A43,IF(A43='Données projet'!$A$62,'Données projet'!$B$62,AI42+AH43-AQ42)))</f>
        <v>264.00000000000006</v>
      </c>
      <c r="AJ43" s="13">
        <f>AI43*VLOOKUP('Données projet'!$B$10,Paramètres!$A$1:$I$89,3,0)*VLOOKUP('Données projet'!$B$10,Paramètres!$A$1:$I$89,5,0)</f>
        <v>157.87200000000004</v>
      </c>
      <c r="AK43" s="13">
        <f t="shared" si="35"/>
        <v>40.362165684361159</v>
      </c>
      <c r="AL43" s="20">
        <f t="shared" si="4"/>
        <v>345.25783856692902</v>
      </c>
      <c r="AM43" s="59">
        <f t="shared" si="5"/>
        <v>638.59117190026234</v>
      </c>
      <c r="AN43" s="59">
        <f ca="1">AVERAGE(OFFSET($AM$3,0,0,'Données projet'!$E$10+1,1))-AVERAGE(OFFSET($H$3,0,0,'Données projet'!$E$10+1,1))</f>
        <v>294.45857786714919</v>
      </c>
      <c r="AO43" s="59">
        <f t="shared" si="36"/>
        <v>221.9773436301067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41</v>
      </c>
      <c r="AR43" s="16">
        <f>IF(ISNA(VLOOKUP(A43,'Données projet'!$A$61:$I$81,5,0)),0%,VLOOKUP(A43,'Données projet'!$A$61:$I$81,5,0)*VLOOKUP('Données projet'!$B$10,Paramètres!$A$1:$I$89,7,0))</f>
        <v>9.0000000000000011E-2</v>
      </c>
      <c r="AS43" s="16">
        <f>IF(ISNA(VLOOKUP(A43,'Données projet'!$A$61:$I$81,6,0)),0%,VLOOKUP(A43,'Données projet'!$A$61:$I$81,6,0)*VLOOKUP('Données projet'!$B$10,Paramètres!$A$1:$I$89,7,0))</f>
        <v>0.36000000000000004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6.5741424714522214</v>
      </c>
      <c r="AV43" s="21">
        <f>EXP(-LN(2)/25)*AV42+(1-EXP(-LN(2)/25))/(LN(2)/25)*Calculateur!AQ43*Calculateur!AS43*VLOOKUP('Données projet'!$B$10,Paramètres!$A$1:$I$89,3,0)*0.475*44/12</f>
        <v>30.061743772277062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36.635886243729281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144.768</v>
      </c>
      <c r="BF43" s="13">
        <f t="shared" si="37"/>
        <v>37.387149255707826</v>
      </c>
      <c r="BG43" s="20">
        <f t="shared" si="7"/>
        <v>317.25355162035777</v>
      </c>
      <c r="BH43" s="59">
        <f t="shared" si="8"/>
        <v>610.58688495369108</v>
      </c>
      <c r="BI43" s="59">
        <f ca="1">AVERAGE(OFFSET($BH$3,0,0,'Données projet'!$E$11+1,1))-AVERAGE(OFFSET($H$3,0,0,'Données projet'!$E$11+1,1))</f>
        <v>179.44051550872138</v>
      </c>
      <c r="BJ43" s="59">
        <f t="shared" si="38"/>
        <v>272.9500808380069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10.693806160978923</v>
      </c>
      <c r="BQ43" s="21">
        <f>EXP(-LN(2)/25)*BQ42+(1-EXP(-LN(2)/25))/(LN(2)/25)*Calculateur!BL43*Calculateur!BN43*VLOOKUP('Données projet'!$B$11,Paramètres!$A$1:$I$89,3,0)*0.475*44/12</f>
        <v>59.278080617122235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69.971886778101151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275</v>
      </c>
      <c r="BW43" s="12">
        <f>VLOOKUP(A43,'Données projet'!$A$113:$I$133,9,0)</f>
        <v>10.1</v>
      </c>
      <c r="BX43" s="12">
        <f t="array" ref="BX43">INDEX(BW:BW,MIN(IF(ISNUMBER(BW43:BW239),ROW(BW43:BW239),"")))</f>
        <v>10.1</v>
      </c>
      <c r="BY43" s="12">
        <f>IF('Données projet'!$A$114&gt;35,BY42+BX43-CG42,IF(A43&lt;'Données projet'!$A$114,$BV$205^A43,IF(A43='Données projet'!$A$114,'Données projet'!$B$114,BY42+BX43-CG42)))</f>
        <v>274.99999999999989</v>
      </c>
      <c r="BZ43" s="13">
        <f>BY43*VLOOKUP('Données projet'!$B$12,Paramètres!$A$1:$I$89,3,0)*VLOOKUP('Données projet'!$B$12,Paramètres!$A$1:$I$89,5,0)</f>
        <v>128.69999999999996</v>
      </c>
      <c r="CA43" s="13">
        <f t="shared" si="39"/>
        <v>33.695792019186115</v>
      </c>
      <c r="CB43" s="20">
        <f t="shared" si="10"/>
        <v>282.83933776674911</v>
      </c>
      <c r="CC43" s="59">
        <f t="shared" si="11"/>
        <v>576.17267110008243</v>
      </c>
      <c r="CD43" s="59">
        <f ca="1">AVERAGE(OFFSET($CC$3,0,0,'Données projet'!$E$12+1,1))-AVERAGE(OFFSET($H$3,0,0,'Données projet'!$E$12+1,1))</f>
        <v>259.87681411271632</v>
      </c>
      <c r="CE43" s="59">
        <f t="shared" si="40"/>
        <v>191.8684235641158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55</v>
      </c>
      <c r="CH43" s="16">
        <f>IF(ISNA(VLOOKUP(A43,'Données projet'!$A$113:$I$133,5,0)),0%,VLOOKUP(A43,'Données projet'!$A$113:$I$133,5,0)*VLOOKUP('Données projet'!$B$12,Paramètres!$A$1:$I$89,7,0))</f>
        <v>0.11000000000000001</v>
      </c>
      <c r="CI43" s="16">
        <f>IF(ISNA(VLOOKUP(A43,'Données projet'!$A$113:$I$133,6,0)),0%,VLOOKUP(A43,'Données projet'!$A$113:$I$133,6,0)*VLOOKUP('Données projet'!$B$12,Paramètres!$A$1:$I$89,7,0))</f>
        <v>0.44000000000000006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4.9885177911537362</v>
      </c>
      <c r="CL43" s="21">
        <f>EXP(-LN(2)/25)*CL42+(1-EXP(-LN(2)/25))/(LN(2)/25)*Calculateur!CG43*Calculateur!CI43*VLOOKUP('Données projet'!$B$12,Paramètres!$A$1:$I$89,3,0)*0.475*44/12</f>
        <v>31.423185427401258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36.41170321855499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164</v>
      </c>
      <c r="CR43" s="12">
        <f>VLOOKUP(A43,'Données projet'!$A$139:$I$159,9,0)</f>
        <v>9.6</v>
      </c>
      <c r="CS43" s="12">
        <f t="array" ref="CS43">INDEX(CR:CR,MIN(IF(ISNUMBER(CR43:CR239),ROW(CR43:CR239),"")))</f>
        <v>9.6</v>
      </c>
      <c r="CT43" s="12">
        <f>IF('Données projet'!$A$140&gt;35,CT42+CS43-DB42,IF(A43&lt;'Données projet'!$A$140,$CQ$205^A43,IF(A43='Données projet'!$A$140,'Données projet'!$B$140,CT42+CS43-DB42)))</f>
        <v>163.99999999999997</v>
      </c>
      <c r="CU43" s="17">
        <f>CT43*VLOOKUP('Données projet'!$B$13,Paramètres!$A$1:$I$89,3,0)*VLOOKUP('Données projet'!$B$13,Paramètres!$A$1:$I$89,5,0)</f>
        <v>130.47839999999999</v>
      </c>
      <c r="CV43" s="13">
        <f t="shared" si="41"/>
        <v>34.106879882626828</v>
      </c>
      <c r="CW43" s="20">
        <f t="shared" si="13"/>
        <v>286.65269579557503</v>
      </c>
      <c r="CX43" s="59">
        <f t="shared" si="14"/>
        <v>579.98602912890829</v>
      </c>
      <c r="CY43" s="59">
        <f ca="1">AVERAGE(OFFSET($CX$3,0,0,'Données projet'!$E$13+1,1))-AVERAGE(OFFSET($H$3,0,0,'Données projet'!$E$13+1,1))</f>
        <v>198.11534486400666</v>
      </c>
      <c r="CZ43" s="59">
        <f t="shared" si="42"/>
        <v>174.29856796517652</v>
      </c>
      <c r="DA43" s="15">
        <f>IF(ISNA(VLOOKUP(A43,'Données projet'!$A$139:$I$159,3,0)),0,VLOOKUP(A43,'Données projet'!$A$139:$I$159,3,0))</f>
        <v>5</v>
      </c>
      <c r="DB43" s="15">
        <f>IF(ISNA(VLOOKUP(A43,'Données projet'!$A$139:$I$159,4,0)),0,VLOOKUP(A43,'Données projet'!$A$139:$I$159,4,0))</f>
        <v>28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0.21200000000000002</v>
      </c>
      <c r="DE43" s="16">
        <f>IF(ISNA(VLOOKUP(A43,'Données projet'!$A$139:$I$159,7,0)),0%,VLOOKUP(A43,'Données projet'!$A$139:$I$159,7,0))</f>
        <v>0.4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15.635566404806774</v>
      </c>
      <c r="DH43" s="21">
        <f>EXP(-LN(2)/2)*DH42+(1-EXP(-LN(2)/2))/(LN(2)/2)*DB43*DE43*VLOOKUP('Données projet'!$B$13,Paramètres!$A$1:$I$89,3,0)*0.475*44/12</f>
        <v>9.9063425323096617</v>
      </c>
      <c r="DI43" s="22">
        <f t="shared" si="15"/>
        <v>25.541908937116435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2.6904761904761907</v>
      </c>
      <c r="DO43" s="12">
        <f>IF('Données projet'!$A$166&gt;35,DO42+DN43-DW42,IF(A43&lt;'Données projet'!$A$166,$DL$205^A43,IF(A43='Données projet'!$A$166,'Données projet'!$B$166,DO42+DN43-DW42)))</f>
        <v>107.61904761904761</v>
      </c>
      <c r="DP43" s="17">
        <f>DO43*VLOOKUP('Données projet'!$B$14,Paramètres!$A$1:$I$89,3,0)*VLOOKUP('Données projet'!$B$14,Paramètres!$A$1:$I$89,5,0)</f>
        <v>109.12571428571428</v>
      </c>
      <c r="DQ43" s="13">
        <f t="shared" si="43"/>
        <v>29.124900470596057</v>
      </c>
      <c r="DR43" s="20">
        <f t="shared" si="16"/>
        <v>240.78648736724048</v>
      </c>
      <c r="DS43" s="59">
        <f t="shared" si="17"/>
        <v>534.11982070057377</v>
      </c>
      <c r="DT43" s="59">
        <f ca="1">AVERAGE(OFFSET($DS$3,0,0,'Données projet'!$E$14+1,1))-AVERAGE(OFFSET($H$3,0,0,'Données projet'!$E$14+1,1))</f>
        <v>247.92503505485405</v>
      </c>
      <c r="DU43" s="59">
        <f t="shared" si="44"/>
        <v>148.26437652597514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2.6904761904761907</v>
      </c>
      <c r="EJ43" s="12">
        <f>IF('Données projet'!$A$192&gt;35,EJ42+EI43-ER42,IF(A43&lt;'Données projet'!$A$192,$EG$205^A43,IF(A43='Données projet'!$A$192,'Données projet'!$B$192,EJ42+EI43-ER42)))</f>
        <v>107.61904761904761</v>
      </c>
      <c r="EK43" s="17">
        <f>EJ43*VLOOKUP('Données projet'!$B$15,Paramètres!$A$1:$I$89,3,0)*VLOOKUP('Données projet'!$B$15,Paramètres!$A$1:$I$89,5,0)</f>
        <v>104.08914285714286</v>
      </c>
      <c r="EL43" s="13">
        <f t="shared" si="45"/>
        <v>27.933895544463702</v>
      </c>
      <c r="EM43" s="20">
        <f t="shared" si="19"/>
        <v>229.94012521613138</v>
      </c>
      <c r="EN43" s="59">
        <f t="shared" si="20"/>
        <v>523.27345854946475</v>
      </c>
      <c r="EO43" s="59">
        <f ca="1">AVERAGE(OFFSET($EN$3,0,0,'Données projet'!$E$15+1,1))-AVERAGE(OFFSET($H$3,0,0,'Données projet'!$E$15+1,1))</f>
        <v>232.99870507181964</v>
      </c>
      <c r="EP43" s="59">
        <f t="shared" si="46"/>
        <v>140.07662669226278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>
        <f>VLOOKUP(A43,'Données projet'!$A$217:$I$237,2,0)</f>
        <v>164</v>
      </c>
      <c r="FC43" s="12">
        <f>VLOOKUP(A43,'Données projet'!$A$217:$I$237,9,0)</f>
        <v>9.6</v>
      </c>
      <c r="FD43" s="12">
        <f t="array" ref="FD43">INDEX(FC:FC,MIN(IF(ISNUMBER(FC43:FC239),ROW(FC43:FC239),"")))</f>
        <v>9.6</v>
      </c>
      <c r="FE43" s="12">
        <f>IF('Données projet'!$A$218&gt;35,FE42+FD43-FM42,IF(A43&lt;'Données projet'!$A$218,$FB$205^A43,IF(A43='Données projet'!$A$218,'Données projet'!$B$218,FE42+FD43-FM42)))</f>
        <v>163.99999999999997</v>
      </c>
      <c r="FF43" s="17">
        <f>FE43*VLOOKUP('Données projet'!$B$16,Paramètres!$A$1:$I$89,3,0)*VLOOKUP('Données projet'!$B$16,Paramètres!$A$1:$I$89,5,0)</f>
        <v>127.91999999999999</v>
      </c>
      <c r="FG43" s="13">
        <f t="shared" si="47"/>
        <v>33.515282155238225</v>
      </c>
      <c r="FH43" s="20">
        <f t="shared" si="22"/>
        <v>281.16644975370656</v>
      </c>
      <c r="FI43" s="59">
        <f t="shared" si="23"/>
        <v>574.49978308703987</v>
      </c>
      <c r="FJ43" s="59">
        <f ca="1">AVERAGE(OFFSET($FI$3,0,0,'Données projet'!$E$16+1,1))-AVERAGE(OFFSET($H$3,0,0,'Données projet'!$E$16+1,1))</f>
        <v>193.47609744163839</v>
      </c>
      <c r="FK43" s="59">
        <f t="shared" si="48"/>
        <v>170.3221892406973</v>
      </c>
      <c r="FL43" s="15">
        <f>IF(ISNA(VLOOKUP(A43,'Données projet'!$A$217:$I$237,3,0)),0,VLOOKUP(A43,'Données projet'!$A$217:$I$237,3,0))</f>
        <v>5</v>
      </c>
      <c r="FM43" s="15">
        <f>IF(ISNA(VLOOKUP(A43,'Données projet'!$A$217:$I$237,4,0)),0,VLOOKUP(A43,'Données projet'!$A$217:$I$237,4,0))</f>
        <v>28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0.17200000000000001</v>
      </c>
      <c r="FP43" s="16">
        <f>IF(ISNA(VLOOKUP(A43,'Données projet'!$A$217:$I$237,7,0)),0%,VLOOKUP(A43,'Données projet'!$A$217:$I$237,7,0))</f>
        <v>0.4</v>
      </c>
      <c r="FQ43" s="21">
        <f>EXP(-LN(2)/35)*FQ42+(1-EXP(-LN(2)/35))/(LN(2)/35)*FM43*FN43*VLOOKUP('Données projet'!$B$16,Paramètres!$A$1:$I$89,3,0)*0.475*44/12</f>
        <v>0</v>
      </c>
      <c r="FR43" s="21">
        <f>EXP(-LN(2)/25)*FR42+(1-EXP(-LN(2)/25))/(LN(2)/25)*Calculateur!FM43*Calculateur!FO43*VLOOKUP('Données projet'!$B$16,Paramètres!$A$1:$I$89,3,0)*0.475*44/12</f>
        <v>12.436725035269912</v>
      </c>
      <c r="FS43" s="21">
        <f>EXP(-LN(2)/2)*FS42+(1-EXP(-LN(2)/2))/(LN(2)/2)*FM43*FP43*VLOOKUP('Données projet'!$B$16,Paramètres!$A$1:$I$89,3,0)*0.475*44/12</f>
        <v>9.7121005218722178</v>
      </c>
      <c r="FT43" s="22">
        <f t="shared" si="24"/>
        <v>22.148825557142132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11.5</v>
      </c>
      <c r="FZ43" s="12">
        <f>IF('Données projet'!$A$244&gt;35,FZ42+FY43-GH42,IF(A43&lt;'Données projet'!$A$244,$FW$205^A43,IF(A43='Données projet'!$A$244,'Données projet'!$B$244,FZ42+FY43-GH42)))</f>
        <v>232</v>
      </c>
      <c r="GA43" s="17">
        <f>FZ43*VLOOKUP('Données projet'!$B$17,Paramètres!$A$1:$I$89,3,0)*VLOOKUP('Données projet'!$B$17,Paramètres!$A$1:$I$89,5,0)</f>
        <v>126.672</v>
      </c>
      <c r="GB43" s="13">
        <f t="shared" si="49"/>
        <v>33.226199426361347</v>
      </c>
      <c r="GC43" s="20">
        <f t="shared" si="25"/>
        <v>278.48936400091264</v>
      </c>
      <c r="GD43" s="59">
        <f t="shared" si="26"/>
        <v>571.82269733424596</v>
      </c>
      <c r="GE43" s="59">
        <f ca="1">AVERAGE(OFFSET($GD$3,0,0,'Données projet'!$E$17+1,1))-AVERAGE(OFFSET($H$3,0,0,'Données projet'!$E$17+1,1))</f>
        <v>153.43773674911449</v>
      </c>
      <c r="GF43" s="59">
        <f t="shared" si="50"/>
        <v>235.49395036616602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9.3570803908565594</v>
      </c>
      <c r="GM43" s="21">
        <f>EXP(-LN(2)/25)*GM42+(1-EXP(-LN(2)/25))/(LN(2)/25)*Calculateur!GH43*Calculateur!GJ43*VLOOKUP('Données projet'!$B$17,Paramètres!$A$1:$I$89,3,0)*0.475*44/12</f>
        <v>51.868320539981951</v>
      </c>
      <c r="GN43" s="21">
        <f>EXP(-LN(2)/2)*GN42+(1-EXP(-LN(2)/2))/(LN(2)/2)*GH43*GK43*VLOOKUP('Données projet'!$B$17,Paramètres!$A$1:$I$89,3,0)*0.475*44/12</f>
        <v>0</v>
      </c>
      <c r="GO43" s="21">
        <f t="shared" si="27"/>
        <v>61.225400930838511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>
        <f>VLOOKUP(A43,'Données projet'!$A$269:$I$289,2,0)</f>
        <v>164</v>
      </c>
      <c r="GS43" s="12">
        <f>VLOOKUP(A43,'Données projet'!$A$269:$I$289,9,0)</f>
        <v>9.6</v>
      </c>
      <c r="GT43" s="12">
        <f t="array" ref="GT43">INDEX(GS:GS,MIN(IF(ISNUMBER(GS43:GS239),ROW(GS43:GS239),"")))</f>
        <v>9.6</v>
      </c>
      <c r="GU43" s="12">
        <f>IF('Données projet'!$A$270&gt;35,GU42+GT43-HC42,IF(A43&lt;'Données projet'!$A$270,$GR$205^A43,IF(A43='Données projet'!$A$270,'Données projet'!$B$270,GU42+GT43-HC42)))</f>
        <v>163.99999999999997</v>
      </c>
      <c r="GV43" s="17">
        <f>GU43*VLOOKUP('Données projet'!$B$18,Paramètres!$A$1:$I$89,3,0)*VLOOKUP('Données projet'!$B$18,Paramètres!$A$1:$I$89,5,0)</f>
        <v>130.47839999999999</v>
      </c>
      <c r="GW43" s="13">
        <f t="shared" si="51"/>
        <v>34.106879882626828</v>
      </c>
      <c r="GX43" s="20">
        <f t="shared" si="28"/>
        <v>286.65269579557503</v>
      </c>
      <c r="GY43" s="59">
        <f t="shared" si="29"/>
        <v>579.98602912890829</v>
      </c>
      <c r="GZ43" s="59">
        <f ca="1">AVERAGE(OFFSET($GY$3,0,0,'Données projet'!$E$18+1,1))-AVERAGE(OFFSET($H$3,0,0,'Données projet'!$E$18+1,1))</f>
        <v>198.11534486400666</v>
      </c>
      <c r="HA43" s="59">
        <f t="shared" si="52"/>
        <v>174.29856796517652</v>
      </c>
      <c r="HB43" s="15">
        <f>IF(ISNA(VLOOKUP(A43,'Données projet'!$A$269:$I$289,3,0)),0,VLOOKUP(A43,'Données projet'!$A$269:$I$289,3,0))</f>
        <v>5</v>
      </c>
      <c r="HC43" s="15">
        <f>IF(ISNA(VLOOKUP(A43,'Données projet'!$A$269:$I$289,4,0)),0,VLOOKUP(A43,'Données projet'!$A$269:$I$289,4,0))</f>
        <v>28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0.21200000000000002</v>
      </c>
      <c r="HF43" s="16">
        <f>IF(ISNA(VLOOKUP(A43,'Données projet'!$A$269:$I$289,7,0)),0%,VLOOKUP(A43,'Données projet'!$A$269:$I$289,7,0))</f>
        <v>0.4</v>
      </c>
      <c r="HG43" s="21">
        <f>EXP(-LN(2)/35)*HG42+(1-EXP(-LN(2)/35))/(LN(2)/35)*HC43*HD43*VLOOKUP('Données projet'!$B$18,Paramètres!$A$1:$I$89,3,0)*0.475*44/12</f>
        <v>0</v>
      </c>
      <c r="HH43" s="21">
        <f>EXP(-LN(2)/25)*HH42+(1-EXP(-LN(2)/25))/(LN(2)/25)*Calculateur!HC43*Calculateur!HE43*VLOOKUP('Données projet'!$B$18,Paramètres!$A$1:$I$89,3,0)*0.475*44/12</f>
        <v>15.635566404806774</v>
      </c>
      <c r="HI43" s="21">
        <f>EXP(-LN(2)/2)*HI42+(1-EXP(-LN(2)/2))/(LN(2)/2)*HC43*HF43*VLOOKUP('Données projet'!$B$18,Paramètres!$A$1:$I$89,3,0)*0.475*44/12</f>
        <v>9.9063425323096617</v>
      </c>
      <c r="HJ43" s="22">
        <f t="shared" si="30"/>
        <v>25.541908937116435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9.5</v>
      </c>
      <c r="N44" s="13">
        <f>IF('Données projet'!$A$36&gt;35,N43+M44-V43,IF(A44&lt;'Données projet'!$A$36,$K$205^A44,IF(A44='Données projet'!$A$36,'Données projet'!$B$36,N43+M44-V43)))</f>
        <v>235.50000000000011</v>
      </c>
      <c r="O44" s="13">
        <f>N44*VLOOKUP('Données projet'!$B$9,Paramètres!$A$1:$I$89,3,0)*VLOOKUP('Données projet'!$B$9,Paramètres!$A$1:$I$89,5,0)</f>
        <v>140.82900000000006</v>
      </c>
      <c r="P44" s="13">
        <f t="shared" si="33"/>
        <v>36.486852448658766</v>
      </c>
      <c r="Q44" s="20">
        <f t="shared" si="53"/>
        <v>308.82510968141406</v>
      </c>
      <c r="R44" s="59">
        <f t="shared" si="0"/>
        <v>602.15844301474738</v>
      </c>
      <c r="S44" s="59">
        <f ca="1">AVERAGE(OFFSET($R$3,0,0,'Données projet'!$E$9+1,1))-AVERAGE(OFFSET($H$3,0,0,'Données projet'!$E$9+1,1))</f>
        <v>295.19075440119076</v>
      </c>
      <c r="T44" s="59">
        <f t="shared" si="34"/>
        <v>173.0182327988216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1.8144286819076378</v>
      </c>
      <c r="AA44" s="21">
        <f>EXP(-LN(2)/25)*AA43+(1-EXP(-LN(2)/25))/(LN(2)/25)*Calculateur!V44*Calculateur!X44*VLOOKUP('Données projet'!$B$9,Paramètres!$A$1:$I$89,3,0)*0.475*44/12</f>
        <v>8.6410114560966438</v>
      </c>
      <c r="AB44" s="21">
        <f>EXP(-LN(2)/2)*AB43+(1-EXP(-LN(2)/2))/(LN(2)/2)*V44*Y44*VLOOKUP('Données projet'!$B$9,Paramètres!$A$1:$I$89,3,0)*0.475*44/12</f>
        <v>0</v>
      </c>
      <c r="AC44" s="22">
        <f t="shared" si="3"/>
        <v>10.455440138004281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16.600000000000001</v>
      </c>
      <c r="AI44" s="13">
        <f>IF('Données projet'!$A$62&gt;35,AI43+AH44-AQ43,IF(A44&lt;'Données projet'!$A$62,$AF$205^A44,IF(A44='Données projet'!$A$62,'Données projet'!$B$62,AI43+AH44-AQ43)))</f>
        <v>239.60000000000008</v>
      </c>
      <c r="AJ44" s="13">
        <f>AI44*VLOOKUP('Données projet'!$B$10,Paramètres!$A$1:$I$89,3,0)*VLOOKUP('Données projet'!$B$10,Paramètres!$A$1:$I$89,5,0)</f>
        <v>143.28080000000006</v>
      </c>
      <c r="AK44" s="13">
        <f t="shared" si="35"/>
        <v>37.047574465948976</v>
      </c>
      <c r="AL44" s="20">
        <f t="shared" si="4"/>
        <v>314.07191886152788</v>
      </c>
      <c r="AM44" s="59">
        <f t="shared" si="5"/>
        <v>607.40525219486119</v>
      </c>
      <c r="AN44" s="59">
        <f ca="1">AVERAGE(OFFSET($AM$3,0,0,'Données projet'!$E$10+1,1))-AVERAGE(OFFSET($H$3,0,0,'Données projet'!$E$10+1,1))</f>
        <v>294.45857786714919</v>
      </c>
      <c r="AO44" s="59">
        <f t="shared" si="36"/>
        <v>221.9773436301067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6.4452275474180132</v>
      </c>
      <c r="AV44" s="21">
        <f>EXP(-LN(2)/25)*AV43+(1-EXP(-LN(2)/25))/(LN(2)/25)*Calculateur!AQ44*Calculateur!AS44*VLOOKUP('Données projet'!$B$10,Paramètres!$A$1:$I$89,3,0)*0.475*44/12</f>
        <v>29.239703807945748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35.684931355363759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151.94399999999999</v>
      </c>
      <c r="BF44" s="13">
        <f t="shared" si="37"/>
        <v>39.02003496976517</v>
      </c>
      <c r="BG44" s="20">
        <f t="shared" si="7"/>
        <v>332.59569423900763</v>
      </c>
      <c r="BH44" s="59">
        <f t="shared" si="8"/>
        <v>625.92902757234094</v>
      </c>
      <c r="BI44" s="59">
        <f ca="1">AVERAGE(OFFSET($BH$3,0,0,'Données projet'!$E$11+1,1))-AVERAGE(OFFSET($H$3,0,0,'Données projet'!$E$11+1,1))</f>
        <v>179.44051550872138</v>
      </c>
      <c r="BJ44" s="59">
        <f t="shared" si="38"/>
        <v>272.9500808380069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10.484107144739834</v>
      </c>
      <c r="BQ44" s="21">
        <f>EXP(-LN(2)/25)*BQ43+(1-EXP(-LN(2)/25))/(LN(2)/25)*Calculateur!BL44*Calculateur!BN44*VLOOKUP('Données projet'!$B$11,Paramètres!$A$1:$I$89,3,0)*0.475*44/12</f>
        <v>57.657118385348248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68.141225530088079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11.5</v>
      </c>
      <c r="BY44" s="12">
        <f>IF('Données projet'!$A$114&gt;35,BY43+BX44-CG43,IF(A44&lt;'Données projet'!$A$114,$BV$205^A44,IF(A44='Données projet'!$A$114,'Données projet'!$B$114,BY43+BX44-CG43)))</f>
        <v>231.49999999999989</v>
      </c>
      <c r="BZ44" s="13">
        <f>BY44*VLOOKUP('Données projet'!$B$12,Paramètres!$A$1:$I$89,3,0)*VLOOKUP('Données projet'!$B$12,Paramètres!$A$1:$I$89,5,0)</f>
        <v>108.34199999999996</v>
      </c>
      <c r="CA44" s="13">
        <f t="shared" si="39"/>
        <v>28.940002222844054</v>
      </c>
      <c r="CB44" s="20">
        <f t="shared" si="10"/>
        <v>239.09948720478664</v>
      </c>
      <c r="CC44" s="59">
        <f t="shared" si="11"/>
        <v>532.43282053811993</v>
      </c>
      <c r="CD44" s="59">
        <f ca="1">AVERAGE(OFFSET($CC$3,0,0,'Données projet'!$E$12+1,1))-AVERAGE(OFFSET($H$3,0,0,'Données projet'!$E$12+1,1))</f>
        <v>259.87681411271632</v>
      </c>
      <c r="CE44" s="59">
        <f t="shared" si="40"/>
        <v>191.8684235641158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4.8906959999646231</v>
      </c>
      <c r="CL44" s="21">
        <f>EXP(-LN(2)/25)*CL43+(1-EXP(-LN(2)/25))/(LN(2)/25)*Calculateur!CG44*Calculateur!CI44*VLOOKUP('Données projet'!$B$12,Paramètres!$A$1:$I$89,3,0)*0.475*44/12</f>
        <v>30.563916769415467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35.454612769380091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9.4</v>
      </c>
      <c r="CT44" s="12">
        <f>IF('Données projet'!$A$140&gt;35,CT43+CS44-DB43,IF(A44&lt;'Données projet'!$A$140,$CQ$205^A44,IF(A44='Données projet'!$A$140,'Données projet'!$B$140,CT43+CS44-DB43)))</f>
        <v>145.39999999999998</v>
      </c>
      <c r="CU44" s="17">
        <f>CT44*VLOOKUP('Données projet'!$B$13,Paramètres!$A$1:$I$89,3,0)*VLOOKUP('Données projet'!$B$13,Paramètres!$A$1:$I$89,5,0)</f>
        <v>115.68024</v>
      </c>
      <c r="CV44" s="13">
        <f t="shared" si="41"/>
        <v>30.665346560819827</v>
      </c>
      <c r="CW44" s="20">
        <f t="shared" si="13"/>
        <v>254.88522992676118</v>
      </c>
      <c r="CX44" s="59">
        <f t="shared" si="14"/>
        <v>548.21856326009447</v>
      </c>
      <c r="CY44" s="59">
        <f ca="1">AVERAGE(OFFSET($CX$3,0,0,'Données projet'!$E$13+1,1))-AVERAGE(OFFSET($H$3,0,0,'Données projet'!$E$13+1,1))</f>
        <v>198.11534486400666</v>
      </c>
      <c r="CZ44" s="59">
        <f t="shared" si="42"/>
        <v>174.29856796517652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15.20801101922863</v>
      </c>
      <c r="DH44" s="21">
        <f>EXP(-LN(2)/2)*DH43+(1-EXP(-LN(2)/2))/(LN(2)/2)*DB44*DE44*VLOOKUP('Données projet'!$B$13,Paramètres!$A$1:$I$89,3,0)*0.475*44/12</f>
        <v>7.0048419813528779</v>
      </c>
      <c r="DI44" s="22">
        <f t="shared" si="15"/>
        <v>22.212853000581507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2.6904761904761907</v>
      </c>
      <c r="DO44" s="12">
        <f>IF('Données projet'!$A$166&gt;35,DO43+DN44-DW43,IF(A44&lt;'Données projet'!$A$166,$DL$205^A44,IF(A44='Données projet'!$A$166,'Données projet'!$B$166,DO43+DN44-DW43)))</f>
        <v>110.3095238095238</v>
      </c>
      <c r="DP44" s="17">
        <f>DO44*VLOOKUP('Données projet'!$B$14,Paramètres!$A$1:$I$89,3,0)*VLOOKUP('Données projet'!$B$14,Paramètres!$A$1:$I$89,5,0)</f>
        <v>111.85385714285715</v>
      </c>
      <c r="DQ44" s="13">
        <f t="shared" si="43"/>
        <v>29.767342015458599</v>
      </c>
      <c r="DR44" s="20">
        <f t="shared" si="16"/>
        <v>246.65692186739997</v>
      </c>
      <c r="DS44" s="59">
        <f t="shared" si="17"/>
        <v>539.99025520073326</v>
      </c>
      <c r="DT44" s="59">
        <f ca="1">AVERAGE(OFFSET($DS$3,0,0,'Données projet'!$E$14+1,1))-AVERAGE(OFFSET($H$3,0,0,'Données projet'!$E$14+1,1))</f>
        <v>247.92503505485405</v>
      </c>
      <c r="DU44" s="59">
        <f t="shared" si="44"/>
        <v>148.26437652597514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2.6904761904761907</v>
      </c>
      <c r="EJ44" s="12">
        <f>IF('Données projet'!$A$192&gt;35,EJ43+EI44-ER43,IF(A44&lt;'Données projet'!$A$192,$EG$205^A44,IF(A44='Données projet'!$A$192,'Données projet'!$B$192,EJ43+EI44-ER43)))</f>
        <v>110.3095238095238</v>
      </c>
      <c r="EK44" s="17">
        <f>EJ44*VLOOKUP('Données projet'!$B$15,Paramètres!$A$1:$I$89,3,0)*VLOOKUP('Données projet'!$B$15,Paramètres!$A$1:$I$89,5,0)</f>
        <v>106.69137142857141</v>
      </c>
      <c r="EL44" s="13">
        <f t="shared" si="45"/>
        <v>28.550065719044454</v>
      </c>
      <c r="EM44" s="20">
        <f t="shared" si="19"/>
        <v>235.54550303209763</v>
      </c>
      <c r="EN44" s="59">
        <f t="shared" si="20"/>
        <v>528.87883636543097</v>
      </c>
      <c r="EO44" s="59">
        <f ca="1">AVERAGE(OFFSET($EN$3,0,0,'Données projet'!$E$15+1,1))-AVERAGE(OFFSET($H$3,0,0,'Données projet'!$E$15+1,1))</f>
        <v>232.99870507181964</v>
      </c>
      <c r="EP44" s="59">
        <f t="shared" si="46"/>
        <v>140.07662669226278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9.4</v>
      </c>
      <c r="FE44" s="12">
        <f>IF('Données projet'!$A$218&gt;35,FE43+FD44-FM43,IF(A44&lt;'Données projet'!$A$218,$FB$205^A44,IF(A44='Données projet'!$A$218,'Données projet'!$B$218,FE43+FD44-FM43)))</f>
        <v>145.39999999999998</v>
      </c>
      <c r="FF44" s="17">
        <f>FE44*VLOOKUP('Données projet'!$B$16,Paramètres!$A$1:$I$89,3,0)*VLOOKUP('Données projet'!$B$16,Paramètres!$A$1:$I$89,5,0)</f>
        <v>113.41199999999999</v>
      </c>
      <c r="FG44" s="13">
        <f t="shared" si="47"/>
        <v>30.133443631047442</v>
      </c>
      <c r="FH44" s="20">
        <f t="shared" si="22"/>
        <v>250.00831432407423</v>
      </c>
      <c r="FI44" s="59">
        <f t="shared" si="23"/>
        <v>543.34164765740752</v>
      </c>
      <c r="FJ44" s="59">
        <f ca="1">AVERAGE(OFFSET($FI$3,0,0,'Données projet'!$E$16+1,1))-AVERAGE(OFFSET($H$3,0,0,'Données projet'!$E$16+1,1))</f>
        <v>193.47609744163839</v>
      </c>
      <c r="FK44" s="59">
        <f t="shared" si="48"/>
        <v>170.3221892406973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</v>
      </c>
      <c r="FR44" s="21">
        <f>EXP(-LN(2)/25)*FR43+(1-EXP(-LN(2)/25))/(LN(2)/25)*Calculateur!FM44*Calculateur!FO44*VLOOKUP('Données projet'!$B$16,Paramètres!$A$1:$I$89,3,0)*0.475*44/12</f>
        <v>12.096642135161511</v>
      </c>
      <c r="FS44" s="21">
        <f>EXP(-LN(2)/2)*FS43+(1-EXP(-LN(2)/2))/(LN(2)/2)*FM44*FP44*VLOOKUP('Données projet'!$B$16,Paramètres!$A$1:$I$89,3,0)*0.475*44/12</f>
        <v>6.8674921385812526</v>
      </c>
      <c r="FT44" s="22">
        <f t="shared" si="24"/>
        <v>18.964134273742765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11.5</v>
      </c>
      <c r="FZ44" s="12">
        <f>IF('Données projet'!$A$244&gt;35,FZ43+FY44-GH43,IF(A44&lt;'Données projet'!$A$244,$FW$205^A44,IF(A44='Données projet'!$A$244,'Données projet'!$B$244,FZ43+FY44-GH43)))</f>
        <v>243.5</v>
      </c>
      <c r="GA44" s="17">
        <f>FZ44*VLOOKUP('Données projet'!$B$17,Paramètres!$A$1:$I$89,3,0)*VLOOKUP('Données projet'!$B$17,Paramètres!$A$1:$I$89,5,0)</f>
        <v>132.95099999999999</v>
      </c>
      <c r="GB44" s="13">
        <f t="shared" si="49"/>
        <v>34.677355437338647</v>
      </c>
      <c r="GC44" s="20">
        <f t="shared" si="25"/>
        <v>291.95271905336477</v>
      </c>
      <c r="GD44" s="59">
        <f t="shared" si="26"/>
        <v>585.28605238669809</v>
      </c>
      <c r="GE44" s="59">
        <f ca="1">AVERAGE(OFFSET($GD$3,0,0,'Données projet'!$E$17+1,1))-AVERAGE(OFFSET($H$3,0,0,'Données projet'!$E$17+1,1))</f>
        <v>153.43773674911449</v>
      </c>
      <c r="GF44" s="59">
        <f t="shared" si="50"/>
        <v>235.49395036616602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9.1735937516473562</v>
      </c>
      <c r="GM44" s="21">
        <f>EXP(-LN(2)/25)*GM43+(1-EXP(-LN(2)/25))/(LN(2)/25)*Calculateur!GH44*Calculateur!GJ44*VLOOKUP('Données projet'!$B$17,Paramètres!$A$1:$I$89,3,0)*0.475*44/12</f>
        <v>50.449978587179714</v>
      </c>
      <c r="GN44" s="21">
        <f>EXP(-LN(2)/2)*GN43+(1-EXP(-LN(2)/2))/(LN(2)/2)*GH44*GK44*VLOOKUP('Données projet'!$B$17,Paramètres!$A$1:$I$89,3,0)*0.475*44/12</f>
        <v>0</v>
      </c>
      <c r="GO44" s="21">
        <f t="shared" si="27"/>
        <v>59.623572338827074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9.4</v>
      </c>
      <c r="GU44" s="12">
        <f>IF('Données projet'!$A$270&gt;35,GU43+GT44-HC43,IF(A44&lt;'Données projet'!$A$270,$GR$205^A44,IF(A44='Données projet'!$A$270,'Données projet'!$B$270,GU43+GT44-HC43)))</f>
        <v>145.39999999999998</v>
      </c>
      <c r="GV44" s="17">
        <f>GU44*VLOOKUP('Données projet'!$B$18,Paramètres!$A$1:$I$89,3,0)*VLOOKUP('Données projet'!$B$18,Paramètres!$A$1:$I$89,5,0)</f>
        <v>115.68024</v>
      </c>
      <c r="GW44" s="13">
        <f t="shared" si="51"/>
        <v>30.665346560819827</v>
      </c>
      <c r="GX44" s="20">
        <f t="shared" si="28"/>
        <v>254.88522992676118</v>
      </c>
      <c r="GY44" s="59">
        <f t="shared" si="29"/>
        <v>548.21856326009447</v>
      </c>
      <c r="GZ44" s="59">
        <f ca="1">AVERAGE(OFFSET($GY$3,0,0,'Données projet'!$E$18+1,1))-AVERAGE(OFFSET($H$3,0,0,'Données projet'!$E$18+1,1))</f>
        <v>198.11534486400666</v>
      </c>
      <c r="HA44" s="59">
        <f t="shared" si="52"/>
        <v>174.29856796517652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>
        <f>EXP(-LN(2)/35)*HG43+(1-EXP(-LN(2)/35))/(LN(2)/35)*HC44*HD44*VLOOKUP('Données projet'!$B$18,Paramètres!$A$1:$I$89,3,0)*0.475*44/12</f>
        <v>0</v>
      </c>
      <c r="HH44" s="21">
        <f>EXP(-LN(2)/25)*HH43+(1-EXP(-LN(2)/25))/(LN(2)/25)*Calculateur!HC44*Calculateur!HE44*VLOOKUP('Données projet'!$B$18,Paramètres!$A$1:$I$89,3,0)*0.475*44/12</f>
        <v>15.20801101922863</v>
      </c>
      <c r="HI44" s="21">
        <f>EXP(-LN(2)/2)*HI43+(1-EXP(-LN(2)/2))/(LN(2)/2)*HC44*HF44*VLOOKUP('Données projet'!$B$18,Paramètres!$A$1:$I$89,3,0)*0.475*44/12</f>
        <v>7.0048419813528779</v>
      </c>
      <c r="HJ44" s="22">
        <f t="shared" si="30"/>
        <v>22.212853000581507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9.5</v>
      </c>
      <c r="N45" s="13">
        <f>IF('Données projet'!$A$36&gt;35,N44+M45-V44,IF(A45&lt;'Données projet'!$A$36,$K$205^A45,IF(A45='Données projet'!$A$36,'Données projet'!$B$36,N44+M45-V44)))</f>
        <v>245.00000000000011</v>
      </c>
      <c r="O45" s="13">
        <f>N45*VLOOKUP('Données projet'!$B$9,Paramètres!$A$1:$I$89,3,0)*VLOOKUP('Données projet'!$B$9,Paramètres!$A$1:$I$89,5,0)</f>
        <v>146.51000000000008</v>
      </c>
      <c r="P45" s="13">
        <f t="shared" si="33"/>
        <v>37.784387209607431</v>
      </c>
      <c r="Q45" s="20">
        <f t="shared" si="53"/>
        <v>320.97939105673305</v>
      </c>
      <c r="R45" s="59">
        <f t="shared" si="0"/>
        <v>614.31272439006636</v>
      </c>
      <c r="S45" s="59">
        <f ca="1">AVERAGE(OFFSET($R$3,0,0,'Données projet'!$E$9+1,1))-AVERAGE(OFFSET($H$3,0,0,'Données projet'!$E$9+1,1))</f>
        <v>295.19075440119076</v>
      </c>
      <c r="T45" s="59">
        <f t="shared" si="34"/>
        <v>173.0182327988216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1.7788488421476483</v>
      </c>
      <c r="AA45" s="21">
        <f>EXP(-LN(2)/25)*AA44+(1-EXP(-LN(2)/25))/(LN(2)/25)*Calculateur!V45*Calculateur!X45*VLOOKUP('Données projet'!$B$9,Paramètres!$A$1:$I$89,3,0)*0.475*44/12</f>
        <v>8.4047225434186377</v>
      </c>
      <c r="AB45" s="21">
        <f>EXP(-LN(2)/2)*AB44+(1-EXP(-LN(2)/2))/(LN(2)/2)*V45*Y45*VLOOKUP('Données projet'!$B$9,Paramètres!$A$1:$I$89,3,0)*0.475*44/12</f>
        <v>0</v>
      </c>
      <c r="AC45" s="22">
        <f t="shared" si="3"/>
        <v>10.183571385566285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16.600000000000001</v>
      </c>
      <c r="AI45" s="13">
        <f>IF('Données projet'!$A$62&gt;35,AI44+AH45-AQ44,IF(A45&lt;'Données projet'!$A$62,$AF$205^A45,IF(A45='Données projet'!$A$62,'Données projet'!$B$62,AI44+AH45-AQ44)))</f>
        <v>256.2000000000001</v>
      </c>
      <c r="AJ45" s="13">
        <f>AI45*VLOOKUP('Données projet'!$B$10,Paramètres!$A$1:$I$89,3,0)*VLOOKUP('Données projet'!$B$10,Paramètres!$A$1:$I$89,5,0)</f>
        <v>153.20760000000007</v>
      </c>
      <c r="AK45" s="13">
        <f t="shared" si="35"/>
        <v>39.306624169832133</v>
      </c>
      <c r="AL45" s="20">
        <f t="shared" si="4"/>
        <v>335.29560709579107</v>
      </c>
      <c r="AM45" s="59">
        <f t="shared" si="5"/>
        <v>628.62894042912444</v>
      </c>
      <c r="AN45" s="59">
        <f ca="1">AVERAGE(OFFSET($AM$3,0,0,'Données projet'!$E$10+1,1))-AVERAGE(OFFSET($H$3,0,0,'Données projet'!$E$10+1,1))</f>
        <v>294.45857786714919</v>
      </c>
      <c r="AO45" s="59">
        <f t="shared" si="36"/>
        <v>221.9773436301067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6.3188405664137761</v>
      </c>
      <c r="AV45" s="21">
        <f>EXP(-LN(2)/25)*AV44+(1-EXP(-LN(2)/25))/(LN(2)/25)*Calculateur!AQ45*Calculateur!AS45*VLOOKUP('Données projet'!$B$10,Paramètres!$A$1:$I$89,3,0)*0.475*44/12</f>
        <v>28.440142569668275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34.758983136082051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159.12</v>
      </c>
      <c r="BF45" s="13">
        <f t="shared" si="37"/>
        <v>40.643965284387697</v>
      </c>
      <c r="BG45" s="20">
        <f t="shared" si="7"/>
        <v>347.92223953697521</v>
      </c>
      <c r="BH45" s="59">
        <f t="shared" si="8"/>
        <v>641.25557287030847</v>
      </c>
      <c r="BI45" s="59">
        <f ca="1">AVERAGE(OFFSET($BH$3,0,0,'Données projet'!$E$11+1,1))-AVERAGE(OFFSET($H$3,0,0,'Données projet'!$E$11+1,1))</f>
        <v>179.44051550872138</v>
      </c>
      <c r="BJ45" s="59">
        <f t="shared" si="38"/>
        <v>272.9500808380069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0.24</v>
      </c>
      <c r="BN45" s="16">
        <f>IF(ISNA(VLOOKUP(A45,'Données projet'!$A$87:$I$107,6,0)),0%,VLOOKUP(A45,'Données projet'!$A$87:$I$107,6,0)*VLOOKUP('Données projet'!$B$11,Paramètres!$A$1:$I$89,7,0))</f>
        <v>0.36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23.589161819029336</v>
      </c>
      <c r="BQ45" s="21">
        <f>EXP(-LN(2)/25)*BQ44+(1-EXP(-LN(2)/25))/(LN(2)/25)*Calculateur!BL45*Calculateur!BN45*VLOOKUP('Données projet'!$B$11,Paramètres!$A$1:$I$89,3,0)*0.475*44/12</f>
        <v>75.967830280411391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99.55699209944072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11.5</v>
      </c>
      <c r="BY45" s="12">
        <f>IF('Données projet'!$A$114&gt;35,BY44+BX45-CG44,IF(A45&lt;'Données projet'!$A$114,$BV$205^A45,IF(A45='Données projet'!$A$114,'Données projet'!$B$114,BY44+BX45-CG44)))</f>
        <v>242.99999999999989</v>
      </c>
      <c r="BZ45" s="13">
        <f>BY45*VLOOKUP('Données projet'!$B$12,Paramètres!$A$1:$I$89,3,0)*VLOOKUP('Données projet'!$B$12,Paramètres!$A$1:$I$89,5,0)</f>
        <v>113.72399999999995</v>
      </c>
      <c r="CA45" s="13">
        <f t="shared" si="39"/>
        <v>30.206680638130489</v>
      </c>
      <c r="CB45" s="20">
        <f t="shared" si="10"/>
        <v>250.67926877807716</v>
      </c>
      <c r="CC45" s="59">
        <f t="shared" si="11"/>
        <v>544.0126021114105</v>
      </c>
      <c r="CD45" s="59">
        <f ca="1">AVERAGE(OFFSET($CC$3,0,0,'Données projet'!$E$12+1,1))-AVERAGE(OFFSET($H$3,0,0,'Données projet'!$E$12+1,1))</f>
        <v>259.87681411271632</v>
      </c>
      <c r="CE45" s="59">
        <f t="shared" si="40"/>
        <v>191.8684235641158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4.794792434435327</v>
      </c>
      <c r="CL45" s="21">
        <f>EXP(-LN(2)/25)*CL44+(1-EXP(-LN(2)/25))/(LN(2)/25)*Calculateur!CG45*Calculateur!CI45*VLOOKUP('Données projet'!$B$12,Paramètres!$A$1:$I$89,3,0)*0.475*44/12</f>
        <v>29.728144858069275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34.522937292504601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9.4</v>
      </c>
      <c r="CT45" s="12">
        <f>IF('Données projet'!$A$140&gt;35,CT44+CS45-DB44,IF(A45&lt;'Données projet'!$A$140,$CQ$205^A45,IF(A45='Données projet'!$A$140,'Données projet'!$B$140,CT44+CS45-DB44)))</f>
        <v>154.79999999999998</v>
      </c>
      <c r="CU45" s="17">
        <f>CT45*VLOOKUP('Données projet'!$B$13,Paramètres!$A$1:$I$89,3,0)*VLOOKUP('Données projet'!$B$13,Paramètres!$A$1:$I$89,5,0)</f>
        <v>123.15888</v>
      </c>
      <c r="CV45" s="13">
        <f t="shared" si="41"/>
        <v>32.410638331814873</v>
      </c>
      <c r="CW45" s="20">
        <f t="shared" si="13"/>
        <v>270.95024442791089</v>
      </c>
      <c r="CX45" s="59">
        <f t="shared" si="14"/>
        <v>564.28357776124426</v>
      </c>
      <c r="CY45" s="59">
        <f ca="1">AVERAGE(OFFSET($CX$3,0,0,'Données projet'!$E$13+1,1))-AVERAGE(OFFSET($H$3,0,0,'Données projet'!$E$13+1,1))</f>
        <v>198.11534486400666</v>
      </c>
      <c r="CZ45" s="59">
        <f t="shared" si="42"/>
        <v>174.29856796517652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14.792147158153282</v>
      </c>
      <c r="DH45" s="21">
        <f>EXP(-LN(2)/2)*DH44+(1-EXP(-LN(2)/2))/(LN(2)/2)*DB45*DE45*VLOOKUP('Données projet'!$B$13,Paramètres!$A$1:$I$89,3,0)*0.475*44/12</f>
        <v>4.9531712661548317</v>
      </c>
      <c r="DI45" s="22">
        <f t="shared" si="15"/>
        <v>19.745318424308113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>
        <f>VLOOKUP(A45,'Données projet'!$A$165:$I$185,2,0)</f>
        <v>113</v>
      </c>
      <c r="DM45" s="12">
        <f>VLOOKUP(A45,'Données projet'!$A$165:$I$185,9,0)</f>
        <v>2.6904761904761907</v>
      </c>
      <c r="DN45" s="12">
        <f t="array" ref="DN45">INDEX(DM:DM,MIN(IF(ISNUMBER(DM45:DM241),ROW(DM45:DM241),"")))</f>
        <v>2.6904761904761907</v>
      </c>
      <c r="DO45" s="12">
        <f>IF('Données projet'!$A$166&gt;35,DO44+DN45-DW44,IF(A45&lt;'Données projet'!$A$166,$DL$205^A45,IF(A45='Données projet'!$A$166,'Données projet'!$B$166,DO44+DN45-DW44)))</f>
        <v>112.99999999999999</v>
      </c>
      <c r="DP45" s="17">
        <f>DO45*VLOOKUP('Données projet'!$B$14,Paramètres!$A$1:$I$89,3,0)*VLOOKUP('Données projet'!$B$14,Paramètres!$A$1:$I$89,5,0)</f>
        <v>114.58199999999998</v>
      </c>
      <c r="DQ45" s="13">
        <f t="shared" si="43"/>
        <v>30.407962048850919</v>
      </c>
      <c r="DR45" s="20">
        <f t="shared" si="16"/>
        <v>252.52418390174861</v>
      </c>
      <c r="DS45" s="59">
        <f t="shared" si="17"/>
        <v>545.8575172350819</v>
      </c>
      <c r="DT45" s="59">
        <f ca="1">AVERAGE(OFFSET($DS$3,0,0,'Données projet'!$E$14+1,1))-AVERAGE(OFFSET($H$3,0,0,'Données projet'!$E$14+1,1))</f>
        <v>247.92503505485405</v>
      </c>
      <c r="DU45" s="59">
        <f t="shared" si="44"/>
        <v>148.26437652597514</v>
      </c>
      <c r="DV45" s="15">
        <f>IF(ISNA(VLOOKUP(A45,'Données projet'!$A$165:$I$185,3,0)),0,VLOOKUP(A45,'Données projet'!$A$165:$I$185,3,0))</f>
        <v>1</v>
      </c>
      <c r="DW45" s="15">
        <f>IF(ISNA(VLOOKUP(A45,'Données projet'!$A$165:$I$185,4,0)),0,VLOOKUP(A45,'Données projet'!$A$165:$I$185,4,0))</f>
        <v>30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>
        <f>VLOOKUP(A45,'Données projet'!$A$191:$I$211,2,0)</f>
        <v>113</v>
      </c>
      <c r="EH45" s="12">
        <f>VLOOKUP(A45,'Données projet'!$A$191:$I$211,9,0)</f>
        <v>2.6904761904761907</v>
      </c>
      <c r="EI45" s="12">
        <f t="array" ref="EI45">INDEX(EH:EH,MIN(IF(ISNUMBER(EH45:EH241),ROW(EH45:EH241),"")))</f>
        <v>2.6904761904761907</v>
      </c>
      <c r="EJ45" s="12">
        <f>IF('Données projet'!$A$192&gt;35,EJ44+EI45-ER44,IF(A45&lt;'Données projet'!$A$192,$EG$205^A45,IF(A45='Données projet'!$A$192,'Données projet'!$B$192,EJ44+EI45-ER44)))</f>
        <v>112.99999999999999</v>
      </c>
      <c r="EK45" s="17">
        <f>EJ45*VLOOKUP('Données projet'!$B$15,Paramètres!$A$1:$I$89,3,0)*VLOOKUP('Données projet'!$B$15,Paramètres!$A$1:$I$89,5,0)</f>
        <v>109.29359999999998</v>
      </c>
      <c r="EL45" s="13">
        <f t="shared" si="45"/>
        <v>29.164488869246725</v>
      </c>
      <c r="EM45" s="20">
        <f t="shared" si="19"/>
        <v>241.14783811393798</v>
      </c>
      <c r="EN45" s="59">
        <f t="shared" si="20"/>
        <v>534.48117144727132</v>
      </c>
      <c r="EO45" s="59">
        <f ca="1">AVERAGE(OFFSET($EN$3,0,0,'Données projet'!$E$15+1,1))-AVERAGE(OFFSET($H$3,0,0,'Données projet'!$E$15+1,1))</f>
        <v>232.99870507181964</v>
      </c>
      <c r="EP45" s="59">
        <f t="shared" si="46"/>
        <v>140.07662669226278</v>
      </c>
      <c r="EQ45" s="15">
        <f>IF(ISNA(VLOOKUP(A45,'Données projet'!$A$191:$I$211,3,0)),0,VLOOKUP(A45,'Données projet'!$A$191:$I$211,3,0))</f>
        <v>1</v>
      </c>
      <c r="ER45" s="15">
        <f>IF(ISNA(VLOOKUP(A45,'Données projet'!$A$191:$I$211,4,0)),0,VLOOKUP(A45,'Données projet'!$A$191:$I$211,4,0))</f>
        <v>30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9.4</v>
      </c>
      <c r="FE45" s="12">
        <f>IF('Données projet'!$A$218&gt;35,FE44+FD45-FM44,IF(A45&lt;'Données projet'!$A$218,$FB$205^A45,IF(A45='Données projet'!$A$218,'Données projet'!$B$218,FE44+FD45-FM44)))</f>
        <v>154.79999999999998</v>
      </c>
      <c r="FF45" s="17">
        <f>FE45*VLOOKUP('Données projet'!$B$16,Paramètres!$A$1:$I$89,3,0)*VLOOKUP('Données projet'!$B$16,Paramètres!$A$1:$I$89,5,0)</f>
        <v>120.74399999999999</v>
      </c>
      <c r="FG45" s="13">
        <f t="shared" si="47"/>
        <v>31.848462605207807</v>
      </c>
      <c r="FH45" s="20">
        <f t="shared" si="22"/>
        <v>265.76520570407024</v>
      </c>
      <c r="FI45" s="59">
        <f t="shared" si="23"/>
        <v>559.0985390374035</v>
      </c>
      <c r="FJ45" s="59">
        <f ca="1">AVERAGE(OFFSET($FI$3,0,0,'Données projet'!$E$16+1,1))-AVERAGE(OFFSET($H$3,0,0,'Données projet'!$E$16+1,1))</f>
        <v>193.47609744163839</v>
      </c>
      <c r="FK45" s="59">
        <f t="shared" si="48"/>
        <v>170.3221892406973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</v>
      </c>
      <c r="FR45" s="21">
        <f>EXP(-LN(2)/25)*FR44+(1-EXP(-LN(2)/25))/(LN(2)/25)*Calculateur!FM45*Calculateur!FO45*VLOOKUP('Données projet'!$B$16,Paramètres!$A$1:$I$89,3,0)*0.475*44/12</f>
        <v>11.765858819840757</v>
      </c>
      <c r="FS45" s="21">
        <f>EXP(-LN(2)/2)*FS44+(1-EXP(-LN(2)/2))/(LN(2)/2)*FM45*FP45*VLOOKUP('Données projet'!$B$16,Paramètres!$A$1:$I$89,3,0)*0.475*44/12</f>
        <v>4.8560502609361098</v>
      </c>
      <c r="FT45" s="22">
        <f t="shared" si="24"/>
        <v>16.621909080776867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>
        <f>VLOOKUP(A45,'Données projet'!$A$243:$I$263,2,0)</f>
        <v>255</v>
      </c>
      <c r="FX45" s="12">
        <f>VLOOKUP(A45,'Données projet'!$A$243:$I$263,9,0)</f>
        <v>11.5</v>
      </c>
      <c r="FY45" s="12">
        <f t="array" ref="FY45">INDEX(FX:FX,MIN(IF(ISNUMBER(FX45:FX241),ROW(FX45:FX241),"")))</f>
        <v>11.5</v>
      </c>
      <c r="FZ45" s="12">
        <f>IF('Données projet'!$A$244&gt;35,FZ44+FY45-GH44,IF(A45&lt;'Données projet'!$A$244,$FW$205^A45,IF(A45='Données projet'!$A$244,'Données projet'!$B$244,FZ44+FY45-GH44)))</f>
        <v>255</v>
      </c>
      <c r="GA45" s="17">
        <f>FZ45*VLOOKUP('Données projet'!$B$17,Paramètres!$A$1:$I$89,3,0)*VLOOKUP('Données projet'!$B$17,Paramètres!$A$1:$I$89,5,0)</f>
        <v>139.22999999999999</v>
      </c>
      <c r="GB45" s="13">
        <f t="shared" si="49"/>
        <v>36.120552727378737</v>
      </c>
      <c r="GC45" s="20">
        <f t="shared" si="25"/>
        <v>305.40221266685126</v>
      </c>
      <c r="GD45" s="59">
        <f t="shared" si="26"/>
        <v>598.73554600018451</v>
      </c>
      <c r="GE45" s="59">
        <f ca="1">AVERAGE(OFFSET($GD$3,0,0,'Données projet'!$E$17+1,1))-AVERAGE(OFFSET($H$3,0,0,'Données projet'!$E$17+1,1))</f>
        <v>153.43773674911449</v>
      </c>
      <c r="GF45" s="59">
        <f t="shared" si="50"/>
        <v>235.49395036616602</v>
      </c>
      <c r="GG45" s="15">
        <f>IF(ISNA(VLOOKUP(A45,'Données projet'!$A$243:$I$263,3,0)),0,VLOOKUP(A45,'Données projet'!$A$243:$I$263,3,0))</f>
        <v>6</v>
      </c>
      <c r="GH45" s="15">
        <f>IF(ISNA(VLOOKUP(A45,'Données projet'!$A$243:$I$263,4,0)),0,VLOOKUP(A45,'Données projet'!$A$243:$I$263,4,0))</f>
        <v>67</v>
      </c>
      <c r="GI45" s="16">
        <f>IF(ISNA(VLOOKUP(A45,'Données projet'!$A$243:$I$263,5,0)),0%,VLOOKUP(A45,'Données projet'!$A$243:$I$263,5,0)*VLOOKUP('Données projet'!$B$17,Paramètres!$A$1:$I$89,7,0))</f>
        <v>0.24</v>
      </c>
      <c r="GJ45" s="16">
        <f>IF(ISNA(VLOOKUP(A45,'Données projet'!$A$243:$I$263,6,0)),0%,VLOOKUP(A45,'Données projet'!$A$243:$I$263,6,0)*VLOOKUP('Données projet'!$B$17,Paramètres!$A$1:$I$89,7,0))</f>
        <v>0.36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20.640516591650666</v>
      </c>
      <c r="GM45" s="21">
        <f>EXP(-LN(2)/25)*GM44+(1-EXP(-LN(2)/25))/(LN(2)/25)*Calculateur!GH45*Calculateur!GJ45*VLOOKUP('Données projet'!$B$17,Paramètres!$A$1:$I$89,3,0)*0.475*44/12</f>
        <v>66.471851495359971</v>
      </c>
      <c r="GN45" s="21">
        <f>EXP(-LN(2)/2)*GN44+(1-EXP(-LN(2)/2))/(LN(2)/2)*GH45*GK45*VLOOKUP('Données projet'!$B$17,Paramètres!$A$1:$I$89,3,0)*0.475*44/12</f>
        <v>0</v>
      </c>
      <c r="GO45" s="21">
        <f t="shared" si="27"/>
        <v>87.112368087010637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9.4</v>
      </c>
      <c r="GU45" s="12">
        <f>IF('Données projet'!$A$270&gt;35,GU44+GT45-HC44,IF(A45&lt;'Données projet'!$A$270,$GR$205^A45,IF(A45='Données projet'!$A$270,'Données projet'!$B$270,GU44+GT45-HC44)))</f>
        <v>154.79999999999998</v>
      </c>
      <c r="GV45" s="17">
        <f>GU45*VLOOKUP('Données projet'!$B$18,Paramètres!$A$1:$I$89,3,0)*VLOOKUP('Données projet'!$B$18,Paramètres!$A$1:$I$89,5,0)</f>
        <v>123.15888</v>
      </c>
      <c r="GW45" s="13">
        <f t="shared" si="51"/>
        <v>32.410638331814873</v>
      </c>
      <c r="GX45" s="20">
        <f t="shared" si="28"/>
        <v>270.95024442791089</v>
      </c>
      <c r="GY45" s="59">
        <f t="shared" si="29"/>
        <v>564.28357776124426</v>
      </c>
      <c r="GZ45" s="59">
        <f ca="1">AVERAGE(OFFSET($GY$3,0,0,'Données projet'!$E$18+1,1))-AVERAGE(OFFSET($H$3,0,0,'Données projet'!$E$18+1,1))</f>
        <v>198.11534486400666</v>
      </c>
      <c r="HA45" s="59">
        <f t="shared" si="52"/>
        <v>174.29856796517652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>
        <f>EXP(-LN(2)/35)*HG44+(1-EXP(-LN(2)/35))/(LN(2)/35)*HC45*HD45*VLOOKUP('Données projet'!$B$18,Paramètres!$A$1:$I$89,3,0)*0.475*44/12</f>
        <v>0</v>
      </c>
      <c r="HH45" s="21">
        <f>EXP(-LN(2)/25)*HH44+(1-EXP(-LN(2)/25))/(LN(2)/25)*Calculateur!HC45*Calculateur!HE45*VLOOKUP('Données projet'!$B$18,Paramètres!$A$1:$I$89,3,0)*0.475*44/12</f>
        <v>14.792147158153282</v>
      </c>
      <c r="HI45" s="21">
        <f>EXP(-LN(2)/2)*HI44+(1-EXP(-LN(2)/2))/(LN(2)/2)*HC45*HF45*VLOOKUP('Données projet'!$B$18,Paramètres!$A$1:$I$89,3,0)*0.475*44/12</f>
        <v>4.9531712661548317</v>
      </c>
      <c r="HJ45" s="22">
        <f t="shared" si="30"/>
        <v>19.745318424308113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9.5</v>
      </c>
      <c r="N46" s="13">
        <f>IF('Données projet'!$A$36&gt;35,N45+M46-V45,IF(A46&lt;'Données projet'!$A$36,$K$205^A46,IF(A46='Données projet'!$A$36,'Données projet'!$B$36,N45+M46-V45)))</f>
        <v>254.50000000000011</v>
      </c>
      <c r="O46" s="13">
        <f>N46*VLOOKUP('Données projet'!$B$9,Paramètres!$A$1:$I$89,3,0)*VLOOKUP('Données projet'!$B$9,Paramètres!$A$1:$I$89,5,0)</f>
        <v>152.19100000000009</v>
      </c>
      <c r="P46" s="13">
        <f t="shared" si="33"/>
        <v>39.076077236632756</v>
      </c>
      <c r="Q46" s="20">
        <f t="shared" si="53"/>
        <v>333.12349285380219</v>
      </c>
      <c r="R46" s="59">
        <f t="shared" si="0"/>
        <v>626.45682618713545</v>
      </c>
      <c r="S46" s="59">
        <f ca="1">AVERAGE(OFFSET($R$3,0,0,'Données projet'!$E$9+1,1))-AVERAGE(OFFSET($H$3,0,0,'Données projet'!$E$9+1,1))</f>
        <v>295.19075440119076</v>
      </c>
      <c r="T46" s="59">
        <f t="shared" si="34"/>
        <v>173.0182327988216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1.7439667013437927</v>
      </c>
      <c r="AA46" s="21">
        <f>EXP(-LN(2)/25)*AA45+(1-EXP(-LN(2)/25))/(LN(2)/25)*Calculateur!V46*Calculateur!X46*VLOOKUP('Données projet'!$B$9,Paramètres!$A$1:$I$89,3,0)*0.475*44/12</f>
        <v>8.1748949634837054</v>
      </c>
      <c r="AB46" s="21">
        <f>EXP(-LN(2)/2)*AB45+(1-EXP(-LN(2)/2))/(LN(2)/2)*V46*Y46*VLOOKUP('Données projet'!$B$9,Paramètres!$A$1:$I$89,3,0)*0.475*44/12</f>
        <v>0</v>
      </c>
      <c r="AC46" s="22">
        <f t="shared" si="3"/>
        <v>9.9188616648274976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16.600000000000001</v>
      </c>
      <c r="AI46" s="13">
        <f>IF('Données projet'!$A$62&gt;35,AI45+AH46-AQ45,IF(A46&lt;'Données projet'!$A$62,$AF$205^A46,IF(A46='Données projet'!$A$62,'Données projet'!$B$62,AI45+AH46-AQ45)))</f>
        <v>272.80000000000013</v>
      </c>
      <c r="AJ46" s="13">
        <f>AI46*VLOOKUP('Données projet'!$B$10,Paramètres!$A$1:$I$89,3,0)*VLOOKUP('Données projet'!$B$10,Paramètres!$A$1:$I$89,5,0)</f>
        <v>163.13440000000008</v>
      </c>
      <c r="AK46" s="13">
        <f t="shared" si="35"/>
        <v>41.548687845426002</v>
      </c>
      <c r="AL46" s="20">
        <f t="shared" si="4"/>
        <v>356.48971133078379</v>
      </c>
      <c r="AM46" s="59">
        <f t="shared" si="5"/>
        <v>649.82304466411711</v>
      </c>
      <c r="AN46" s="59">
        <f ca="1">AVERAGE(OFFSET($AM$3,0,0,'Données projet'!$E$10+1,1))-AVERAGE(OFFSET($H$3,0,0,'Données projet'!$E$10+1,1))</f>
        <v>294.45857786714919</v>
      </c>
      <c r="AO46" s="59">
        <f t="shared" si="36"/>
        <v>221.9773436301067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6.1949319570185857</v>
      </c>
      <c r="AV46" s="21">
        <f>EXP(-LN(2)/25)*AV45+(1-EXP(-LN(2)/25))/(LN(2)/25)*Calculateur!AQ46*Calculateur!AS46*VLOOKUP('Données projet'!$B$10,Paramètres!$A$1:$I$89,3,0)*0.475*44/12</f>
        <v>27.662445375498599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33.857377332517189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123.968</v>
      </c>
      <c r="BF46" s="13">
        <f t="shared" si="37"/>
        <v>32.598710622532096</v>
      </c>
      <c r="BG46" s="20">
        <f t="shared" si="7"/>
        <v>272.68702100091008</v>
      </c>
      <c r="BH46" s="59">
        <f t="shared" si="8"/>
        <v>566.02035433424339</v>
      </c>
      <c r="BI46" s="59">
        <f ca="1">AVERAGE(OFFSET($BH$3,0,0,'Données projet'!$E$11+1,1))-AVERAGE(OFFSET($H$3,0,0,'Données projet'!$E$11+1,1))</f>
        <v>179.44051550872138</v>
      </c>
      <c r="BJ46" s="59">
        <f t="shared" si="38"/>
        <v>272.9500808380069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23.126592743726185</v>
      </c>
      <c r="BQ46" s="21">
        <f>EXP(-LN(2)/25)*BQ45+(1-EXP(-LN(2)/25))/(LN(2)/25)*Calculateur!BL46*Calculateur!BN46*VLOOKUP('Données projet'!$B$11,Paramètres!$A$1:$I$89,3,0)*0.475*44/12</f>
        <v>73.890485966418979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97.017078710145171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11.5</v>
      </c>
      <c r="BY46" s="12">
        <f>IF('Données projet'!$A$114&gt;35,BY45+BX46-CG45,IF(A46&lt;'Données projet'!$A$114,$BV$205^A46,IF(A46='Données projet'!$A$114,'Données projet'!$B$114,BY45+BX46-CG45)))</f>
        <v>254.49999999999989</v>
      </c>
      <c r="BZ46" s="13">
        <f>BY46*VLOOKUP('Données projet'!$B$12,Paramètres!$A$1:$I$89,3,0)*VLOOKUP('Données projet'!$B$12,Paramètres!$A$1:$I$89,5,0)</f>
        <v>119.10599999999995</v>
      </c>
      <c r="CA46" s="13">
        <f t="shared" si="39"/>
        <v>31.466397815424038</v>
      </c>
      <c r="CB46" s="20">
        <f t="shared" si="10"/>
        <v>262.24692619519675</v>
      </c>
      <c r="CC46" s="59">
        <f t="shared" si="11"/>
        <v>555.58025952853006</v>
      </c>
      <c r="CD46" s="59">
        <f ca="1">AVERAGE(OFFSET($CC$3,0,0,'Données projet'!$E$12+1,1))-AVERAGE(OFFSET($H$3,0,0,'Données projet'!$E$12+1,1))</f>
        <v>259.87681411271632</v>
      </c>
      <c r="CE46" s="59">
        <f t="shared" si="40"/>
        <v>191.8684235641158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4.7007694793306616</v>
      </c>
      <c r="CL46" s="21">
        <f>EXP(-LN(2)/25)*CL45+(1-EXP(-LN(2)/25))/(LN(2)/25)*Calculateur!CG46*Calculateur!CI46*VLOOKUP('Données projet'!$B$12,Paramètres!$A$1:$I$89,3,0)*0.475*44/12</f>
        <v>28.915227173590178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33.615996652920842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9.4</v>
      </c>
      <c r="CT46" s="12">
        <f>IF('Données projet'!$A$140&gt;35,CT45+CS46-DB45,IF(A46&lt;'Données projet'!$A$140,$CQ$205^A46,IF(A46='Données projet'!$A$140,'Données projet'!$B$140,CT45+CS46-DB45)))</f>
        <v>164.2</v>
      </c>
      <c r="CU46" s="17">
        <f>CT46*VLOOKUP('Données projet'!$B$13,Paramètres!$A$1:$I$89,3,0)*VLOOKUP('Données projet'!$B$13,Paramètres!$A$1:$I$89,5,0)</f>
        <v>130.63751999999999</v>
      </c>
      <c r="CV46" s="13">
        <f t="shared" si="41"/>
        <v>34.143629518058361</v>
      </c>
      <c r="CW46" s="20">
        <f t="shared" si="13"/>
        <v>286.99383541061826</v>
      </c>
      <c r="CX46" s="59">
        <f t="shared" si="14"/>
        <v>580.32716874395157</v>
      </c>
      <c r="CY46" s="59">
        <f ca="1">AVERAGE(OFFSET($CX$3,0,0,'Données projet'!$E$13+1,1))-AVERAGE(OFFSET($H$3,0,0,'Données projet'!$E$13+1,1))</f>
        <v>198.11534486400666</v>
      </c>
      <c r="CZ46" s="59">
        <f t="shared" si="42"/>
        <v>174.29856796517652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14.38765511622837</v>
      </c>
      <c r="DH46" s="21">
        <f>EXP(-LN(2)/2)*DH45+(1-EXP(-LN(2)/2))/(LN(2)/2)*DB46*DE46*VLOOKUP('Données projet'!$B$13,Paramètres!$A$1:$I$89,3,0)*0.475*44/12</f>
        <v>3.5024209906764394</v>
      </c>
      <c r="DI46" s="22">
        <f t="shared" si="15"/>
        <v>17.890076106904807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6.166666666666667</v>
      </c>
      <c r="DO46" s="12">
        <f>IF('Données projet'!$A$166&gt;35,DO45+DN46-DW45,IF(A46&lt;'Données projet'!$A$166,$DL$205^A46,IF(A46='Données projet'!$A$166,'Données projet'!$B$166,DO45+DN46-DW45)))</f>
        <v>89.166666666666657</v>
      </c>
      <c r="DP46" s="17">
        <f>DO46*VLOOKUP('Données projet'!$B$14,Paramètres!$A$1:$I$89,3,0)*VLOOKUP('Données projet'!$B$14,Paramètres!$A$1:$I$89,5,0)</f>
        <v>90.414999999999992</v>
      </c>
      <c r="DQ46" s="13">
        <f t="shared" si="43"/>
        <v>24.665286186424698</v>
      </c>
      <c r="DR46" s="20">
        <f t="shared" si="16"/>
        <v>200.43149844135633</v>
      </c>
      <c r="DS46" s="59">
        <f t="shared" si="17"/>
        <v>493.76483177468964</v>
      </c>
      <c r="DT46" s="59">
        <f ca="1">AVERAGE(OFFSET($DS$3,0,0,'Données projet'!$E$14+1,1))-AVERAGE(OFFSET($H$3,0,0,'Données projet'!$E$14+1,1))</f>
        <v>247.92503505485405</v>
      </c>
      <c r="DU46" s="59">
        <f t="shared" si="44"/>
        <v>148.26437652597514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6.166666666666667</v>
      </c>
      <c r="EJ46" s="12">
        <f>IF('Données projet'!$A$192&gt;35,EJ45+EI46-ER45,IF(A46&lt;'Données projet'!$A$192,$EG$205^A46,IF(A46='Données projet'!$A$192,'Données projet'!$B$192,EJ45+EI46-ER45)))</f>
        <v>89.166666666666657</v>
      </c>
      <c r="EK46" s="17">
        <f>EJ46*VLOOKUP('Données projet'!$B$15,Paramètres!$A$1:$I$89,3,0)*VLOOKUP('Données projet'!$B$15,Paramètres!$A$1:$I$89,5,0)</f>
        <v>86.24199999999999</v>
      </c>
      <c r="EL46" s="13">
        <f t="shared" si="45"/>
        <v>23.656648324051424</v>
      </c>
      <c r="EM46" s="20">
        <f t="shared" si="19"/>
        <v>191.40681249772285</v>
      </c>
      <c r="EN46" s="59">
        <f t="shared" si="20"/>
        <v>484.74014583105617</v>
      </c>
      <c r="EO46" s="59">
        <f ca="1">AVERAGE(OFFSET($EN$3,0,0,'Données projet'!$E$15+1,1))-AVERAGE(OFFSET($H$3,0,0,'Données projet'!$E$15+1,1))</f>
        <v>232.99870507181964</v>
      </c>
      <c r="EP46" s="59">
        <f t="shared" si="46"/>
        <v>140.07662669226278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9.4</v>
      </c>
      <c r="FE46" s="12">
        <f>IF('Données projet'!$A$218&gt;35,FE45+FD46-FM45,IF(A46&lt;'Données projet'!$A$218,$FB$205^A46,IF(A46='Données projet'!$A$218,'Données projet'!$B$218,FE45+FD46-FM45)))</f>
        <v>164.2</v>
      </c>
      <c r="FF46" s="17">
        <f>FE46*VLOOKUP('Données projet'!$B$16,Paramètres!$A$1:$I$89,3,0)*VLOOKUP('Données projet'!$B$16,Paramètres!$A$1:$I$89,5,0)</f>
        <v>128.07599999999999</v>
      </c>
      <c r="FG46" s="13">
        <f t="shared" si="47"/>
        <v>33.551394353270659</v>
      </c>
      <c r="FH46" s="20">
        <f t="shared" si="22"/>
        <v>281.50104516527972</v>
      </c>
      <c r="FI46" s="59">
        <f t="shared" si="23"/>
        <v>574.83437849861298</v>
      </c>
      <c r="FJ46" s="59">
        <f ca="1">AVERAGE(OFFSET($FI$3,0,0,'Données projet'!$E$16+1,1))-AVERAGE(OFFSET($H$3,0,0,'Données projet'!$E$16+1,1))</f>
        <v>193.47609744163839</v>
      </c>
      <c r="FK46" s="59">
        <f t="shared" si="48"/>
        <v>170.3221892406973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</v>
      </c>
      <c r="FR46" s="21">
        <f>EXP(-LN(2)/25)*FR45+(1-EXP(-LN(2)/25))/(LN(2)/25)*Calculateur!FM46*Calculateur!FO46*VLOOKUP('Données projet'!$B$16,Paramètres!$A$1:$I$89,3,0)*0.475*44/12</f>
        <v>11.444120791672587</v>
      </c>
      <c r="FS46" s="21">
        <f>EXP(-LN(2)/2)*FS45+(1-EXP(-LN(2)/2))/(LN(2)/2)*FM46*FP46*VLOOKUP('Données projet'!$B$16,Paramètres!$A$1:$I$89,3,0)*0.475*44/12</f>
        <v>3.4337460692906272</v>
      </c>
      <c r="FT46" s="22">
        <f t="shared" si="24"/>
        <v>14.877866860963215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10.666666666666666</v>
      </c>
      <c r="FZ46" s="12">
        <f>IF('Données projet'!$A$244&gt;35,FZ45+FY46-GH45,IF(A46&lt;'Données projet'!$A$244,$FW$205^A46,IF(A46='Données projet'!$A$244,'Données projet'!$B$244,FZ45+FY46-GH45)))</f>
        <v>198.66666666666669</v>
      </c>
      <c r="GA46" s="17">
        <f>FZ46*VLOOKUP('Données projet'!$B$17,Paramètres!$A$1:$I$89,3,0)*VLOOKUP('Données projet'!$B$17,Paramètres!$A$1:$I$89,5,0)</f>
        <v>108.47200000000002</v>
      </c>
      <c r="GB46" s="13">
        <f t="shared" si="49"/>
        <v>28.970683289556643</v>
      </c>
      <c r="GC46" s="20">
        <f t="shared" si="25"/>
        <v>239.3793400626445</v>
      </c>
      <c r="GD46" s="59">
        <f t="shared" si="26"/>
        <v>532.71267339597784</v>
      </c>
      <c r="GE46" s="59">
        <f ca="1">AVERAGE(OFFSET($GD$3,0,0,'Données projet'!$E$17+1,1))-AVERAGE(OFFSET($H$3,0,0,'Données projet'!$E$17+1,1))</f>
        <v>153.43773674911449</v>
      </c>
      <c r="GF46" s="59">
        <f t="shared" si="50"/>
        <v>235.49395036616602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20.235768650760409</v>
      </c>
      <c r="GM46" s="21">
        <f>EXP(-LN(2)/25)*GM45+(1-EXP(-LN(2)/25))/(LN(2)/25)*Calculateur!GH46*Calculateur!GJ46*VLOOKUP('Données projet'!$B$17,Paramètres!$A$1:$I$89,3,0)*0.475*44/12</f>
        <v>64.654175220616608</v>
      </c>
      <c r="GN46" s="21">
        <f>EXP(-LN(2)/2)*GN45+(1-EXP(-LN(2)/2))/(LN(2)/2)*GH46*GK46*VLOOKUP('Données projet'!$B$17,Paramètres!$A$1:$I$89,3,0)*0.475*44/12</f>
        <v>0</v>
      </c>
      <c r="GO46" s="21">
        <f t="shared" si="27"/>
        <v>84.889943871377014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9.4</v>
      </c>
      <c r="GU46" s="12">
        <f>IF('Données projet'!$A$270&gt;35,GU45+GT46-HC45,IF(A46&lt;'Données projet'!$A$270,$GR$205^A46,IF(A46='Données projet'!$A$270,'Données projet'!$B$270,GU45+GT46-HC45)))</f>
        <v>164.2</v>
      </c>
      <c r="GV46" s="17">
        <f>GU46*VLOOKUP('Données projet'!$B$18,Paramètres!$A$1:$I$89,3,0)*VLOOKUP('Données projet'!$B$18,Paramètres!$A$1:$I$89,5,0)</f>
        <v>130.63751999999999</v>
      </c>
      <c r="GW46" s="13">
        <f t="shared" si="51"/>
        <v>34.143629518058361</v>
      </c>
      <c r="GX46" s="20">
        <f t="shared" si="28"/>
        <v>286.99383541061826</v>
      </c>
      <c r="GY46" s="59">
        <f t="shared" si="29"/>
        <v>580.32716874395157</v>
      </c>
      <c r="GZ46" s="59">
        <f ca="1">AVERAGE(OFFSET($GY$3,0,0,'Données projet'!$E$18+1,1))-AVERAGE(OFFSET($H$3,0,0,'Données projet'!$E$18+1,1))</f>
        <v>198.11534486400666</v>
      </c>
      <c r="HA46" s="59">
        <f t="shared" si="52"/>
        <v>174.29856796517652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>
        <f>EXP(-LN(2)/35)*HG45+(1-EXP(-LN(2)/35))/(LN(2)/35)*HC46*HD46*VLOOKUP('Données projet'!$B$18,Paramètres!$A$1:$I$89,3,0)*0.475*44/12</f>
        <v>0</v>
      </c>
      <c r="HH46" s="21">
        <f>EXP(-LN(2)/25)*HH45+(1-EXP(-LN(2)/25))/(LN(2)/25)*Calculateur!HC46*Calculateur!HE46*VLOOKUP('Données projet'!$B$18,Paramètres!$A$1:$I$89,3,0)*0.475*44/12</f>
        <v>14.38765511622837</v>
      </c>
      <c r="HI46" s="21">
        <f>EXP(-LN(2)/2)*HI45+(1-EXP(-LN(2)/2))/(LN(2)/2)*HC46*HF46*VLOOKUP('Données projet'!$B$18,Paramètres!$A$1:$I$89,3,0)*0.475*44/12</f>
        <v>3.5024209906764394</v>
      </c>
      <c r="HJ46" s="22">
        <f t="shared" si="30"/>
        <v>17.890076106904807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9.5</v>
      </c>
      <c r="N47" s="13">
        <f>IF('Données projet'!$A$36&gt;35,N46+M47-V46,IF(A47&lt;'Données projet'!$A$36,$K$205^A47,IF(A47='Données projet'!$A$36,'Données projet'!$B$36,N46+M47-V46)))</f>
        <v>264.00000000000011</v>
      </c>
      <c r="O47" s="13">
        <f>N47*VLOOKUP('Données projet'!$B$9,Paramètres!$A$1:$I$89,3,0)*VLOOKUP('Données projet'!$B$9,Paramètres!$A$1:$I$89,5,0)</f>
        <v>157.87200000000007</v>
      </c>
      <c r="P47" s="13">
        <f t="shared" si="33"/>
        <v>40.362165684361159</v>
      </c>
      <c r="Q47" s="20">
        <f t="shared" si="53"/>
        <v>345.25783856692919</v>
      </c>
      <c r="R47" s="59">
        <f t="shared" si="0"/>
        <v>638.59117190026245</v>
      </c>
      <c r="S47" s="59">
        <f ca="1">AVERAGE(OFFSET($R$3,0,0,'Données projet'!$E$9+1,1))-AVERAGE(OFFSET($H$3,0,0,'Données projet'!$E$9+1,1))</f>
        <v>295.19075440119076</v>
      </c>
      <c r="T47" s="59">
        <f t="shared" si="34"/>
        <v>173.0182327988216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1.7097685780450957</v>
      </c>
      <c r="AA47" s="21">
        <f>EXP(-LN(2)/25)*AA46+(1-EXP(-LN(2)/25))/(LN(2)/25)*Calculateur!V47*Calculateur!X47*VLOOKUP('Données projet'!$B$9,Paramètres!$A$1:$I$89,3,0)*0.475*44/12</f>
        <v>7.9513520308082013</v>
      </c>
      <c r="AB47" s="21">
        <f>EXP(-LN(2)/2)*AB46+(1-EXP(-LN(2)/2))/(LN(2)/2)*V47*Y47*VLOOKUP('Données projet'!$B$9,Paramètres!$A$1:$I$89,3,0)*0.475*44/12</f>
        <v>0</v>
      </c>
      <c r="AC47" s="22">
        <f t="shared" si="3"/>
        <v>9.661120608853297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16.600000000000001</v>
      </c>
      <c r="AI47" s="13">
        <f>IF('Données projet'!$A$62&gt;35,AI46+AH47-AQ46,IF(A47&lt;'Données projet'!$A$62,$AF$205^A47,IF(A47='Données projet'!$A$62,'Données projet'!$B$62,AI46+AH47-AQ46)))</f>
        <v>289.40000000000015</v>
      </c>
      <c r="AJ47" s="13">
        <f>AI47*VLOOKUP('Données projet'!$B$10,Paramètres!$A$1:$I$89,3,0)*VLOOKUP('Données projet'!$B$10,Paramètres!$A$1:$I$89,5,0)</f>
        <v>173.0612000000001</v>
      </c>
      <c r="AK47" s="13">
        <f t="shared" si="35"/>
        <v>43.774916798471111</v>
      </c>
      <c r="AL47" s="20">
        <f t="shared" si="4"/>
        <v>377.65623675733735</v>
      </c>
      <c r="AM47" s="59">
        <f t="shared" si="5"/>
        <v>670.98957009067067</v>
      </c>
      <c r="AN47" s="59">
        <f ca="1">AVERAGE(OFFSET($AM$3,0,0,'Données projet'!$E$10+1,1))-AVERAGE(OFFSET($H$3,0,0,'Données projet'!$E$10+1,1))</f>
        <v>294.45857786714919</v>
      </c>
      <c r="AO47" s="59">
        <f t="shared" si="36"/>
        <v>221.9773436301067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6.073453119876846</v>
      </c>
      <c r="AV47" s="21">
        <f>EXP(-LN(2)/25)*AV46+(1-EXP(-LN(2)/25))/(LN(2)/25)*Calculateur!AQ47*Calculateur!AS47*VLOOKUP('Données projet'!$B$10,Paramètres!$A$1:$I$89,3,0)*0.475*44/12</f>
        <v>26.90601435200081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32.979467471877655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130.62400000000002</v>
      </c>
      <c r="BF47" s="13">
        <f t="shared" si="37"/>
        <v>34.140507202645395</v>
      </c>
      <c r="BG47" s="20">
        <f t="shared" si="7"/>
        <v>286.96485004460743</v>
      </c>
      <c r="BH47" s="59">
        <f t="shared" si="8"/>
        <v>580.29818337794075</v>
      </c>
      <c r="BI47" s="59">
        <f ca="1">AVERAGE(OFFSET($BH$3,0,0,'Données projet'!$E$11+1,1))-AVERAGE(OFFSET($H$3,0,0,'Données projet'!$E$11+1,1))</f>
        <v>179.44051550872138</v>
      </c>
      <c r="BJ47" s="59">
        <f t="shared" si="38"/>
        <v>272.9500808380069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22.673094365850453</v>
      </c>
      <c r="BQ47" s="21">
        <f>EXP(-LN(2)/25)*BQ46+(1-EXP(-LN(2)/25))/(LN(2)/25)*Calculateur!BL47*Calculateur!BN47*VLOOKUP('Données projet'!$B$11,Paramètres!$A$1:$I$89,3,0)*0.475*44/12</f>
        <v>71.869946741935479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94.543041107785939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11.5</v>
      </c>
      <c r="BY47" s="12">
        <f>IF('Données projet'!$A$114&gt;35,BY46+BX47-CG46,IF(A47&lt;'Données projet'!$A$114,$BV$205^A47,IF(A47='Données projet'!$A$114,'Données projet'!$B$114,BY46+BX47-CG46)))</f>
        <v>265.99999999999989</v>
      </c>
      <c r="BZ47" s="13">
        <f>BY47*VLOOKUP('Données projet'!$B$12,Paramètres!$A$1:$I$89,3,0)*VLOOKUP('Données projet'!$B$12,Paramètres!$A$1:$I$89,5,0)</f>
        <v>124.48799999999996</v>
      </c>
      <c r="CA47" s="13">
        <f t="shared" si="39"/>
        <v>32.719504245667267</v>
      </c>
      <c r="CB47" s="20">
        <f t="shared" si="10"/>
        <v>273.80306989453703</v>
      </c>
      <c r="CC47" s="59">
        <f t="shared" si="11"/>
        <v>567.13640322787035</v>
      </c>
      <c r="CD47" s="59">
        <f ca="1">AVERAGE(OFFSET($CC$3,0,0,'Données projet'!$E$12+1,1))-AVERAGE(OFFSET($H$3,0,0,'Données projet'!$E$12+1,1))</f>
        <v>259.87681411271632</v>
      </c>
      <c r="CE47" s="59">
        <f t="shared" si="40"/>
        <v>191.8684235641158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4.6085902570272586</v>
      </c>
      <c r="CL47" s="21">
        <f>EXP(-LN(2)/25)*CL46+(1-EXP(-LN(2)/25))/(LN(2)/25)*Calculateur!CG47*Calculateur!CI47*VLOOKUP('Données projet'!$B$12,Paramètres!$A$1:$I$89,3,0)*0.475*44/12</f>
        <v>28.124538765942646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32.733129022969905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9.4</v>
      </c>
      <c r="CT47" s="12">
        <f>IF('Données projet'!$A$140&gt;35,CT46+CS47-DB46,IF(A47&lt;'Données projet'!$A$140,$CQ$205^A47,IF(A47='Données projet'!$A$140,'Données projet'!$B$140,CT46+CS47-DB46)))</f>
        <v>173.6</v>
      </c>
      <c r="CU47" s="17">
        <f>CT47*VLOOKUP('Données projet'!$B$13,Paramètres!$A$1:$I$89,3,0)*VLOOKUP('Données projet'!$B$13,Paramètres!$A$1:$I$89,5,0)</f>
        <v>138.11616000000001</v>
      </c>
      <c r="CV47" s="13">
        <f t="shared" si="41"/>
        <v>35.865104527671456</v>
      </c>
      <c r="CW47" s="20">
        <f t="shared" si="13"/>
        <v>303.01736905236118</v>
      </c>
      <c r="CX47" s="59">
        <f t="shared" si="14"/>
        <v>596.35070238569449</v>
      </c>
      <c r="CY47" s="59">
        <f ca="1">AVERAGE(OFFSET($CX$3,0,0,'Données projet'!$E$13+1,1))-AVERAGE(OFFSET($H$3,0,0,'Données projet'!$E$13+1,1))</f>
        <v>198.11534486400666</v>
      </c>
      <c r="CZ47" s="59">
        <f t="shared" si="42"/>
        <v>174.29856796517652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13.994223930461207</v>
      </c>
      <c r="DH47" s="21">
        <f>EXP(-LN(2)/2)*DH46+(1-EXP(-LN(2)/2))/(LN(2)/2)*DB47*DE47*VLOOKUP('Données projet'!$B$13,Paramètres!$A$1:$I$89,3,0)*0.475*44/12</f>
        <v>2.4765856330774163</v>
      </c>
      <c r="DI47" s="22">
        <f t="shared" si="15"/>
        <v>16.470809563538623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6.166666666666667</v>
      </c>
      <c r="DO47" s="12">
        <f>IF('Données projet'!$A$166&gt;35,DO46+DN47-DW46,IF(A47&lt;'Données projet'!$A$166,$DL$205^A47,IF(A47='Données projet'!$A$166,'Données projet'!$B$166,DO46+DN47-DW46)))</f>
        <v>95.333333333333329</v>
      </c>
      <c r="DP47" s="17">
        <f>DO47*VLOOKUP('Données projet'!$B$14,Paramètres!$A$1:$I$89,3,0)*VLOOKUP('Données projet'!$B$14,Paramètres!$A$1:$I$89,5,0)</f>
        <v>96.668000000000006</v>
      </c>
      <c r="DQ47" s="13">
        <f t="shared" si="43"/>
        <v>26.166635702630764</v>
      </c>
      <c r="DR47" s="20">
        <f t="shared" si="16"/>
        <v>213.93699051541526</v>
      </c>
      <c r="DS47" s="59">
        <f t="shared" si="17"/>
        <v>507.2703238487486</v>
      </c>
      <c r="DT47" s="59">
        <f ca="1">AVERAGE(OFFSET($DS$3,0,0,'Données projet'!$E$14+1,1))-AVERAGE(OFFSET($H$3,0,0,'Données projet'!$E$14+1,1))</f>
        <v>247.92503505485405</v>
      </c>
      <c r="DU47" s="59">
        <f t="shared" si="44"/>
        <v>148.26437652597514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6.166666666666667</v>
      </c>
      <c r="EJ47" s="12">
        <f>IF('Données projet'!$A$192&gt;35,EJ46+EI47-ER46,IF(A47&lt;'Données projet'!$A$192,$EG$205^A47,IF(A47='Données projet'!$A$192,'Données projet'!$B$192,EJ46+EI47-ER46)))</f>
        <v>95.333333333333329</v>
      </c>
      <c r="EK47" s="17">
        <f>EJ47*VLOOKUP('Données projet'!$B$15,Paramètres!$A$1:$I$89,3,0)*VLOOKUP('Données projet'!$B$15,Paramètres!$A$1:$I$89,5,0)</f>
        <v>92.206400000000002</v>
      </c>
      <c r="EL47" s="13">
        <f t="shared" si="45"/>
        <v>25.096603135357018</v>
      </c>
      <c r="EM47" s="20">
        <f t="shared" si="19"/>
        <v>204.3027304607468</v>
      </c>
      <c r="EN47" s="59">
        <f t="shared" si="20"/>
        <v>497.63606379408009</v>
      </c>
      <c r="EO47" s="59">
        <f ca="1">AVERAGE(OFFSET($EN$3,0,0,'Données projet'!$E$15+1,1))-AVERAGE(OFFSET($H$3,0,0,'Données projet'!$E$15+1,1))</f>
        <v>232.99870507181964</v>
      </c>
      <c r="EP47" s="59">
        <f t="shared" si="46"/>
        <v>140.07662669226278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9.4</v>
      </c>
      <c r="FE47" s="12">
        <f>IF('Données projet'!$A$218&gt;35,FE46+FD47-FM46,IF(A47&lt;'Données projet'!$A$218,$FB$205^A47,IF(A47='Données projet'!$A$218,'Données projet'!$B$218,FE46+FD47-FM46)))</f>
        <v>173.6</v>
      </c>
      <c r="FF47" s="17">
        <f>FE47*VLOOKUP('Données projet'!$B$16,Paramètres!$A$1:$I$89,3,0)*VLOOKUP('Données projet'!$B$16,Paramètres!$A$1:$I$89,5,0)</f>
        <v>135.40799999999999</v>
      </c>
      <c r="FG47" s="13">
        <f t="shared" si="47"/>
        <v>35.243009677478732</v>
      </c>
      <c r="FH47" s="20">
        <f t="shared" si="22"/>
        <v>297.21717518827546</v>
      </c>
      <c r="FI47" s="59">
        <f t="shared" si="23"/>
        <v>590.55050852160878</v>
      </c>
      <c r="FJ47" s="59">
        <f ca="1">AVERAGE(OFFSET($FI$3,0,0,'Données projet'!$E$16+1,1))-AVERAGE(OFFSET($H$3,0,0,'Données projet'!$E$16+1,1))</f>
        <v>193.47609744163839</v>
      </c>
      <c r="FK47" s="59">
        <f t="shared" si="48"/>
        <v>170.3221892406973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</v>
      </c>
      <c r="FR47" s="21">
        <f>EXP(-LN(2)/25)*FR46+(1-EXP(-LN(2)/25))/(LN(2)/25)*Calculateur!FM47*Calculateur!FO47*VLOOKUP('Données projet'!$B$16,Paramètres!$A$1:$I$89,3,0)*0.475*44/12</f>
        <v>11.131180706804143</v>
      </c>
      <c r="FS47" s="21">
        <f>EXP(-LN(2)/2)*FS46+(1-EXP(-LN(2)/2))/(LN(2)/2)*FM47*FP47*VLOOKUP('Données projet'!$B$16,Paramètres!$A$1:$I$89,3,0)*0.475*44/12</f>
        <v>2.4280251304680553</v>
      </c>
      <c r="FT47" s="22">
        <f t="shared" si="24"/>
        <v>13.559205837272199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10.666666666666666</v>
      </c>
      <c r="FZ47" s="12">
        <f>IF('Données projet'!$A$244&gt;35,FZ46+FY47-GH46,IF(A47&lt;'Données projet'!$A$244,$FW$205^A47,IF(A47='Données projet'!$A$244,'Données projet'!$B$244,FZ46+FY47-GH46)))</f>
        <v>209.33333333333334</v>
      </c>
      <c r="GA47" s="17">
        <f>FZ47*VLOOKUP('Données projet'!$B$17,Paramètres!$A$1:$I$89,3,0)*VLOOKUP('Données projet'!$B$17,Paramètres!$A$1:$I$89,5,0)</f>
        <v>114.29600000000001</v>
      </c>
      <c r="GB47" s="13">
        <f t="shared" si="49"/>
        <v>30.340887802753251</v>
      </c>
      <c r="GC47" s="20">
        <f t="shared" si="25"/>
        <v>251.9092462564619</v>
      </c>
      <c r="GD47" s="59">
        <f t="shared" si="26"/>
        <v>545.24257958979524</v>
      </c>
      <c r="GE47" s="59">
        <f ca="1">AVERAGE(OFFSET($GD$3,0,0,'Données projet'!$E$17+1,1))-AVERAGE(OFFSET($H$3,0,0,'Données projet'!$E$17+1,1))</f>
        <v>153.43773674911449</v>
      </c>
      <c r="GF47" s="59">
        <f t="shared" si="50"/>
        <v>235.49395036616602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19.838957570119145</v>
      </c>
      <c r="GM47" s="21">
        <f>EXP(-LN(2)/25)*GM46+(1-EXP(-LN(2)/25))/(LN(2)/25)*Calculateur!GH47*Calculateur!GJ47*VLOOKUP('Données projet'!$B$17,Paramètres!$A$1:$I$89,3,0)*0.475*44/12</f>
        <v>62.886203399193541</v>
      </c>
      <c r="GN47" s="21">
        <f>EXP(-LN(2)/2)*GN46+(1-EXP(-LN(2)/2))/(LN(2)/2)*GH47*GK47*VLOOKUP('Données projet'!$B$17,Paramètres!$A$1:$I$89,3,0)*0.475*44/12</f>
        <v>0</v>
      </c>
      <c r="GO47" s="21">
        <f t="shared" si="27"/>
        <v>82.725160969312682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9.4</v>
      </c>
      <c r="GU47" s="12">
        <f>IF('Données projet'!$A$270&gt;35,GU46+GT47-HC46,IF(A47&lt;'Données projet'!$A$270,$GR$205^A47,IF(A47='Données projet'!$A$270,'Données projet'!$B$270,GU46+GT47-HC46)))</f>
        <v>173.6</v>
      </c>
      <c r="GV47" s="17">
        <f>GU47*VLOOKUP('Données projet'!$B$18,Paramètres!$A$1:$I$89,3,0)*VLOOKUP('Données projet'!$B$18,Paramètres!$A$1:$I$89,5,0)</f>
        <v>138.11616000000001</v>
      </c>
      <c r="GW47" s="13">
        <f t="shared" si="51"/>
        <v>35.865104527671456</v>
      </c>
      <c r="GX47" s="20">
        <f t="shared" si="28"/>
        <v>303.01736905236118</v>
      </c>
      <c r="GY47" s="59">
        <f t="shared" si="29"/>
        <v>596.35070238569449</v>
      </c>
      <c r="GZ47" s="59">
        <f ca="1">AVERAGE(OFFSET($GY$3,0,0,'Données projet'!$E$18+1,1))-AVERAGE(OFFSET($H$3,0,0,'Données projet'!$E$18+1,1))</f>
        <v>198.11534486400666</v>
      </c>
      <c r="HA47" s="59">
        <f t="shared" si="52"/>
        <v>174.29856796517652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>
        <f>EXP(-LN(2)/35)*HG46+(1-EXP(-LN(2)/35))/(LN(2)/35)*HC47*HD47*VLOOKUP('Données projet'!$B$18,Paramètres!$A$1:$I$89,3,0)*0.475*44/12</f>
        <v>0</v>
      </c>
      <c r="HH47" s="21">
        <f>EXP(-LN(2)/25)*HH46+(1-EXP(-LN(2)/25))/(LN(2)/25)*Calculateur!HC47*Calculateur!HE47*VLOOKUP('Données projet'!$B$18,Paramètres!$A$1:$I$89,3,0)*0.475*44/12</f>
        <v>13.994223930461207</v>
      </c>
      <c r="HI47" s="21">
        <f>EXP(-LN(2)/2)*HI46+(1-EXP(-LN(2)/2))/(LN(2)/2)*HC47*HF47*VLOOKUP('Données projet'!$B$18,Paramètres!$A$1:$I$89,3,0)*0.475*44/12</f>
        <v>2.4765856330774163</v>
      </c>
      <c r="HJ47" s="22">
        <f t="shared" si="30"/>
        <v>16.470809563538623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9.5</v>
      </c>
      <c r="N48" s="13">
        <f>IF('Données projet'!$A$36&gt;35,N47+M48-V47,IF(A48&lt;'Données projet'!$A$36,$K$205^A48,IF(A48='Données projet'!$A$36,'Données projet'!$B$36,N47+M48-V47)))</f>
        <v>273.50000000000011</v>
      </c>
      <c r="O48" s="13">
        <f>N48*VLOOKUP('Données projet'!$B$9,Paramètres!$A$1:$I$89,3,0)*VLOOKUP('Données projet'!$B$9,Paramètres!$A$1:$I$89,5,0)</f>
        <v>163.55300000000008</v>
      </c>
      <c r="P48" s="13">
        <f t="shared" si="33"/>
        <v>41.642877215727864</v>
      </c>
      <c r="Q48" s="20">
        <f t="shared" si="53"/>
        <v>357.38281948405944</v>
      </c>
      <c r="R48" s="59">
        <f t="shared" si="0"/>
        <v>650.71615281739275</v>
      </c>
      <c r="S48" s="59">
        <f ca="1">AVERAGE(OFFSET($R$3,0,0,'Données projet'!$E$9+1,1))-AVERAGE(OFFSET($H$3,0,0,'Données projet'!$E$9+1,1))</f>
        <v>295.19075440119076</v>
      </c>
      <c r="T48" s="59">
        <f t="shared" si="34"/>
        <v>173.0182327988216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1.6762410590854906</v>
      </c>
      <c r="AA48" s="21">
        <f>EXP(-LN(2)/25)*AA47+(1-EXP(-LN(2)/25))/(LN(2)/25)*Calculateur!V48*Calculateur!X48*VLOOKUP('Données projet'!$B$9,Paramètres!$A$1:$I$89,3,0)*0.475*44/12</f>
        <v>7.7339218913823204</v>
      </c>
      <c r="AB48" s="21">
        <f>EXP(-LN(2)/2)*AB47+(1-EXP(-LN(2)/2))/(LN(2)/2)*V48*Y48*VLOOKUP('Données projet'!$B$9,Paramètres!$A$1:$I$89,3,0)*0.475*44/12</f>
        <v>0</v>
      </c>
      <c r="AC48" s="22">
        <f t="shared" si="3"/>
        <v>9.4101629504678108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306</v>
      </c>
      <c r="AG48" s="12">
        <f>VLOOKUP(A48,'Données projet'!$A$61:$I$81,9,0)</f>
        <v>16.600000000000001</v>
      </c>
      <c r="AH48" s="12">
        <f t="array" ref="AH48">INDEX(AG:AG,MIN(IF(ISNUMBER(AG48:AG244),ROW(AG48:AG244),"")))</f>
        <v>16.600000000000001</v>
      </c>
      <c r="AI48" s="13">
        <f>IF('Données projet'!$A$62&gt;35,AI47+AH48-AQ47,IF(A48&lt;'Données projet'!$A$62,$AF$205^A48,IF(A48='Données projet'!$A$62,'Données projet'!$B$62,AI47+AH48-AQ47)))</f>
        <v>306.00000000000017</v>
      </c>
      <c r="AJ48" s="13">
        <f>AI48*VLOOKUP('Données projet'!$B$10,Paramètres!$A$1:$I$89,3,0)*VLOOKUP('Données projet'!$B$10,Paramètres!$A$1:$I$89,5,0)</f>
        <v>182.98800000000011</v>
      </c>
      <c r="AK48" s="13">
        <f t="shared" si="35"/>
        <v>45.986322796524874</v>
      </c>
      <c r="AL48" s="20">
        <f t="shared" si="4"/>
        <v>398.79694553728103</v>
      </c>
      <c r="AM48" s="59">
        <f t="shared" si="5"/>
        <v>692.13027887061435</v>
      </c>
      <c r="AN48" s="59">
        <f ca="1">AVERAGE(OFFSET($AM$3,0,0,'Données projet'!$E$10+1,1))-AVERAGE(OFFSET($H$3,0,0,'Données projet'!$E$10+1,1))</f>
        <v>294.45857786714919</v>
      </c>
      <c r="AO48" s="59">
        <f t="shared" si="36"/>
        <v>221.9773436301067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41</v>
      </c>
      <c r="AR48" s="16">
        <f>IF(ISNA(VLOOKUP(A48,'Données projet'!$A$61:$I$81,5,0)),0%,VLOOKUP(A48,'Données projet'!$A$61:$I$81,5,0)*VLOOKUP('Données projet'!$B$10,Paramètres!$A$1:$I$89,7,0))</f>
        <v>0.13500000000000001</v>
      </c>
      <c r="AS48" s="16">
        <f>IF(ISNA(VLOOKUP(A48,'Données projet'!$A$61:$I$81,6,0)),0%,VLOOKUP(A48,'Données projet'!$A$61:$I$81,6,0)*VLOOKUP('Données projet'!$B$10,Paramètres!$A$1:$I$89,7,0))</f>
        <v>0.315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10.345191896629679</v>
      </c>
      <c r="AV48" s="21">
        <f>EXP(-LN(2)/25)*AV47+(1-EXP(-LN(2)/25))/(LN(2)/25)*Calculateur!AQ48*Calculateur!AS48*VLOOKUP('Données projet'!$B$10,Paramètres!$A$1:$I$89,3,0)*0.475*44/12</f>
        <v>36.375211197773211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46.72040309440289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137.28</v>
      </c>
      <c r="BF48" s="13">
        <f t="shared" si="37"/>
        <v>35.673181961873446</v>
      </c>
      <c r="BG48" s="20">
        <f t="shared" si="7"/>
        <v>301.22679191692959</v>
      </c>
      <c r="BH48" s="59">
        <f t="shared" si="8"/>
        <v>594.5601252502629</v>
      </c>
      <c r="BI48" s="59">
        <f ca="1">AVERAGE(OFFSET($BH$3,0,0,'Données projet'!$E$11+1,1))-AVERAGE(OFFSET($H$3,0,0,'Données projet'!$E$11+1,1))</f>
        <v>179.44051550872138</v>
      </c>
      <c r="BJ48" s="59">
        <f t="shared" si="38"/>
        <v>272.9500808380069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22.228488814558165</v>
      </c>
      <c r="BQ48" s="21">
        <f>EXP(-LN(2)/25)*BQ47+(1-EXP(-LN(2)/25))/(LN(2)/25)*Calculateur!BL48*Calculateur!BN48*VLOOKUP('Données projet'!$B$11,Paramètres!$A$1:$I$89,3,0)*0.475*44/12</f>
        <v>69.904659268801012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92.133148083359174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11.5</v>
      </c>
      <c r="BY48" s="12">
        <f>IF('Données projet'!$A$114&gt;35,BY47+BX48-CG47,IF(A48&lt;'Données projet'!$A$114,$BV$205^A48,IF(A48='Données projet'!$A$114,'Données projet'!$B$114,BY47+BX48-CG47)))</f>
        <v>277.49999999999989</v>
      </c>
      <c r="BZ48" s="13">
        <f>BY48*VLOOKUP('Données projet'!$B$12,Paramètres!$A$1:$I$89,3,0)*VLOOKUP('Données projet'!$B$12,Paramètres!$A$1:$I$89,5,0)</f>
        <v>129.86999999999995</v>
      </c>
      <c r="CA48" s="13">
        <f t="shared" si="39"/>
        <v>33.966318400312289</v>
      </c>
      <c r="CB48" s="20">
        <f t="shared" si="10"/>
        <v>285.34825454721044</v>
      </c>
      <c r="CC48" s="59">
        <f t="shared" si="11"/>
        <v>578.6815878805437</v>
      </c>
      <c r="CD48" s="59">
        <f ca="1">AVERAGE(OFFSET($CC$3,0,0,'Données projet'!$E$12+1,1))-AVERAGE(OFFSET($H$3,0,0,'Données projet'!$E$12+1,1))</f>
        <v>259.87681411271632</v>
      </c>
      <c r="CE48" s="59">
        <f t="shared" si="40"/>
        <v>191.8684235641158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4.5182186130494513</v>
      </c>
      <c r="CL48" s="21">
        <f>EXP(-LN(2)/25)*CL47+(1-EXP(-LN(2)/25))/(LN(2)/25)*Calculateur!CG48*Calculateur!CI48*VLOOKUP('Données projet'!$B$12,Paramètres!$A$1:$I$89,3,0)*0.475*44/12</f>
        <v>27.355471774382728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31.87369038743218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>
        <f>VLOOKUP(A48,'Données projet'!$A$139:$I$159,2,0)</f>
        <v>183</v>
      </c>
      <c r="CR48" s="12">
        <f>VLOOKUP(A48,'Données projet'!$A$139:$I$159,9,0)</f>
        <v>9.4</v>
      </c>
      <c r="CS48" s="12">
        <f t="array" ref="CS48">INDEX(CR:CR,MIN(IF(ISNUMBER(CR48:CR244),ROW(CR48:CR244),"")))</f>
        <v>9.4</v>
      </c>
      <c r="CT48" s="12">
        <f>IF('Données projet'!$A$140&gt;35,CT47+CS48-DB47,IF(A48&lt;'Données projet'!$A$140,$CQ$205^A48,IF(A48='Données projet'!$A$140,'Données projet'!$B$140,CT47+CS48-DB47)))</f>
        <v>183</v>
      </c>
      <c r="CU48" s="17">
        <f>CT48*VLOOKUP('Données projet'!$B$13,Paramètres!$A$1:$I$89,3,0)*VLOOKUP('Données projet'!$B$13,Paramètres!$A$1:$I$89,5,0)</f>
        <v>145.59479999999999</v>
      </c>
      <c r="CV48" s="13">
        <f t="shared" si="41"/>
        <v>37.575758023691719</v>
      </c>
      <c r="CW48" s="20">
        <f t="shared" si="13"/>
        <v>319.02205522459639</v>
      </c>
      <c r="CX48" s="59">
        <f t="shared" si="14"/>
        <v>612.3553885579297</v>
      </c>
      <c r="CY48" s="59">
        <f ca="1">AVERAGE(OFFSET($CX$3,0,0,'Données projet'!$E$13+1,1))-AVERAGE(OFFSET($H$3,0,0,'Données projet'!$E$13+1,1))</f>
        <v>198.11534486400666</v>
      </c>
      <c r="CZ48" s="59">
        <f t="shared" si="42"/>
        <v>174.29856796517652</v>
      </c>
      <c r="DA48" s="15">
        <f>IF(ISNA(VLOOKUP(A48,'Données projet'!$A$139:$I$159,3,0)),0,VLOOKUP(A48,'Données projet'!$A$139:$I$159,3,0))</f>
        <v>6</v>
      </c>
      <c r="DB48" s="15">
        <f>IF(ISNA(VLOOKUP(A48,'Données projet'!$A$139:$I$159,4,0)),0,VLOOKUP(A48,'Données projet'!$A$139:$I$159,4,0))</f>
        <v>22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0.21200000000000002</v>
      </c>
      <c r="DE48" s="16">
        <f>IF(ISNA(VLOOKUP(A48,'Données projet'!$A$139:$I$159,7,0)),0%,VLOOKUP(A48,'Données projet'!$A$139:$I$159,7,0))</f>
        <v>0.4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17.697444885931546</v>
      </c>
      <c r="DH48" s="21">
        <f>EXP(-LN(2)/2)*DH47+(1-EXP(-LN(2)/2))/(LN(2)/2)*DB48*DE48*VLOOKUP('Données projet'!$B$13,Paramètres!$A$1:$I$89,3,0)*0.475*44/12</f>
        <v>8.3571066120266337</v>
      </c>
      <c r="DI48" s="22">
        <f t="shared" si="15"/>
        <v>26.05455149795818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6.166666666666667</v>
      </c>
      <c r="DO48" s="12">
        <f>IF('Données projet'!$A$166&gt;35,DO47+DN48-DW47,IF(A48&lt;'Données projet'!$A$166,$DL$205^A48,IF(A48='Données projet'!$A$166,'Données projet'!$B$166,DO47+DN48-DW47)))</f>
        <v>101.5</v>
      </c>
      <c r="DP48" s="17">
        <f>DO48*VLOOKUP('Données projet'!$B$14,Paramètres!$A$1:$I$89,3,0)*VLOOKUP('Données projet'!$B$14,Paramètres!$A$1:$I$89,5,0)</f>
        <v>102.92100000000002</v>
      </c>
      <c r="DQ48" s="13">
        <f t="shared" si="43"/>
        <v>27.656715158188064</v>
      </c>
      <c r="DR48" s="20">
        <f t="shared" si="16"/>
        <v>227.42285390051089</v>
      </c>
      <c r="DS48" s="59">
        <f t="shared" si="17"/>
        <v>520.75618723384423</v>
      </c>
      <c r="DT48" s="59">
        <f ca="1">AVERAGE(OFFSET($DS$3,0,0,'Données projet'!$E$14+1,1))-AVERAGE(OFFSET($H$3,0,0,'Données projet'!$E$14+1,1))</f>
        <v>247.92503505485405</v>
      </c>
      <c r="DU48" s="59">
        <f t="shared" si="44"/>
        <v>148.26437652597514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6.166666666666667</v>
      </c>
      <c r="EJ48" s="12">
        <f>IF('Données projet'!$A$192&gt;35,EJ47+EI48-ER47,IF(A48&lt;'Données projet'!$A$192,$EG$205^A48,IF(A48='Données projet'!$A$192,'Données projet'!$B$192,EJ47+EI48-ER47)))</f>
        <v>101.5</v>
      </c>
      <c r="EK48" s="17">
        <f>EJ48*VLOOKUP('Données projet'!$B$15,Paramètres!$A$1:$I$89,3,0)*VLOOKUP('Données projet'!$B$15,Paramètres!$A$1:$I$89,5,0)</f>
        <v>98.1708</v>
      </c>
      <c r="EL48" s="13">
        <f t="shared" si="45"/>
        <v>26.525748752747578</v>
      </c>
      <c r="EM48" s="20">
        <f t="shared" si="19"/>
        <v>217.17982241103536</v>
      </c>
      <c r="EN48" s="59">
        <f t="shared" si="20"/>
        <v>510.51315574436865</v>
      </c>
      <c r="EO48" s="59">
        <f ca="1">AVERAGE(OFFSET($EN$3,0,0,'Données projet'!$E$15+1,1))-AVERAGE(OFFSET($H$3,0,0,'Données projet'!$E$15+1,1))</f>
        <v>232.99870507181964</v>
      </c>
      <c r="EP48" s="59">
        <f t="shared" si="46"/>
        <v>140.07662669226278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>
        <f>VLOOKUP(A48,'Données projet'!$A$217:$I$237,2,0)</f>
        <v>183</v>
      </c>
      <c r="FC48" s="12">
        <f>VLOOKUP(A48,'Données projet'!$A$217:$I$237,9,0)</f>
        <v>9.4</v>
      </c>
      <c r="FD48" s="12">
        <f t="array" ref="FD48">INDEX(FC:FC,MIN(IF(ISNUMBER(FC48:FC244),ROW(FC48:FC244),"")))</f>
        <v>9.4</v>
      </c>
      <c r="FE48" s="12">
        <f>IF('Données projet'!$A$218&gt;35,FE47+FD48-FM47,IF(A48&lt;'Données projet'!$A$218,$FB$205^A48,IF(A48='Données projet'!$A$218,'Données projet'!$B$218,FE47+FD48-FM47)))</f>
        <v>183</v>
      </c>
      <c r="FF48" s="17">
        <f>FE48*VLOOKUP('Données projet'!$B$16,Paramètres!$A$1:$I$89,3,0)*VLOOKUP('Données projet'!$B$16,Paramètres!$A$1:$I$89,5,0)</f>
        <v>142.74</v>
      </c>
      <c r="FG48" s="13">
        <f t="shared" si="47"/>
        <v>36.923991191656064</v>
      </c>
      <c r="FH48" s="20">
        <f t="shared" si="22"/>
        <v>312.91478465880101</v>
      </c>
      <c r="FI48" s="59">
        <f t="shared" si="23"/>
        <v>606.24811799213433</v>
      </c>
      <c r="FJ48" s="59">
        <f ca="1">AVERAGE(OFFSET($FI$3,0,0,'Données projet'!$E$16+1,1))-AVERAGE(OFFSET($H$3,0,0,'Données projet'!$E$16+1,1))</f>
        <v>193.47609744163839</v>
      </c>
      <c r="FK48" s="59">
        <f t="shared" si="48"/>
        <v>170.3221892406973</v>
      </c>
      <c r="FL48" s="15">
        <f>IF(ISNA(VLOOKUP(A48,'Données projet'!$A$217:$I$237,3,0)),0,VLOOKUP(A48,'Données projet'!$A$217:$I$237,3,0))</f>
        <v>6</v>
      </c>
      <c r="FM48" s="15">
        <f>IF(ISNA(VLOOKUP(A48,'Données projet'!$A$217:$I$237,4,0)),0,VLOOKUP(A48,'Données projet'!$A$217:$I$237,4,0))</f>
        <v>22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0.17200000000000001</v>
      </c>
      <c r="FP48" s="16">
        <f>IF(ISNA(VLOOKUP(A48,'Données projet'!$A$217:$I$237,7,0)),0%,VLOOKUP(A48,'Données projet'!$A$217:$I$237,7,0))</f>
        <v>0.4</v>
      </c>
      <c r="FQ48" s="21">
        <f>EXP(-LN(2)/35)*FQ47+(1-EXP(-LN(2)/35))/(LN(2)/35)*FM48*FN48*VLOOKUP('Données projet'!$B$16,Paramètres!$A$1:$I$89,3,0)*0.475*44/12</f>
        <v>0</v>
      </c>
      <c r="FR48" s="21">
        <f>EXP(-LN(2)/25)*FR47+(1-EXP(-LN(2)/25))/(LN(2)/25)*Calculateur!FM48*Calculateur!FO48*VLOOKUP('Données projet'!$B$16,Paramètres!$A$1:$I$89,3,0)*0.475*44/12</f>
        <v>14.076768962172707</v>
      </c>
      <c r="FS48" s="21">
        <f>EXP(-LN(2)/2)*FS47+(1-EXP(-LN(2)/2))/(LN(2)/2)*FM48*FP48*VLOOKUP('Données projet'!$B$16,Paramètres!$A$1:$I$89,3,0)*0.475*44/12</f>
        <v>8.1932417764966985</v>
      </c>
      <c r="FT48" s="22">
        <f t="shared" si="24"/>
        <v>22.270010738669406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10.666666666666666</v>
      </c>
      <c r="FZ48" s="12">
        <f>IF('Données projet'!$A$244&gt;35,FZ47+FY48-GH47,IF(A48&lt;'Données projet'!$A$244,$FW$205^A48,IF(A48='Données projet'!$A$244,'Données projet'!$B$244,FZ47+FY48-GH47)))</f>
        <v>220</v>
      </c>
      <c r="GA48" s="17">
        <f>FZ48*VLOOKUP('Données projet'!$B$17,Paramètres!$A$1:$I$89,3,0)*VLOOKUP('Données projet'!$B$17,Paramètres!$A$1:$I$89,5,0)</f>
        <v>120.11999999999999</v>
      </c>
      <c r="GB48" s="13">
        <f t="shared" si="49"/>
        <v>31.702985695201871</v>
      </c>
      <c r="GC48" s="20">
        <f t="shared" si="25"/>
        <v>264.42503341914323</v>
      </c>
      <c r="GD48" s="59">
        <f t="shared" si="26"/>
        <v>557.7583667524766</v>
      </c>
      <c r="GE48" s="59">
        <f ca="1">AVERAGE(OFFSET($GD$3,0,0,'Données projet'!$E$17+1,1))-AVERAGE(OFFSET($H$3,0,0,'Données projet'!$E$17+1,1))</f>
        <v>153.43773674911449</v>
      </c>
      <c r="GF48" s="59">
        <f t="shared" si="50"/>
        <v>235.49395036616602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19.449927712738393</v>
      </c>
      <c r="GM48" s="21">
        <f>EXP(-LN(2)/25)*GM47+(1-EXP(-LN(2)/25))/(LN(2)/25)*Calculateur!GH48*Calculateur!GJ48*VLOOKUP('Données projet'!$B$17,Paramètres!$A$1:$I$89,3,0)*0.475*44/12</f>
        <v>61.166576860200884</v>
      </c>
      <c r="GN48" s="21">
        <f>EXP(-LN(2)/2)*GN47+(1-EXP(-LN(2)/2))/(LN(2)/2)*GH48*GK48*VLOOKUP('Données projet'!$B$17,Paramètres!$A$1:$I$89,3,0)*0.475*44/12</f>
        <v>0</v>
      </c>
      <c r="GO48" s="21">
        <f t="shared" si="27"/>
        <v>80.616504572939277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>
        <f>VLOOKUP(A48,'Données projet'!$A$269:$I$289,2,0)</f>
        <v>183</v>
      </c>
      <c r="GS48" s="12">
        <f>VLOOKUP(A48,'Données projet'!$A$269:$I$289,9,0)</f>
        <v>9.4</v>
      </c>
      <c r="GT48" s="12">
        <f t="array" ref="GT48">INDEX(GS:GS,MIN(IF(ISNUMBER(GS48:GS244),ROW(GS48:GS244),"")))</f>
        <v>9.4</v>
      </c>
      <c r="GU48" s="12">
        <f>IF('Données projet'!$A$270&gt;35,GU47+GT48-HC47,IF(A48&lt;'Données projet'!$A$270,$GR$205^A48,IF(A48='Données projet'!$A$270,'Données projet'!$B$270,GU47+GT48-HC47)))</f>
        <v>183</v>
      </c>
      <c r="GV48" s="17">
        <f>GU48*VLOOKUP('Données projet'!$B$18,Paramètres!$A$1:$I$89,3,0)*VLOOKUP('Données projet'!$B$18,Paramètres!$A$1:$I$89,5,0)</f>
        <v>145.59479999999999</v>
      </c>
      <c r="GW48" s="13">
        <f t="shared" si="51"/>
        <v>37.575758023691719</v>
      </c>
      <c r="GX48" s="20">
        <f t="shared" si="28"/>
        <v>319.02205522459639</v>
      </c>
      <c r="GY48" s="59">
        <f t="shared" si="29"/>
        <v>612.3553885579297</v>
      </c>
      <c r="GZ48" s="59">
        <f ca="1">AVERAGE(OFFSET($GY$3,0,0,'Données projet'!$E$18+1,1))-AVERAGE(OFFSET($H$3,0,0,'Données projet'!$E$18+1,1))</f>
        <v>198.11534486400666</v>
      </c>
      <c r="HA48" s="59">
        <f t="shared" si="52"/>
        <v>174.29856796517652</v>
      </c>
      <c r="HB48" s="15">
        <f>IF(ISNA(VLOOKUP(A48,'Données projet'!$A$269:$I$289,3,0)),0,VLOOKUP(A48,'Données projet'!$A$269:$I$289,3,0))</f>
        <v>6</v>
      </c>
      <c r="HC48" s="15">
        <f>IF(ISNA(VLOOKUP(A48,'Données projet'!$A$269:$I$289,4,0)),0,VLOOKUP(A48,'Données projet'!$A$269:$I$289,4,0))</f>
        <v>22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0.21200000000000002</v>
      </c>
      <c r="HF48" s="16">
        <f>IF(ISNA(VLOOKUP(A48,'Données projet'!$A$269:$I$289,7,0)),0%,VLOOKUP(A48,'Données projet'!$A$269:$I$289,7,0))</f>
        <v>0.4</v>
      </c>
      <c r="HG48" s="21">
        <f>EXP(-LN(2)/35)*HG47+(1-EXP(-LN(2)/35))/(LN(2)/35)*HC48*HD48*VLOOKUP('Données projet'!$B$18,Paramètres!$A$1:$I$89,3,0)*0.475*44/12</f>
        <v>0</v>
      </c>
      <c r="HH48" s="21">
        <f>EXP(-LN(2)/25)*HH47+(1-EXP(-LN(2)/25))/(LN(2)/25)*Calculateur!HC48*Calculateur!HE48*VLOOKUP('Données projet'!$B$18,Paramètres!$A$1:$I$89,3,0)*0.475*44/12</f>
        <v>17.697444885931546</v>
      </c>
      <c r="HI48" s="21">
        <f>EXP(-LN(2)/2)*HI47+(1-EXP(-LN(2)/2))/(LN(2)/2)*HC48*HF48*VLOOKUP('Données projet'!$B$18,Paramètres!$A$1:$I$89,3,0)*0.475*44/12</f>
        <v>8.3571066120266337</v>
      </c>
      <c r="HJ48" s="22">
        <f t="shared" si="30"/>
        <v>26.05455149795818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9.5</v>
      </c>
      <c r="N49" s="13">
        <f>IF('Données projet'!$A$36&gt;35,N48+M49-V48,IF(A49&lt;'Données projet'!$A$36,$K$205^A49,IF(A49='Données projet'!$A$36,'Données projet'!$B$36,N48+M49-V48)))</f>
        <v>283.00000000000011</v>
      </c>
      <c r="O49" s="13">
        <f>N49*VLOOKUP('Données projet'!$B$9,Paramètres!$A$1:$I$89,3,0)*VLOOKUP('Données projet'!$B$9,Paramètres!$A$1:$I$89,5,0)</f>
        <v>169.23400000000009</v>
      </c>
      <c r="P49" s="13">
        <f t="shared" si="33"/>
        <v>42.918420001269396</v>
      </c>
      <c r="Q49" s="20">
        <f t="shared" si="53"/>
        <v>369.49879816887761</v>
      </c>
      <c r="R49" s="59">
        <f t="shared" si="0"/>
        <v>662.83213150221093</v>
      </c>
      <c r="S49" s="59">
        <f ca="1">AVERAGE(OFFSET($R$3,0,0,'Données projet'!$E$9+1,1))-AVERAGE(OFFSET($H$3,0,0,'Données projet'!$E$9+1,1))</f>
        <v>295.19075440119076</v>
      </c>
      <c r="T49" s="59">
        <f t="shared" si="34"/>
        <v>173.0182327988216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1.643370994322916</v>
      </c>
      <c r="AA49" s="21">
        <f>EXP(-LN(2)/25)*AA48+(1-EXP(-LN(2)/25))/(LN(2)/25)*Calculateur!V49*Calculateur!X49*VLOOKUP('Données projet'!$B$9,Paramètres!$A$1:$I$89,3,0)*0.475*44/12</f>
        <v>7.5224373905531952</v>
      </c>
      <c r="AB49" s="21">
        <f>EXP(-LN(2)/2)*AB48+(1-EXP(-LN(2)/2))/(LN(2)/2)*V49*Y49*VLOOKUP('Données projet'!$B$9,Paramètres!$A$1:$I$89,3,0)*0.475*44/12</f>
        <v>0</v>
      </c>
      <c r="AC49" s="22">
        <f t="shared" si="3"/>
        <v>9.1658083848761116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17.399999999999999</v>
      </c>
      <c r="AI49" s="13">
        <f>IF('Données projet'!$A$62&gt;35,AI48+AH49-AQ48,IF(A49&lt;'Données projet'!$A$62,$AF$205^A49,IF(A49='Données projet'!$A$62,'Données projet'!$B$62,AI48+AH49-AQ48)))</f>
        <v>282.40000000000015</v>
      </c>
      <c r="AJ49" s="13">
        <f>AI49*VLOOKUP('Données projet'!$B$10,Paramètres!$A$1:$I$89,3,0)*VLOOKUP('Données projet'!$B$10,Paramètres!$A$1:$I$89,5,0)</f>
        <v>168.87520000000012</v>
      </c>
      <c r="AK49" s="13">
        <f t="shared" si="35"/>
        <v>42.838008554673955</v>
      </c>
      <c r="AL49" s="20">
        <f t="shared" si="4"/>
        <v>368.73383823272405</v>
      </c>
      <c r="AM49" s="59">
        <f t="shared" si="5"/>
        <v>662.06717156605737</v>
      </c>
      <c r="AN49" s="59">
        <f ca="1">AVERAGE(OFFSET($AM$3,0,0,'Données projet'!$E$10+1,1))-AVERAGE(OFFSET($H$3,0,0,'Données projet'!$E$10+1,1))</f>
        <v>294.45857786714919</v>
      </c>
      <c r="AO49" s="59">
        <f t="shared" si="36"/>
        <v>221.9773436301067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10.142328993480772</v>
      </c>
      <c r="AV49" s="21">
        <f>EXP(-LN(2)/25)*AV48+(1-EXP(-LN(2)/25))/(LN(2)/25)*Calculateur!AQ49*Calculateur!AS49*VLOOKUP('Données projet'!$B$10,Paramètres!$A$1:$I$89,3,0)*0.475*44/12</f>
        <v>35.380529134680884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45.522858128161658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143.93599999999998</v>
      </c>
      <c r="BF49" s="13">
        <f t="shared" si="37"/>
        <v>37.197227655019397</v>
      </c>
      <c r="BG49" s="20">
        <f t="shared" si="7"/>
        <v>315.47370483249205</v>
      </c>
      <c r="BH49" s="59">
        <f t="shared" si="8"/>
        <v>608.80703816582536</v>
      </c>
      <c r="BI49" s="59">
        <f ca="1">AVERAGE(OFFSET($BH$3,0,0,'Données projet'!$E$11+1,1))-AVERAGE(OFFSET($H$3,0,0,'Données projet'!$E$11+1,1))</f>
        <v>179.44051550872138</v>
      </c>
      <c r="BJ49" s="59">
        <f t="shared" si="38"/>
        <v>272.9500808380069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21.792601706944112</v>
      </c>
      <c r="BQ49" s="21">
        <f>EXP(-LN(2)/25)*BQ48+(1-EXP(-LN(2)/25))/(LN(2)/25)*Calculateur!BL49*Calculateur!BN49*VLOOKUP('Données projet'!$B$11,Paramètres!$A$1:$I$89,3,0)*0.475*44/12</f>
        <v>67.99311268496939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89.785714391913501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11.5</v>
      </c>
      <c r="BY49" s="12">
        <f>IF('Données projet'!$A$114&gt;35,BY48+BX49-CG48,IF(A49&lt;'Données projet'!$A$114,$BV$205^A49,IF(A49='Données projet'!$A$114,'Données projet'!$B$114,BY48+BX49-CG48)))</f>
        <v>288.99999999999989</v>
      </c>
      <c r="BZ49" s="13">
        <f>BY49*VLOOKUP('Données projet'!$B$12,Paramètres!$A$1:$I$89,3,0)*VLOOKUP('Données projet'!$B$12,Paramètres!$A$1:$I$89,5,0)</f>
        <v>135.25199999999995</v>
      </c>
      <c r="CA49" s="13">
        <f t="shared" si="39"/>
        <v>35.207130861518152</v>
      </c>
      <c r="CB49" s="20">
        <f t="shared" si="10"/>
        <v>296.88298625047736</v>
      </c>
      <c r="CC49" s="59">
        <f t="shared" si="11"/>
        <v>590.21631958381067</v>
      </c>
      <c r="CD49" s="59">
        <f ca="1">AVERAGE(OFFSET($CC$3,0,0,'Données projet'!$E$12+1,1))-AVERAGE(OFFSET($H$3,0,0,'Données projet'!$E$12+1,1))</f>
        <v>259.87681411271632</v>
      </c>
      <c r="CE49" s="59">
        <f t="shared" si="40"/>
        <v>191.8684235641158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4.4296191018887887</v>
      </c>
      <c r="CL49" s="21">
        <f>EXP(-LN(2)/25)*CL48+(1-EXP(-LN(2)/25))/(LN(2)/25)*Calculateur!CG49*Calculateur!CI49*VLOOKUP('Données projet'!$B$12,Paramètres!$A$1:$I$89,3,0)*0.475*44/12</f>
        <v>26.607434960150492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31.037054062039282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8.1999999999999993</v>
      </c>
      <c r="CT49" s="12">
        <f>IF('Données projet'!$A$140&gt;35,CT48+CS49-DB48,IF(A49&lt;'Données projet'!$A$140,$CQ$205^A49,IF(A49='Données projet'!$A$140,'Données projet'!$B$140,CT48+CS49-DB48)))</f>
        <v>169.2</v>
      </c>
      <c r="CU49" s="17">
        <f>CT49*VLOOKUP('Données projet'!$B$13,Paramètres!$A$1:$I$89,3,0)*VLOOKUP('Données projet'!$B$13,Paramètres!$A$1:$I$89,5,0)</f>
        <v>134.61552</v>
      </c>
      <c r="CV49" s="13">
        <f t="shared" si="41"/>
        <v>35.060695303875569</v>
      </c>
      <c r="CW49" s="20">
        <f t="shared" si="13"/>
        <v>295.51940832091663</v>
      </c>
      <c r="CX49" s="59">
        <f t="shared" si="14"/>
        <v>588.85274165424994</v>
      </c>
      <c r="CY49" s="59">
        <f ca="1">AVERAGE(OFFSET($CX$3,0,0,'Données projet'!$E$13+1,1))-AVERAGE(OFFSET($H$3,0,0,'Données projet'!$E$13+1,1))</f>
        <v>198.11534486400666</v>
      </c>
      <c r="CZ49" s="59">
        <f t="shared" si="42"/>
        <v>174.29856796517652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17.21350732485757</v>
      </c>
      <c r="DH49" s="21">
        <f>EXP(-LN(2)/2)*DH48+(1-EXP(-LN(2)/2))/(LN(2)/2)*DB49*DE49*VLOOKUP('Données projet'!$B$13,Paramètres!$A$1:$I$89,3,0)*0.475*44/12</f>
        <v>5.9093667564629664</v>
      </c>
      <c r="DI49" s="22">
        <f t="shared" si="15"/>
        <v>23.122874081320536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6.166666666666667</v>
      </c>
      <c r="DO49" s="12">
        <f>IF('Données projet'!$A$166&gt;35,DO48+DN49-DW48,IF(A49&lt;'Données projet'!$A$166,$DL$205^A49,IF(A49='Données projet'!$A$166,'Données projet'!$B$166,DO48+DN49-DW48)))</f>
        <v>107.66666666666667</v>
      </c>
      <c r="DP49" s="17">
        <f>DO49*VLOOKUP('Données projet'!$B$14,Paramètres!$A$1:$I$89,3,0)*VLOOKUP('Données projet'!$B$14,Paramètres!$A$1:$I$89,5,0)</f>
        <v>109.17400000000001</v>
      </c>
      <c r="DQ49" s="13">
        <f t="shared" si="43"/>
        <v>29.136287240258813</v>
      </c>
      <c r="DR49" s="20">
        <f t="shared" si="16"/>
        <v>240.89041694345076</v>
      </c>
      <c r="DS49" s="59">
        <f t="shared" si="17"/>
        <v>534.22375027678413</v>
      </c>
      <c r="DT49" s="59">
        <f ca="1">AVERAGE(OFFSET($DS$3,0,0,'Données projet'!$E$14+1,1))-AVERAGE(OFFSET($H$3,0,0,'Données projet'!$E$14+1,1))</f>
        <v>247.92503505485405</v>
      </c>
      <c r="DU49" s="59">
        <f t="shared" si="44"/>
        <v>148.26437652597514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6.166666666666667</v>
      </c>
      <c r="EJ49" s="12">
        <f>IF('Données projet'!$A$192&gt;35,EJ48+EI49-ER48,IF(A49&lt;'Données projet'!$A$192,$EG$205^A49,IF(A49='Données projet'!$A$192,'Données projet'!$B$192,EJ48+EI49-ER48)))</f>
        <v>107.66666666666667</v>
      </c>
      <c r="EK49" s="17">
        <f>EJ49*VLOOKUP('Données projet'!$B$15,Paramètres!$A$1:$I$89,3,0)*VLOOKUP('Données projet'!$B$15,Paramètres!$A$1:$I$89,5,0)</f>
        <v>104.1352</v>
      </c>
      <c r="EL49" s="13">
        <f t="shared" si="45"/>
        <v>27.94481667480952</v>
      </c>
      <c r="EM49" s="20">
        <f t="shared" si="19"/>
        <v>230.03936237529322</v>
      </c>
      <c r="EN49" s="59">
        <f t="shared" si="20"/>
        <v>523.37269570862657</v>
      </c>
      <c r="EO49" s="59">
        <f ca="1">AVERAGE(OFFSET($EN$3,0,0,'Données projet'!$E$15+1,1))-AVERAGE(OFFSET($H$3,0,0,'Données projet'!$E$15+1,1))</f>
        <v>232.99870507181964</v>
      </c>
      <c r="EP49" s="59">
        <f t="shared" si="46"/>
        <v>140.07662669226278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8.1999999999999993</v>
      </c>
      <c r="FE49" s="12">
        <f>IF('Données projet'!$A$218&gt;35,FE48+FD49-FM48,IF(A49&lt;'Données projet'!$A$218,$FB$205^A49,IF(A49='Données projet'!$A$218,'Données projet'!$B$218,FE48+FD49-FM48)))</f>
        <v>169.2</v>
      </c>
      <c r="FF49" s="17">
        <f>FE49*VLOOKUP('Données projet'!$B$16,Paramètres!$A$1:$I$89,3,0)*VLOOKUP('Données projet'!$B$16,Paramètres!$A$1:$I$89,5,0)</f>
        <v>131.976</v>
      </c>
      <c r="FG49" s="13">
        <f t="shared" si="47"/>
        <v>34.452553259401945</v>
      </c>
      <c r="FH49" s="20">
        <f t="shared" si="22"/>
        <v>289.86306359345838</v>
      </c>
      <c r="FI49" s="59">
        <f t="shared" si="23"/>
        <v>583.19639692679175</v>
      </c>
      <c r="FJ49" s="59">
        <f ca="1">AVERAGE(OFFSET($FI$3,0,0,'Données projet'!$E$16+1,1))-AVERAGE(OFFSET($H$3,0,0,'Données projet'!$E$16+1,1))</f>
        <v>193.47609744163839</v>
      </c>
      <c r="FK49" s="59">
        <f t="shared" si="48"/>
        <v>170.3221892406973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</v>
      </c>
      <c r="FR49" s="21">
        <f>EXP(-LN(2)/25)*FR48+(1-EXP(-LN(2)/25))/(LN(2)/25)*Calculateur!FM49*Calculateur!FO49*VLOOKUP('Données projet'!$B$16,Paramètres!$A$1:$I$89,3,0)*0.475*44/12</f>
        <v>13.691838974636987</v>
      </c>
      <c r="FS49" s="21">
        <f>EXP(-LN(2)/2)*FS48+(1-EXP(-LN(2)/2))/(LN(2)/2)*FM49*FP49*VLOOKUP('Données projet'!$B$16,Paramètres!$A$1:$I$89,3,0)*0.475*44/12</f>
        <v>5.7934968200617316</v>
      </c>
      <c r="FT49" s="22">
        <f t="shared" si="24"/>
        <v>19.48533579469872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10.666666666666666</v>
      </c>
      <c r="FZ49" s="12">
        <f>IF('Données projet'!$A$244&gt;35,FZ48+FY49-GH48,IF(A49&lt;'Données projet'!$A$244,$FW$205^A49,IF(A49='Données projet'!$A$244,'Données projet'!$B$244,FZ48+FY49-GH48)))</f>
        <v>230.66666666666666</v>
      </c>
      <c r="GA49" s="17">
        <f>FZ49*VLOOKUP('Données projet'!$B$17,Paramètres!$A$1:$I$89,3,0)*VLOOKUP('Données projet'!$B$17,Paramètres!$A$1:$I$89,5,0)</f>
        <v>125.944</v>
      </c>
      <c r="GB49" s="13">
        <f t="shared" si="49"/>
        <v>33.057414881257685</v>
      </c>
      <c r="GC49" s="20">
        <f t="shared" si="25"/>
        <v>276.92746425152382</v>
      </c>
      <c r="GD49" s="59">
        <f t="shared" si="26"/>
        <v>570.26079758485707</v>
      </c>
      <c r="GE49" s="59">
        <f ca="1">AVERAGE(OFFSET($GD$3,0,0,'Données projet'!$E$17+1,1))-AVERAGE(OFFSET($H$3,0,0,'Données projet'!$E$17+1,1))</f>
        <v>153.43773674911449</v>
      </c>
      <c r="GF49" s="59">
        <f t="shared" si="50"/>
        <v>235.49395036616602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19.068526493576098</v>
      </c>
      <c r="GM49" s="21">
        <f>EXP(-LN(2)/25)*GM48+(1-EXP(-LN(2)/25))/(LN(2)/25)*Calculateur!GH49*Calculateur!GJ49*VLOOKUP('Données projet'!$B$17,Paramètres!$A$1:$I$89,3,0)*0.475*44/12</f>
        <v>59.493973599348209</v>
      </c>
      <c r="GN49" s="21">
        <f>EXP(-LN(2)/2)*GN48+(1-EXP(-LN(2)/2))/(LN(2)/2)*GH49*GK49*VLOOKUP('Données projet'!$B$17,Paramètres!$A$1:$I$89,3,0)*0.475*44/12</f>
        <v>0</v>
      </c>
      <c r="GO49" s="21">
        <f t="shared" si="27"/>
        <v>78.56250009292431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8.1999999999999993</v>
      </c>
      <c r="GU49" s="12">
        <f>IF('Données projet'!$A$270&gt;35,GU48+GT49-HC48,IF(A49&lt;'Données projet'!$A$270,$GR$205^A49,IF(A49='Données projet'!$A$270,'Données projet'!$B$270,GU48+GT49-HC48)))</f>
        <v>169.2</v>
      </c>
      <c r="GV49" s="17">
        <f>GU49*VLOOKUP('Données projet'!$B$18,Paramètres!$A$1:$I$89,3,0)*VLOOKUP('Données projet'!$B$18,Paramètres!$A$1:$I$89,5,0)</f>
        <v>134.61552</v>
      </c>
      <c r="GW49" s="13">
        <f t="shared" si="51"/>
        <v>35.060695303875569</v>
      </c>
      <c r="GX49" s="20">
        <f t="shared" si="28"/>
        <v>295.51940832091663</v>
      </c>
      <c r="GY49" s="59">
        <f t="shared" si="29"/>
        <v>588.85274165424994</v>
      </c>
      <c r="GZ49" s="59">
        <f ca="1">AVERAGE(OFFSET($GY$3,0,0,'Données projet'!$E$18+1,1))-AVERAGE(OFFSET($H$3,0,0,'Données projet'!$E$18+1,1))</f>
        <v>198.11534486400666</v>
      </c>
      <c r="HA49" s="59">
        <f t="shared" si="52"/>
        <v>174.29856796517652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>
        <f>EXP(-LN(2)/35)*HG48+(1-EXP(-LN(2)/35))/(LN(2)/35)*HC49*HD49*VLOOKUP('Données projet'!$B$18,Paramètres!$A$1:$I$89,3,0)*0.475*44/12</f>
        <v>0</v>
      </c>
      <c r="HH49" s="21">
        <f>EXP(-LN(2)/25)*HH48+(1-EXP(-LN(2)/25))/(LN(2)/25)*Calculateur!HC49*Calculateur!HE49*VLOOKUP('Données projet'!$B$18,Paramètres!$A$1:$I$89,3,0)*0.475*44/12</f>
        <v>17.21350732485757</v>
      </c>
      <c r="HI49" s="21">
        <f>EXP(-LN(2)/2)*HI48+(1-EXP(-LN(2)/2))/(LN(2)/2)*HC49*HF49*VLOOKUP('Données projet'!$B$18,Paramètres!$A$1:$I$89,3,0)*0.475*44/12</f>
        <v>5.9093667564629664</v>
      </c>
      <c r="HJ49" s="22">
        <f t="shared" si="30"/>
        <v>23.122874081320536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9.5</v>
      </c>
      <c r="N50" s="13">
        <f>IF('Données projet'!$A$36&gt;35,N49+M50-V49,IF(A50&lt;'Données projet'!$A$36,$K$205^A50,IF(A50='Données projet'!$A$36,'Données projet'!$B$36,N49+M50-V49)))</f>
        <v>292.50000000000011</v>
      </c>
      <c r="O50" s="13">
        <f>N50*VLOOKUP('Données projet'!$B$9,Paramètres!$A$1:$I$89,3,0)*VLOOKUP('Données projet'!$B$9,Paramètres!$A$1:$I$89,5,0)</f>
        <v>174.91500000000011</v>
      </c>
      <c r="P50" s="13">
        <f t="shared" si="33"/>
        <v>44.188987442418814</v>
      </c>
      <c r="Q50" s="20">
        <f t="shared" si="53"/>
        <v>381.60611146221294</v>
      </c>
      <c r="R50" s="59">
        <f t="shared" si="0"/>
        <v>674.93944479554625</v>
      </c>
      <c r="S50" s="59">
        <f ca="1">AVERAGE(OFFSET($R$3,0,0,'Données projet'!$E$9+1,1))-AVERAGE(OFFSET($H$3,0,0,'Données projet'!$E$9+1,1))</f>
        <v>295.19075440119076</v>
      </c>
      <c r="T50" s="59">
        <f t="shared" si="34"/>
        <v>173.0182327988216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1.6111454914815755</v>
      </c>
      <c r="AA50" s="21">
        <f>EXP(-LN(2)/25)*AA49+(1-EXP(-LN(2)/25))/(LN(2)/25)*Calculateur!V50*Calculateur!X50*VLOOKUP('Données projet'!$B$9,Paramètres!$A$1:$I$89,3,0)*0.475*44/12</f>
        <v>7.3167359445207287</v>
      </c>
      <c r="AB50" s="21">
        <f>EXP(-LN(2)/2)*AB49+(1-EXP(-LN(2)/2))/(LN(2)/2)*V50*Y50*VLOOKUP('Données projet'!$B$9,Paramètres!$A$1:$I$89,3,0)*0.475*44/12</f>
        <v>0</v>
      </c>
      <c r="AC50" s="22">
        <f t="shared" si="3"/>
        <v>8.9278814360023038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17.399999999999999</v>
      </c>
      <c r="AI50" s="13">
        <f>IF('Données projet'!$A$62&gt;35,AI49+AH50-AQ49,IF(A50&lt;'Données projet'!$A$62,$AF$205^A50,IF(A50='Données projet'!$A$62,'Données projet'!$B$62,AI49+AH50-AQ49)))</f>
        <v>299.80000000000013</v>
      </c>
      <c r="AJ50" s="13">
        <f>AI50*VLOOKUP('Données projet'!$B$10,Paramètres!$A$1:$I$89,3,0)*VLOOKUP('Données projet'!$B$10,Paramètres!$A$1:$I$89,5,0)</f>
        <v>179.2804000000001</v>
      </c>
      <c r="AK50" s="13">
        <f t="shared" si="35"/>
        <v>45.16205111882433</v>
      </c>
      <c r="AL50" s="20">
        <f t="shared" si="4"/>
        <v>390.90393569861925</v>
      </c>
      <c r="AM50" s="59">
        <f t="shared" si="5"/>
        <v>684.23726903195256</v>
      </c>
      <c r="AN50" s="59">
        <f ca="1">AVERAGE(OFFSET($AM$3,0,0,'Données projet'!$E$10+1,1))-AVERAGE(OFFSET($H$3,0,0,'Données projet'!$E$10+1,1))</f>
        <v>294.45857786714919</v>
      </c>
      <c r="AO50" s="59">
        <f t="shared" si="36"/>
        <v>221.9773436301067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9.9434441081284621</v>
      </c>
      <c r="AV50" s="21">
        <f>EXP(-LN(2)/25)*AV49+(1-EXP(-LN(2)/25))/(LN(2)/25)*Calculateur!AQ50*Calculateur!AS50*VLOOKUP('Données projet'!$B$10,Paramètres!$A$1:$I$89,3,0)*0.475*44/12</f>
        <v>34.413046704911871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44.356490813040331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150.59199999999998</v>
      </c>
      <c r="BF50" s="13">
        <f t="shared" si="37"/>
        <v>38.713088888505631</v>
      </c>
      <c r="BG50" s="20">
        <f t="shared" si="7"/>
        <v>329.70636314748066</v>
      </c>
      <c r="BH50" s="59">
        <f t="shared" si="8"/>
        <v>623.03969648081397</v>
      </c>
      <c r="BI50" s="59">
        <f ca="1">AVERAGE(OFFSET($BH$3,0,0,'Données projet'!$E$11+1,1))-AVERAGE(OFFSET($H$3,0,0,'Données projet'!$E$11+1,1))</f>
        <v>179.44051550872138</v>
      </c>
      <c r="BJ50" s="59">
        <f t="shared" si="38"/>
        <v>272.9500808380069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21.365262079645486</v>
      </c>
      <c r="BQ50" s="21">
        <f>EXP(-LN(2)/25)*BQ49+(1-EXP(-LN(2)/25))/(LN(2)/25)*Calculateur!BL50*Calculateur!BN50*VLOOKUP('Données projet'!$B$11,Paramètres!$A$1:$I$89,3,0)*0.475*44/12</f>
        <v>66.133837442996509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87.499099522641998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11.5</v>
      </c>
      <c r="BY50" s="12">
        <f>IF('Données projet'!$A$114&gt;35,BY49+BX50-CG49,IF(A50&lt;'Données projet'!$A$114,$BV$205^A50,IF(A50='Données projet'!$A$114,'Données projet'!$B$114,BY49+BX50-CG49)))</f>
        <v>300.49999999999989</v>
      </c>
      <c r="BZ50" s="13">
        <f>BY50*VLOOKUP('Données projet'!$B$12,Paramètres!$A$1:$I$89,3,0)*VLOOKUP('Données projet'!$B$12,Paramètres!$A$1:$I$89,5,0)</f>
        <v>140.63399999999993</v>
      </c>
      <c r="CA50" s="13">
        <f t="shared" si="39"/>
        <v>36.442207776443553</v>
      </c>
      <c r="CB50" s="20">
        <f t="shared" si="10"/>
        <v>308.40772854397238</v>
      </c>
      <c r="CC50" s="59">
        <f t="shared" si="11"/>
        <v>601.7410618773057</v>
      </c>
      <c r="CD50" s="59">
        <f ca="1">AVERAGE(OFFSET($CC$3,0,0,'Données projet'!$E$12+1,1))-AVERAGE(OFFSET($H$3,0,0,'Données projet'!$E$12+1,1))</f>
        <v>259.87681411271632</v>
      </c>
      <c r="CE50" s="59">
        <f t="shared" si="40"/>
        <v>191.8684235641158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4.3427569731016211</v>
      </c>
      <c r="CL50" s="21">
        <f>EXP(-LN(2)/25)*CL49+(1-EXP(-LN(2)/25))/(LN(2)/25)*Calculateur!CG50*Calculateur!CI50*VLOOKUP('Données projet'!$B$12,Paramètres!$A$1:$I$89,3,0)*0.475*44/12</f>
        <v>25.879853251940986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30.222610225042608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8.1999999999999993</v>
      </c>
      <c r="CT50" s="12">
        <f>IF('Données projet'!$A$140&gt;35,CT49+CS50-DB49,IF(A50&lt;'Données projet'!$A$140,$CQ$205^A50,IF(A50='Données projet'!$A$140,'Données projet'!$B$140,CT49+CS50-DB49)))</f>
        <v>177.39999999999998</v>
      </c>
      <c r="CU50" s="17">
        <f>CT50*VLOOKUP('Données projet'!$B$13,Paramètres!$A$1:$I$89,3,0)*VLOOKUP('Données projet'!$B$13,Paramètres!$A$1:$I$89,5,0)</f>
        <v>141.13943999999998</v>
      </c>
      <c r="CV50" s="13">
        <f t="shared" si="41"/>
        <v>36.557911926411755</v>
      </c>
      <c r="CW50" s="20">
        <f t="shared" si="13"/>
        <v>309.48955460516709</v>
      </c>
      <c r="CX50" s="59">
        <f t="shared" si="14"/>
        <v>602.82288793850034</v>
      </c>
      <c r="CY50" s="59">
        <f ca="1">AVERAGE(OFFSET($CX$3,0,0,'Données projet'!$E$13+1,1))-AVERAGE(OFFSET($H$3,0,0,'Données projet'!$E$13+1,1))</f>
        <v>198.11534486400666</v>
      </c>
      <c r="CZ50" s="59">
        <f t="shared" si="42"/>
        <v>174.29856796517652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16.742803061840331</v>
      </c>
      <c r="DH50" s="21">
        <f>EXP(-LN(2)/2)*DH49+(1-EXP(-LN(2)/2))/(LN(2)/2)*DB50*DE50*VLOOKUP('Données projet'!$B$13,Paramètres!$A$1:$I$89,3,0)*0.475*44/12</f>
        <v>4.1785533060133169</v>
      </c>
      <c r="DI50" s="22">
        <f t="shared" si="15"/>
        <v>20.921356367853647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6.166666666666667</v>
      </c>
      <c r="DO50" s="12">
        <f>IF('Données projet'!$A$166&gt;35,DO49+DN50-DW49,IF(A50&lt;'Données projet'!$A$166,$DL$205^A50,IF(A50='Données projet'!$A$166,'Données projet'!$B$166,DO49+DN50-DW49)))</f>
        <v>113.83333333333334</v>
      </c>
      <c r="DP50" s="17">
        <f>DO50*VLOOKUP('Données projet'!$B$14,Paramètres!$A$1:$I$89,3,0)*VLOOKUP('Données projet'!$B$14,Paramètres!$A$1:$I$89,5,0)</f>
        <v>115.42700000000002</v>
      </c>
      <c r="DQ50" s="13">
        <f t="shared" si="43"/>
        <v>30.606022334593323</v>
      </c>
      <c r="DR50" s="20">
        <f t="shared" si="16"/>
        <v>254.34084723275001</v>
      </c>
      <c r="DS50" s="59">
        <f t="shared" si="17"/>
        <v>547.67418056608335</v>
      </c>
      <c r="DT50" s="59">
        <f ca="1">AVERAGE(OFFSET($DS$3,0,0,'Données projet'!$E$14+1,1))-AVERAGE(OFFSET($H$3,0,0,'Données projet'!$E$14+1,1))</f>
        <v>247.92503505485405</v>
      </c>
      <c r="DU50" s="59">
        <f t="shared" si="44"/>
        <v>148.26437652597514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6.166666666666667</v>
      </c>
      <c r="EJ50" s="12">
        <f>IF('Données projet'!$A$192&gt;35,EJ49+EI50-ER49,IF(A50&lt;'Données projet'!$A$192,$EG$205^A50,IF(A50='Données projet'!$A$192,'Données projet'!$B$192,EJ49+EI50-ER49)))</f>
        <v>113.83333333333334</v>
      </c>
      <c r="EK50" s="17">
        <f>EJ50*VLOOKUP('Données projet'!$B$15,Paramètres!$A$1:$I$89,3,0)*VLOOKUP('Données projet'!$B$15,Paramètres!$A$1:$I$89,5,0)</f>
        <v>110.09960000000001</v>
      </c>
      <c r="EL50" s="13">
        <f t="shared" si="45"/>
        <v>29.354449873200071</v>
      </c>
      <c r="EM50" s="20">
        <f t="shared" si="19"/>
        <v>242.88247019582346</v>
      </c>
      <c r="EN50" s="59">
        <f t="shared" si="20"/>
        <v>536.2158035291568</v>
      </c>
      <c r="EO50" s="59">
        <f ca="1">AVERAGE(OFFSET($EN$3,0,0,'Données projet'!$E$15+1,1))-AVERAGE(OFFSET($H$3,0,0,'Données projet'!$E$15+1,1))</f>
        <v>232.99870507181964</v>
      </c>
      <c r="EP50" s="59">
        <f t="shared" si="46"/>
        <v>140.07662669226278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8.1999999999999993</v>
      </c>
      <c r="FE50" s="12">
        <f>IF('Données projet'!$A$218&gt;35,FE49+FD50-FM49,IF(A50&lt;'Données projet'!$A$218,$FB$205^A50,IF(A50='Données projet'!$A$218,'Données projet'!$B$218,FE49+FD50-FM49)))</f>
        <v>177.39999999999998</v>
      </c>
      <c r="FF50" s="17">
        <f>FE50*VLOOKUP('Données projet'!$B$16,Paramètres!$A$1:$I$89,3,0)*VLOOKUP('Données projet'!$B$16,Paramètres!$A$1:$I$89,5,0)</f>
        <v>138.37199999999999</v>
      </c>
      <c r="FG50" s="13">
        <f t="shared" si="47"/>
        <v>35.923800049624298</v>
      </c>
      <c r="FH50" s="20">
        <f t="shared" si="22"/>
        <v>303.56518508642898</v>
      </c>
      <c r="FI50" s="59">
        <f t="shared" si="23"/>
        <v>596.89851841976224</v>
      </c>
      <c r="FJ50" s="59">
        <f ca="1">AVERAGE(OFFSET($FI$3,0,0,'Données projet'!$E$16+1,1))-AVERAGE(OFFSET($H$3,0,0,'Données projet'!$E$16+1,1))</f>
        <v>193.47609744163839</v>
      </c>
      <c r="FK50" s="59">
        <f t="shared" si="48"/>
        <v>170.3221892406973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</v>
      </c>
      <c r="FR50" s="21">
        <f>EXP(-LN(2)/25)*FR49+(1-EXP(-LN(2)/25))/(LN(2)/25)*Calculateur!FM50*Calculateur!FO50*VLOOKUP('Données projet'!$B$16,Paramètres!$A$1:$I$89,3,0)*0.475*44/12</f>
        <v>13.317434917853021</v>
      </c>
      <c r="FS50" s="21">
        <f>EXP(-LN(2)/2)*FS49+(1-EXP(-LN(2)/2))/(LN(2)/2)*FM50*FP50*VLOOKUP('Données projet'!$B$16,Paramètres!$A$1:$I$89,3,0)*0.475*44/12</f>
        <v>4.0966208882483501</v>
      </c>
      <c r="FT50" s="22">
        <f t="shared" si="24"/>
        <v>17.41405580610137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10.666666666666666</v>
      </c>
      <c r="FZ50" s="12">
        <f>IF('Données projet'!$A$244&gt;35,FZ49+FY50-GH49,IF(A50&lt;'Données projet'!$A$244,$FW$205^A50,IF(A50='Données projet'!$A$244,'Données projet'!$B$244,FZ49+FY50-GH49)))</f>
        <v>241.33333333333331</v>
      </c>
      <c r="GA50" s="17">
        <f>FZ50*VLOOKUP('Données projet'!$B$17,Paramètres!$A$1:$I$89,3,0)*VLOOKUP('Données projet'!$B$17,Paramètres!$A$1:$I$89,5,0)</f>
        <v>131.76799999999997</v>
      </c>
      <c r="GB50" s="13">
        <f t="shared" si="49"/>
        <v>34.404570485500848</v>
      </c>
      <c r="GC50" s="20">
        <f t="shared" si="25"/>
        <v>289.41722692891392</v>
      </c>
      <c r="GD50" s="59">
        <f t="shared" si="26"/>
        <v>582.75056026224729</v>
      </c>
      <c r="GE50" s="59">
        <f ca="1">AVERAGE(OFFSET($GD$3,0,0,'Données projet'!$E$17+1,1))-AVERAGE(OFFSET($H$3,0,0,'Données projet'!$E$17+1,1))</f>
        <v>153.43773674911449</v>
      </c>
      <c r="GF50" s="59">
        <f t="shared" si="50"/>
        <v>235.49395036616602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18.694604319689798</v>
      </c>
      <c r="GM50" s="21">
        <f>EXP(-LN(2)/25)*GM49+(1-EXP(-LN(2)/25))/(LN(2)/25)*Calculateur!GH50*Calculateur!GJ50*VLOOKUP('Données projet'!$B$17,Paramètres!$A$1:$I$89,3,0)*0.475*44/12</f>
        <v>57.867107762621934</v>
      </c>
      <c r="GN50" s="21">
        <f>EXP(-LN(2)/2)*GN49+(1-EXP(-LN(2)/2))/(LN(2)/2)*GH50*GK50*VLOOKUP('Données projet'!$B$17,Paramètres!$A$1:$I$89,3,0)*0.475*44/12</f>
        <v>0</v>
      </c>
      <c r="GO50" s="21">
        <f t="shared" si="27"/>
        <v>76.561712082311729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8.1999999999999993</v>
      </c>
      <c r="GU50" s="12">
        <f>IF('Données projet'!$A$270&gt;35,GU49+GT50-HC49,IF(A50&lt;'Données projet'!$A$270,$GR$205^A50,IF(A50='Données projet'!$A$270,'Données projet'!$B$270,GU49+GT50-HC49)))</f>
        <v>177.39999999999998</v>
      </c>
      <c r="GV50" s="17">
        <f>GU50*VLOOKUP('Données projet'!$B$18,Paramètres!$A$1:$I$89,3,0)*VLOOKUP('Données projet'!$B$18,Paramètres!$A$1:$I$89,5,0)</f>
        <v>141.13943999999998</v>
      </c>
      <c r="GW50" s="13">
        <f t="shared" si="51"/>
        <v>36.557911926411755</v>
      </c>
      <c r="GX50" s="20">
        <f t="shared" si="28"/>
        <v>309.48955460516709</v>
      </c>
      <c r="GY50" s="59">
        <f t="shared" si="29"/>
        <v>602.82288793850034</v>
      </c>
      <c r="GZ50" s="59">
        <f ca="1">AVERAGE(OFFSET($GY$3,0,0,'Données projet'!$E$18+1,1))-AVERAGE(OFFSET($H$3,0,0,'Données projet'!$E$18+1,1))</f>
        <v>198.11534486400666</v>
      </c>
      <c r="HA50" s="59">
        <f t="shared" si="52"/>
        <v>174.29856796517652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>
        <f>EXP(-LN(2)/35)*HG49+(1-EXP(-LN(2)/35))/(LN(2)/35)*HC50*HD50*VLOOKUP('Données projet'!$B$18,Paramètres!$A$1:$I$89,3,0)*0.475*44/12</f>
        <v>0</v>
      </c>
      <c r="HH50" s="21">
        <f>EXP(-LN(2)/25)*HH49+(1-EXP(-LN(2)/25))/(LN(2)/25)*Calculateur!HC50*Calculateur!HE50*VLOOKUP('Données projet'!$B$18,Paramètres!$A$1:$I$89,3,0)*0.475*44/12</f>
        <v>16.742803061840331</v>
      </c>
      <c r="HI50" s="21">
        <f>EXP(-LN(2)/2)*HI49+(1-EXP(-LN(2)/2))/(LN(2)/2)*HC50*HF50*VLOOKUP('Données projet'!$B$18,Paramètres!$A$1:$I$89,3,0)*0.475*44/12</f>
        <v>4.1785533060133169</v>
      </c>
      <c r="HJ50" s="22">
        <f t="shared" si="30"/>
        <v>20.921356367853647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9.5</v>
      </c>
      <c r="N51" s="13">
        <f>IF('Données projet'!$A$36&gt;35,N50+M51-V50,IF(A51&lt;'Données projet'!$A$36,$K$205^A51,IF(A51='Données projet'!$A$36,'Données projet'!$B$36,N50+M51-V50)))</f>
        <v>302.00000000000011</v>
      </c>
      <c r="O51" s="13">
        <f>N51*VLOOKUP('Données projet'!$B$9,Paramètres!$A$1:$I$89,3,0)*VLOOKUP('Données projet'!$B$9,Paramètres!$A$1:$I$89,5,0)</f>
        <v>180.59600000000006</v>
      </c>
      <c r="P51" s="13">
        <f t="shared" si="33"/>
        <v>45.45475966463092</v>
      </c>
      <c r="Q51" s="20">
        <f t="shared" si="53"/>
        <v>393.7050730825656</v>
      </c>
      <c r="R51" s="59">
        <f t="shared" si="0"/>
        <v>687.03840641589886</v>
      </c>
      <c r="S51" s="59">
        <f ca="1">AVERAGE(OFFSET($R$3,0,0,'Données projet'!$E$9+1,1))-AVERAGE(OFFSET($H$3,0,0,'Données projet'!$E$9+1,1))</f>
        <v>295.19075440119076</v>
      </c>
      <c r="T51" s="59">
        <f t="shared" si="34"/>
        <v>173.0182327988216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1.5795519110953378</v>
      </c>
      <c r="AA51" s="21">
        <f>EXP(-LN(2)/25)*AA50+(1-EXP(-LN(2)/25))/(LN(2)/25)*Calculateur!V51*Calculateur!X51*VLOOKUP('Données projet'!$B$9,Paramètres!$A$1:$I$89,3,0)*0.475*44/12</f>
        <v>7.1166594153473888</v>
      </c>
      <c r="AB51" s="21">
        <f>EXP(-LN(2)/2)*AB50+(1-EXP(-LN(2)/2))/(LN(2)/2)*V51*Y51*VLOOKUP('Données projet'!$B$9,Paramètres!$A$1:$I$89,3,0)*0.475*44/12</f>
        <v>0</v>
      </c>
      <c r="AC51" s="22">
        <f t="shared" si="3"/>
        <v>8.696211326442727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17.399999999999999</v>
      </c>
      <c r="AI51" s="13">
        <f>IF('Données projet'!$A$62&gt;35,AI50+AH51-AQ50,IF(A51&lt;'Données projet'!$A$62,$AF$205^A51,IF(A51='Données projet'!$A$62,'Données projet'!$B$62,AI50+AH51-AQ50)))</f>
        <v>317.2000000000001</v>
      </c>
      <c r="AJ51" s="13">
        <f>AI51*VLOOKUP('Données projet'!$B$10,Paramètres!$A$1:$I$89,3,0)*VLOOKUP('Données projet'!$B$10,Paramètres!$A$1:$I$89,5,0)</f>
        <v>189.68560000000008</v>
      </c>
      <c r="AK51" s="13">
        <f t="shared" si="35"/>
        <v>47.470436776872745</v>
      </c>
      <c r="AL51" s="20">
        <f t="shared" si="4"/>
        <v>413.04676405305349</v>
      </c>
      <c r="AM51" s="59">
        <f t="shared" si="5"/>
        <v>706.38009738638675</v>
      </c>
      <c r="AN51" s="59">
        <f ca="1">AVERAGE(OFFSET($AM$3,0,0,'Données projet'!$E$10+1,1))-AVERAGE(OFFSET($H$3,0,0,'Données projet'!$E$10+1,1))</f>
        <v>294.45857786714919</v>
      </c>
      <c r="AO51" s="59">
        <f t="shared" si="36"/>
        <v>221.9773436301067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9.7484592340701095</v>
      </c>
      <c r="AV51" s="21">
        <f>EXP(-LN(2)/25)*AV50+(1-EXP(-LN(2)/25))/(LN(2)/25)*Calculateur!AQ51*Calculateur!AS51*VLOOKUP('Données projet'!$B$10,Paramètres!$A$1:$I$89,3,0)*0.475*44/12</f>
        <v>33.472020133062578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43.22047936713269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157.24799999999999</v>
      </c>
      <c r="BF51" s="13">
        <f t="shared" si="37"/>
        <v>40.22116874434861</v>
      </c>
      <c r="BG51" s="20">
        <f t="shared" si="7"/>
        <v>343.92546889640715</v>
      </c>
      <c r="BH51" s="59">
        <f t="shared" si="8"/>
        <v>637.25880222974047</v>
      </c>
      <c r="BI51" s="59">
        <f ca="1">AVERAGE(OFFSET($BH$3,0,0,'Données projet'!$E$11+1,1))-AVERAGE(OFFSET($H$3,0,0,'Données projet'!$E$11+1,1))</f>
        <v>179.44051550872138</v>
      </c>
      <c r="BJ51" s="59">
        <f t="shared" si="38"/>
        <v>272.9500808380069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0.42</v>
      </c>
      <c r="BN51" s="16">
        <f>IF(ISNA(VLOOKUP(A51,'Données projet'!$A$87:$I$107,6,0)),0%,VLOOKUP(A51,'Données projet'!$A$87:$I$107,6,0)*VLOOKUP('Données projet'!$B$11,Paramètres!$A$1:$I$89,7,0))</f>
        <v>0.18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43.544593133090402</v>
      </c>
      <c r="BQ51" s="21">
        <f>EXP(-LN(2)/25)*BQ50+(1-EXP(-LN(2)/25))/(LN(2)/25)*Calculateur!BL51*Calculateur!BN51*VLOOKUP('Données projet'!$B$11,Paramètres!$A$1:$I$89,3,0)*0.475*44/12</f>
        <v>73.972252493042845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117.51684562613325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11.5</v>
      </c>
      <c r="BY51" s="12">
        <f>IF('Données projet'!$A$114&gt;35,BY50+BX51-CG50,IF(A51&lt;'Données projet'!$A$114,$BV$205^A51,IF(A51='Données projet'!$A$114,'Données projet'!$B$114,BY50+BX51-CG50)))</f>
        <v>311.99999999999989</v>
      </c>
      <c r="BZ51" s="13">
        <f>BY51*VLOOKUP('Données projet'!$B$12,Paramètres!$A$1:$I$89,3,0)*VLOOKUP('Données projet'!$B$12,Paramètres!$A$1:$I$89,5,0)</f>
        <v>146.01599999999993</v>
      </c>
      <c r="CA51" s="13">
        <f t="shared" si="39"/>
        <v>37.671793767891103</v>
      </c>
      <c r="CB51" s="20">
        <f t="shared" si="10"/>
        <v>319.92290747907685</v>
      </c>
      <c r="CC51" s="59">
        <f t="shared" si="11"/>
        <v>613.25624081241017</v>
      </c>
      <c r="CD51" s="59">
        <f ca="1">AVERAGE(OFFSET($CC$3,0,0,'Données projet'!$E$12+1,1))-AVERAGE(OFFSET($H$3,0,0,'Données projet'!$E$12+1,1))</f>
        <v>259.87681411271632</v>
      </c>
      <c r="CE51" s="59">
        <f t="shared" si="40"/>
        <v>191.8684235641158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4.2575981576793023</v>
      </c>
      <c r="CL51" s="21">
        <f>EXP(-LN(2)/25)*CL50+(1-EXP(-LN(2)/25))/(LN(2)/25)*Calculateur!CG51*Calculateur!CI51*VLOOKUP('Données projet'!$B$12,Paramètres!$A$1:$I$89,3,0)*0.475*44/12</f>
        <v>25.172167303804326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29.429765461483626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8.1999999999999993</v>
      </c>
      <c r="CT51" s="12">
        <f>IF('Données projet'!$A$140&gt;35,CT50+CS51-DB50,IF(A51&lt;'Données projet'!$A$140,$CQ$205^A51,IF(A51='Données projet'!$A$140,'Données projet'!$B$140,CT50+CS51-DB50)))</f>
        <v>185.59999999999997</v>
      </c>
      <c r="CU51" s="17">
        <f>CT51*VLOOKUP('Données projet'!$B$13,Paramètres!$A$1:$I$89,3,0)*VLOOKUP('Données projet'!$B$13,Paramètres!$A$1:$I$89,5,0)</f>
        <v>147.66335999999998</v>
      </c>
      <c r="CV51" s="13">
        <f t="shared" si="41"/>
        <v>38.047091559960727</v>
      </c>
      <c r="CW51" s="20">
        <f t="shared" si="13"/>
        <v>323.44570313359822</v>
      </c>
      <c r="CX51" s="59">
        <f t="shared" si="14"/>
        <v>616.77903646693153</v>
      </c>
      <c r="CY51" s="59">
        <f ca="1">AVERAGE(OFFSET($CX$3,0,0,'Données projet'!$E$13+1,1))-AVERAGE(OFFSET($H$3,0,0,'Données projet'!$E$13+1,1))</f>
        <v>198.11534486400666</v>
      </c>
      <c r="CZ51" s="59">
        <f t="shared" si="42"/>
        <v>174.29856796517652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16.284970231648561</v>
      </c>
      <c r="DH51" s="21">
        <f>EXP(-LN(2)/2)*DH50+(1-EXP(-LN(2)/2))/(LN(2)/2)*DB51*DE51*VLOOKUP('Données projet'!$B$13,Paramètres!$A$1:$I$89,3,0)*0.475*44/12</f>
        <v>2.9546833782314832</v>
      </c>
      <c r="DI51" s="22">
        <f t="shared" si="15"/>
        <v>19.239653609880044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>
        <f>VLOOKUP(A51,'Données projet'!$A$165:$I$185,2,0)</f>
        <v>120</v>
      </c>
      <c r="DM51" s="12">
        <f>VLOOKUP(A51,'Données projet'!$A$165:$I$185,9,0)</f>
        <v>6.166666666666667</v>
      </c>
      <c r="DN51" s="12">
        <f t="array" ref="DN51">INDEX(DM:DM,MIN(IF(ISNUMBER(DM51:DM247),ROW(DM51:DM247),"")))</f>
        <v>6.166666666666667</v>
      </c>
      <c r="DO51" s="12">
        <f>IF('Données projet'!$A$166&gt;35,DO50+DN51-DW50,IF(A51&lt;'Données projet'!$A$166,$DL$205^A51,IF(A51='Données projet'!$A$166,'Données projet'!$B$166,DO50+DN51-DW50)))</f>
        <v>120.00000000000001</v>
      </c>
      <c r="DP51" s="17">
        <f>DO51*VLOOKUP('Données projet'!$B$14,Paramètres!$A$1:$I$89,3,0)*VLOOKUP('Données projet'!$B$14,Paramètres!$A$1:$I$89,5,0)</f>
        <v>121.68000000000002</v>
      </c>
      <c r="DQ51" s="13">
        <f t="shared" si="43"/>
        <v>32.066514091456284</v>
      </c>
      <c r="DR51" s="20">
        <f t="shared" si="16"/>
        <v>267.77517870928637</v>
      </c>
      <c r="DS51" s="59">
        <f t="shared" si="17"/>
        <v>561.10851204261962</v>
      </c>
      <c r="DT51" s="59">
        <f ca="1">AVERAGE(OFFSET($DS$3,0,0,'Données projet'!$E$14+1,1))-AVERAGE(OFFSET($H$3,0,0,'Données projet'!$E$14+1,1))</f>
        <v>247.92503505485405</v>
      </c>
      <c r="DU51" s="59">
        <f t="shared" si="44"/>
        <v>148.26437652597514</v>
      </c>
      <c r="DV51" s="15">
        <f>IF(ISNA(VLOOKUP(A51,'Données projet'!$A$165:$I$185,3,0)),0,VLOOKUP(A51,'Données projet'!$A$165:$I$185,3,0))</f>
        <v>2</v>
      </c>
      <c r="DW51" s="15">
        <f>IF(ISNA(VLOOKUP(A51,'Données projet'!$A$165:$I$185,4,0)),0,VLOOKUP(A51,'Données projet'!$A$165:$I$185,4,0))</f>
        <v>28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>
        <f>VLOOKUP(A51,'Données projet'!$A$191:$I$211,2,0)</f>
        <v>120</v>
      </c>
      <c r="EH51" s="12">
        <f>VLOOKUP(A51,'Données projet'!$A$191:$I$211,9,0)</f>
        <v>6.166666666666667</v>
      </c>
      <c r="EI51" s="12">
        <f t="array" ref="EI51">INDEX(EH:EH,MIN(IF(ISNUMBER(EH51:EH247),ROW(EH51:EH247),"")))</f>
        <v>6.166666666666667</v>
      </c>
      <c r="EJ51" s="12">
        <f>IF('Données projet'!$A$192&gt;35,EJ50+EI51-ER50,IF(A51&lt;'Données projet'!$A$192,$EG$205^A51,IF(A51='Données projet'!$A$192,'Données projet'!$B$192,EJ50+EI51-ER50)))</f>
        <v>120.00000000000001</v>
      </c>
      <c r="EK51" s="17">
        <f>EJ51*VLOOKUP('Données projet'!$B$15,Paramètres!$A$1:$I$89,3,0)*VLOOKUP('Données projet'!$B$15,Paramètres!$A$1:$I$89,5,0)</f>
        <v>116.06400000000001</v>
      </c>
      <c r="EL51" s="13">
        <f t="shared" si="45"/>
        <v>30.755217722036068</v>
      </c>
      <c r="EM51" s="20">
        <f t="shared" si="19"/>
        <v>255.71013753254616</v>
      </c>
      <c r="EN51" s="59">
        <f t="shared" si="20"/>
        <v>549.0434708658795</v>
      </c>
      <c r="EO51" s="59">
        <f ca="1">AVERAGE(OFFSET($EN$3,0,0,'Données projet'!$E$15+1,1))-AVERAGE(OFFSET($H$3,0,0,'Données projet'!$E$15+1,1))</f>
        <v>232.99870507181964</v>
      </c>
      <c r="EP51" s="59">
        <f t="shared" si="46"/>
        <v>140.07662669226278</v>
      </c>
      <c r="EQ51" s="15">
        <f>IF(ISNA(VLOOKUP(A51,'Données projet'!$A$191:$I$211,3,0)),0,VLOOKUP(A51,'Données projet'!$A$191:$I$211,3,0))</f>
        <v>2</v>
      </c>
      <c r="ER51" s="15">
        <f>IF(ISNA(VLOOKUP(A51,'Données projet'!$A$191:$I$211,4,0)),0,VLOOKUP(A51,'Données projet'!$A$191:$I$211,4,0))</f>
        <v>28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8.1999999999999993</v>
      </c>
      <c r="FE51" s="12">
        <f>IF('Données projet'!$A$218&gt;35,FE50+FD51-FM50,IF(A51&lt;'Données projet'!$A$218,$FB$205^A51,IF(A51='Données projet'!$A$218,'Données projet'!$B$218,FE50+FD51-FM50)))</f>
        <v>185.59999999999997</v>
      </c>
      <c r="FF51" s="17">
        <f>FE51*VLOOKUP('Données projet'!$B$16,Paramètres!$A$1:$I$89,3,0)*VLOOKUP('Données projet'!$B$16,Paramètres!$A$1:$I$89,5,0)</f>
        <v>144.76799999999997</v>
      </c>
      <c r="FG51" s="13">
        <f t="shared" si="47"/>
        <v>37.387149255707826</v>
      </c>
      <c r="FH51" s="20">
        <f t="shared" si="22"/>
        <v>317.25355162035771</v>
      </c>
      <c r="FI51" s="59">
        <f t="shared" si="23"/>
        <v>610.58688495369097</v>
      </c>
      <c r="FJ51" s="59">
        <f ca="1">AVERAGE(OFFSET($FI$3,0,0,'Données projet'!$E$16+1,1))-AVERAGE(OFFSET($H$3,0,0,'Données projet'!$E$16+1,1))</f>
        <v>193.47609744163839</v>
      </c>
      <c r="FK51" s="59">
        <f t="shared" si="48"/>
        <v>170.3221892406973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</v>
      </c>
      <c r="FR51" s="21">
        <f>EXP(-LN(2)/25)*FR50+(1-EXP(-LN(2)/25))/(LN(2)/25)*Calculateur!FM51*Calculateur!FO51*VLOOKUP('Données projet'!$B$16,Paramètres!$A$1:$I$89,3,0)*0.475*44/12</f>
        <v>12.953268959690865</v>
      </c>
      <c r="FS51" s="21">
        <f>EXP(-LN(2)/2)*FS50+(1-EXP(-LN(2)/2))/(LN(2)/2)*FM51*FP51*VLOOKUP('Données projet'!$B$16,Paramètres!$A$1:$I$89,3,0)*0.475*44/12</f>
        <v>2.8967484100308662</v>
      </c>
      <c r="FT51" s="22">
        <f t="shared" si="24"/>
        <v>15.850017369721732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>
        <f>VLOOKUP(A51,'Données projet'!$A$243:$I$263,2,0)</f>
        <v>252</v>
      </c>
      <c r="FX51" s="12">
        <f>VLOOKUP(A51,'Données projet'!$A$243:$I$263,9,0)</f>
        <v>10.666666666666666</v>
      </c>
      <c r="FY51" s="12">
        <f t="array" ref="FY51">INDEX(FX:FX,MIN(IF(ISNUMBER(FX51:FX247),ROW(FX51:FX247),"")))</f>
        <v>10.666666666666666</v>
      </c>
      <c r="FZ51" s="12">
        <f>IF('Données projet'!$A$244&gt;35,FZ50+FY51-GH50,IF(A51&lt;'Données projet'!$A$244,$FW$205^A51,IF(A51='Données projet'!$A$244,'Données projet'!$B$244,FZ50+FY51-GH50)))</f>
        <v>251.99999999999997</v>
      </c>
      <c r="GA51" s="17">
        <f>FZ51*VLOOKUP('Données projet'!$B$17,Paramètres!$A$1:$I$89,3,0)*VLOOKUP('Données projet'!$B$17,Paramètres!$A$1:$I$89,5,0)</f>
        <v>137.59199999999998</v>
      </c>
      <c r="GB51" s="13">
        <f t="shared" si="49"/>
        <v>35.744810729505772</v>
      </c>
      <c r="GC51" s="20">
        <f t="shared" si="25"/>
        <v>301.89494535388923</v>
      </c>
      <c r="GD51" s="59">
        <f t="shared" si="26"/>
        <v>595.22827868722254</v>
      </c>
      <c r="GE51" s="59">
        <f ca="1">AVERAGE(OFFSET($GD$3,0,0,'Données projet'!$E$17+1,1))-AVERAGE(OFFSET($H$3,0,0,'Données projet'!$E$17+1,1))</f>
        <v>153.43773674911449</v>
      </c>
      <c r="GF51" s="59">
        <f t="shared" si="50"/>
        <v>235.49395036616602</v>
      </c>
      <c r="GG51" s="15">
        <f>IF(ISNA(VLOOKUP(A51,'Données projet'!$A$243:$I$263,3,0)),0,VLOOKUP(A51,'Données projet'!$A$243:$I$263,3,0))</f>
        <v>7</v>
      </c>
      <c r="GH51" s="15">
        <f>IF(ISNA(VLOOKUP(A51,'Données projet'!$A$243:$I$263,4,0)),0,VLOOKUP(A51,'Données projet'!$A$243:$I$263,4,0))</f>
        <v>65</v>
      </c>
      <c r="GI51" s="16">
        <f>IF(ISNA(VLOOKUP(A51,'Données projet'!$A$243:$I$263,5,0)),0%,VLOOKUP(A51,'Données projet'!$A$243:$I$263,5,0)*VLOOKUP('Données projet'!$B$17,Paramètres!$A$1:$I$89,7,0))</f>
        <v>0.42</v>
      </c>
      <c r="GJ51" s="16">
        <f>IF(ISNA(VLOOKUP(A51,'Données projet'!$A$243:$I$263,6,0)),0%,VLOOKUP(A51,'Données projet'!$A$243:$I$263,6,0)*VLOOKUP('Données projet'!$B$17,Paramètres!$A$1:$I$89,7,0))</f>
        <v>0.18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38.1015189914541</v>
      </c>
      <c r="GM51" s="21">
        <f>EXP(-LN(2)/25)*GM50+(1-EXP(-LN(2)/25))/(LN(2)/25)*Calculateur!GH51*Calculateur!GJ51*VLOOKUP('Données projet'!$B$17,Paramètres!$A$1:$I$89,3,0)*0.475*44/12</f>
        <v>64.725720931412482</v>
      </c>
      <c r="GN51" s="21">
        <f>EXP(-LN(2)/2)*GN50+(1-EXP(-LN(2)/2))/(LN(2)/2)*GH51*GK51*VLOOKUP('Données projet'!$B$17,Paramètres!$A$1:$I$89,3,0)*0.475*44/12</f>
        <v>0</v>
      </c>
      <c r="GO51" s="21">
        <f t="shared" si="27"/>
        <v>102.82723992286658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8.1999999999999993</v>
      </c>
      <c r="GU51" s="12">
        <f>IF('Données projet'!$A$270&gt;35,GU50+GT51-HC50,IF(A51&lt;'Données projet'!$A$270,$GR$205^A51,IF(A51='Données projet'!$A$270,'Données projet'!$B$270,GU50+GT51-HC50)))</f>
        <v>185.59999999999997</v>
      </c>
      <c r="GV51" s="17">
        <f>GU51*VLOOKUP('Données projet'!$B$18,Paramètres!$A$1:$I$89,3,0)*VLOOKUP('Données projet'!$B$18,Paramètres!$A$1:$I$89,5,0)</f>
        <v>147.66335999999998</v>
      </c>
      <c r="GW51" s="13">
        <f t="shared" si="51"/>
        <v>38.047091559960727</v>
      </c>
      <c r="GX51" s="20">
        <f t="shared" si="28"/>
        <v>323.44570313359822</v>
      </c>
      <c r="GY51" s="59">
        <f t="shared" si="29"/>
        <v>616.77903646693153</v>
      </c>
      <c r="GZ51" s="59">
        <f ca="1">AVERAGE(OFFSET($GY$3,0,0,'Données projet'!$E$18+1,1))-AVERAGE(OFFSET($H$3,0,0,'Données projet'!$E$18+1,1))</f>
        <v>198.11534486400666</v>
      </c>
      <c r="HA51" s="59">
        <f t="shared" si="52"/>
        <v>174.29856796517652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>
        <f>EXP(-LN(2)/35)*HG50+(1-EXP(-LN(2)/35))/(LN(2)/35)*HC51*HD51*VLOOKUP('Données projet'!$B$18,Paramètres!$A$1:$I$89,3,0)*0.475*44/12</f>
        <v>0</v>
      </c>
      <c r="HH51" s="21">
        <f>EXP(-LN(2)/25)*HH50+(1-EXP(-LN(2)/25))/(LN(2)/25)*Calculateur!HC51*Calculateur!HE51*VLOOKUP('Données projet'!$B$18,Paramètres!$A$1:$I$89,3,0)*0.475*44/12</f>
        <v>16.284970231648561</v>
      </c>
      <c r="HI51" s="21">
        <f>EXP(-LN(2)/2)*HI50+(1-EXP(-LN(2)/2))/(LN(2)/2)*HC51*HF51*VLOOKUP('Données projet'!$B$18,Paramètres!$A$1:$I$89,3,0)*0.475*44/12</f>
        <v>2.9546833782314832</v>
      </c>
      <c r="HJ51" s="22">
        <f t="shared" si="30"/>
        <v>19.239653609880044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9.5</v>
      </c>
      <c r="N52" s="13">
        <f>IF('Données projet'!$A$36&gt;35,N51+M52-V51,IF(A52&lt;'Données projet'!$A$36,$K$205^A52,IF(A52='Données projet'!$A$36,'Données projet'!$B$36,N51+M52-V51)))</f>
        <v>311.50000000000011</v>
      </c>
      <c r="O52" s="13">
        <f>N52*VLOOKUP('Données projet'!$B$9,Paramètres!$A$1:$I$89,3,0)*VLOOKUP('Données projet'!$B$9,Paramètres!$A$1:$I$89,5,0)</f>
        <v>186.27700000000007</v>
      </c>
      <c r="P52" s="13">
        <f t="shared" si="33"/>
        <v>46.715904817352708</v>
      </c>
      <c r="Q52" s="20">
        <f t="shared" si="53"/>
        <v>405.79597589022273</v>
      </c>
      <c r="R52" s="59">
        <f t="shared" si="0"/>
        <v>699.12930922355599</v>
      </c>
      <c r="S52" s="59">
        <f ca="1">AVERAGE(OFFSET($R$3,0,0,'Données projet'!$E$9+1,1))-AVERAGE(OFFSET($H$3,0,0,'Données projet'!$E$9+1,1))</f>
        <v>295.19075440119076</v>
      </c>
      <c r="T52" s="59">
        <f t="shared" si="34"/>
        <v>173.0182327988216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1.548577861550293</v>
      </c>
      <c r="AA52" s="21">
        <f>EXP(-LN(2)/25)*AA51+(1-EXP(-LN(2)/25))/(LN(2)/25)*Calculateur!V52*Calculateur!X52*VLOOKUP('Données projet'!$B$9,Paramètres!$A$1:$I$89,3,0)*0.475*44/12</f>
        <v>6.9220539893858613</v>
      </c>
      <c r="AB52" s="21">
        <f>EXP(-LN(2)/2)*AB51+(1-EXP(-LN(2)/2))/(LN(2)/2)*V52*Y52*VLOOKUP('Données projet'!$B$9,Paramètres!$A$1:$I$89,3,0)*0.475*44/12</f>
        <v>0</v>
      </c>
      <c r="AC52" s="22">
        <f t="shared" si="3"/>
        <v>8.4706318509361544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17.399999999999999</v>
      </c>
      <c r="AI52" s="13">
        <f>IF('Données projet'!$A$62&gt;35,AI51+AH52-AQ51,IF(A52&lt;'Données projet'!$A$62,$AF$205^A52,IF(A52='Données projet'!$A$62,'Données projet'!$B$62,AI51+AH52-AQ51)))</f>
        <v>334.60000000000008</v>
      </c>
      <c r="AJ52" s="13">
        <f>AI52*VLOOKUP('Données projet'!$B$10,Paramètres!$A$1:$I$89,3,0)*VLOOKUP('Données projet'!$B$10,Paramètres!$A$1:$I$89,5,0)</f>
        <v>200.09080000000009</v>
      </c>
      <c r="AK52" s="13">
        <f t="shared" si="35"/>
        <v>49.764122289960234</v>
      </c>
      <c r="AL52" s="20">
        <f t="shared" si="4"/>
        <v>435.16398965501418</v>
      </c>
      <c r="AM52" s="59">
        <f t="shared" si="5"/>
        <v>728.49732298834749</v>
      </c>
      <c r="AN52" s="59">
        <f ca="1">AVERAGE(OFFSET($AM$3,0,0,'Données projet'!$E$10+1,1))-AVERAGE(OFFSET($H$3,0,0,'Données projet'!$E$10+1,1))</f>
        <v>294.45857786714919</v>
      </c>
      <c r="AO52" s="59">
        <f t="shared" si="36"/>
        <v>221.9773436301067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9.5572978944630123</v>
      </c>
      <c r="AV52" s="21">
        <f>EXP(-LN(2)/25)*AV51+(1-EXP(-LN(2)/25))/(LN(2)/25)*Calculateur!AQ52*Calculateur!AS52*VLOOKUP('Données projet'!$B$10,Paramètres!$A$1:$I$89,3,0)*0.475*44/12</f>
        <v>32.556725982306943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42.114023876769956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122.77200000000001</v>
      </c>
      <c r="BF52" s="13">
        <f t="shared" si="37"/>
        <v>32.320660955470466</v>
      </c>
      <c r="BG52" s="20">
        <f t="shared" si="7"/>
        <v>270.11971783077774</v>
      </c>
      <c r="BH52" s="59">
        <f t="shared" si="8"/>
        <v>563.453051164111</v>
      </c>
      <c r="BI52" s="59">
        <f ca="1">AVERAGE(OFFSET($BH$3,0,0,'Données projet'!$E$11+1,1))-AVERAGE(OFFSET($H$3,0,0,'Données projet'!$E$11+1,1))</f>
        <v>179.44051550872138</v>
      </c>
      <c r="BJ52" s="59">
        <f t="shared" si="38"/>
        <v>272.9500808380069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42.690710221329766</v>
      </c>
      <c r="BQ52" s="21">
        <f>EXP(-LN(2)/25)*BQ51+(1-EXP(-LN(2)/25))/(LN(2)/25)*Calculateur!BL52*Calculateur!BN52*VLOOKUP('Données projet'!$B$11,Paramètres!$A$1:$I$89,3,0)*0.475*44/12</f>
        <v>71.949477358588894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114.64018757991866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11.5</v>
      </c>
      <c r="BY52" s="12">
        <f>IF('Données projet'!$A$114&gt;35,BY51+BX52-CG51,IF(A52&lt;'Données projet'!$A$114,$BV$205^A52,IF(A52='Données projet'!$A$114,'Données projet'!$B$114,BY51+BX52-CG51)))</f>
        <v>323.49999999999989</v>
      </c>
      <c r="BZ52" s="13">
        <f>BY52*VLOOKUP('Données projet'!$B$12,Paramètres!$A$1:$I$89,3,0)*VLOOKUP('Données projet'!$B$12,Paramètres!$A$1:$I$89,5,0)</f>
        <v>151.39799999999994</v>
      </c>
      <c r="CA52" s="13">
        <f t="shared" si="39"/>
        <v>38.896114403754709</v>
      </c>
      <c r="CB52" s="20">
        <f t="shared" si="10"/>
        <v>331.42891591987262</v>
      </c>
      <c r="CC52" s="59">
        <f t="shared" si="11"/>
        <v>624.76224925320594</v>
      </c>
      <c r="CD52" s="59">
        <f ca="1">AVERAGE(OFFSET($CC$3,0,0,'Données projet'!$E$12+1,1))-AVERAGE(OFFSET($H$3,0,0,'Données projet'!$E$12+1,1))</f>
        <v>259.87681411271632</v>
      </c>
      <c r="CE52" s="59">
        <f t="shared" si="40"/>
        <v>191.8684235641158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4.1741092546856668</v>
      </c>
      <c r="CL52" s="21">
        <f>EXP(-LN(2)/25)*CL51+(1-EXP(-LN(2)/25))/(LN(2)/25)*Calculateur!CG52*Calculateur!CI52*VLOOKUP('Données projet'!$B$12,Paramètres!$A$1:$I$89,3,0)*0.475*44/12</f>
        <v>24.483833065135048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28.657942319820716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8.1999999999999993</v>
      </c>
      <c r="CT52" s="12">
        <f>IF('Données projet'!$A$140&gt;35,CT51+CS52-DB51,IF(A52&lt;'Données projet'!$A$140,$CQ$205^A52,IF(A52='Données projet'!$A$140,'Données projet'!$B$140,CT51+CS52-DB51)))</f>
        <v>193.79999999999995</v>
      </c>
      <c r="CU52" s="17">
        <f>CT52*VLOOKUP('Données projet'!$B$13,Paramètres!$A$1:$I$89,3,0)*VLOOKUP('Données projet'!$B$13,Paramètres!$A$1:$I$89,5,0)</f>
        <v>154.18727999999999</v>
      </c>
      <c r="CV52" s="13">
        <f t="shared" si="41"/>
        <v>39.528629863903078</v>
      </c>
      <c r="CW52" s="20">
        <f t="shared" si="13"/>
        <v>337.38854301296448</v>
      </c>
      <c r="CX52" s="59">
        <f t="shared" si="14"/>
        <v>630.72187634629779</v>
      </c>
      <c r="CY52" s="59">
        <f ca="1">AVERAGE(OFFSET($CX$3,0,0,'Données projet'!$E$13+1,1))-AVERAGE(OFFSET($H$3,0,0,'Données projet'!$E$13+1,1))</f>
        <v>198.11534486400666</v>
      </c>
      <c r="CZ52" s="59">
        <f t="shared" si="42"/>
        <v>174.29856796517652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15.839656864274767</v>
      </c>
      <c r="DH52" s="21">
        <f>EXP(-LN(2)/2)*DH51+(1-EXP(-LN(2)/2))/(LN(2)/2)*DB52*DE52*VLOOKUP('Données projet'!$B$13,Paramètres!$A$1:$I$89,3,0)*0.475*44/12</f>
        <v>2.0892766530066584</v>
      </c>
      <c r="DI52" s="22">
        <f t="shared" si="15"/>
        <v>17.928933517281425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5.75</v>
      </c>
      <c r="DO52" s="12">
        <f>IF('Données projet'!$A$166&gt;35,DO51+DN52-DW51,IF(A52&lt;'Données projet'!$A$166,$DL$205^A52,IF(A52='Données projet'!$A$166,'Données projet'!$B$166,DO51+DN52-DW51)))</f>
        <v>97.750000000000014</v>
      </c>
      <c r="DP52" s="17">
        <f>DO52*VLOOKUP('Données projet'!$B$14,Paramètres!$A$1:$I$89,3,0)*VLOOKUP('Données projet'!$B$14,Paramètres!$A$1:$I$89,5,0)</f>
        <v>99.118500000000012</v>
      </c>
      <c r="DQ52" s="13">
        <f t="shared" si="43"/>
        <v>26.751884234249314</v>
      </c>
      <c r="DR52" s="20">
        <f t="shared" si="16"/>
        <v>219.22425254131755</v>
      </c>
      <c r="DS52" s="59">
        <f t="shared" si="17"/>
        <v>512.55758587465084</v>
      </c>
      <c r="DT52" s="59">
        <f ca="1">AVERAGE(OFFSET($DS$3,0,0,'Données projet'!$E$14+1,1))-AVERAGE(OFFSET($H$3,0,0,'Données projet'!$E$14+1,1))</f>
        <v>247.92503505485405</v>
      </c>
      <c r="DU52" s="59">
        <f t="shared" si="44"/>
        <v>148.26437652597514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5.75</v>
      </c>
      <c r="EJ52" s="12">
        <f>IF('Données projet'!$A$192&gt;35,EJ51+EI52-ER51,IF(A52&lt;'Données projet'!$A$192,$EG$205^A52,IF(A52='Données projet'!$A$192,'Données projet'!$B$192,EJ51+EI52-ER51)))</f>
        <v>97.750000000000014</v>
      </c>
      <c r="EK52" s="17">
        <f>EJ52*VLOOKUP('Données projet'!$B$15,Paramètres!$A$1:$I$89,3,0)*VLOOKUP('Données projet'!$B$15,Paramètres!$A$1:$I$89,5,0)</f>
        <v>94.543800000000019</v>
      </c>
      <c r="EL52" s="13">
        <f t="shared" si="45"/>
        <v>25.657919091313282</v>
      </c>
      <c r="EM52" s="20">
        <f t="shared" si="19"/>
        <v>209.35132741737064</v>
      </c>
      <c r="EN52" s="59">
        <f t="shared" si="20"/>
        <v>502.68466075070398</v>
      </c>
      <c r="EO52" s="59">
        <f ca="1">AVERAGE(OFFSET($EN$3,0,0,'Données projet'!$E$15+1,1))-AVERAGE(OFFSET($H$3,0,0,'Données projet'!$E$15+1,1))</f>
        <v>232.99870507181964</v>
      </c>
      <c r="EP52" s="59">
        <f t="shared" si="46"/>
        <v>140.07662669226278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8.1999999999999993</v>
      </c>
      <c r="FE52" s="12">
        <f>IF('Données projet'!$A$218&gt;35,FE51+FD52-FM51,IF(A52&lt;'Données projet'!$A$218,$FB$205^A52,IF(A52='Données projet'!$A$218,'Données projet'!$B$218,FE51+FD52-FM51)))</f>
        <v>193.79999999999995</v>
      </c>
      <c r="FF52" s="17">
        <f>FE52*VLOOKUP('Données projet'!$B$16,Paramètres!$A$1:$I$89,3,0)*VLOOKUP('Données projet'!$B$16,Paramètres!$A$1:$I$89,5,0)</f>
        <v>151.16399999999996</v>
      </c>
      <c r="FG52" s="13">
        <f t="shared" si="47"/>
        <v>38.842989674159945</v>
      </c>
      <c r="FH52" s="20">
        <f t="shared" si="22"/>
        <v>330.92884034916182</v>
      </c>
      <c r="FI52" s="59">
        <f t="shared" si="23"/>
        <v>624.26217368249513</v>
      </c>
      <c r="FJ52" s="59">
        <f ca="1">AVERAGE(OFFSET($FI$3,0,0,'Données projet'!$E$16+1,1))-AVERAGE(OFFSET($H$3,0,0,'Données projet'!$E$16+1,1))</f>
        <v>193.47609744163839</v>
      </c>
      <c r="FK52" s="59">
        <f t="shared" si="48"/>
        <v>170.3221892406973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</v>
      </c>
      <c r="FR52" s="21">
        <f>EXP(-LN(2)/25)*FR51+(1-EXP(-LN(2)/25))/(LN(2)/25)*Calculateur!FM52*Calculateur!FO52*VLOOKUP('Données projet'!$B$16,Paramètres!$A$1:$I$89,3,0)*0.475*44/12</f>
        <v>12.599061138805309</v>
      </c>
      <c r="FS52" s="21">
        <f>EXP(-LN(2)/2)*FS51+(1-EXP(-LN(2)/2))/(LN(2)/2)*FM52*FP52*VLOOKUP('Données projet'!$B$16,Paramètres!$A$1:$I$89,3,0)*0.475*44/12</f>
        <v>2.0483104441241755</v>
      </c>
      <c r="FT52" s="22">
        <f t="shared" si="24"/>
        <v>14.647371582929484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9.75</v>
      </c>
      <c r="FZ52" s="12">
        <f>IF('Données projet'!$A$244&gt;35,FZ51+FY52-GH51,IF(A52&lt;'Données projet'!$A$244,$FW$205^A52,IF(A52='Données projet'!$A$244,'Données projet'!$B$244,FZ51+FY52-GH51)))</f>
        <v>196.75</v>
      </c>
      <c r="GA52" s="17">
        <f>FZ52*VLOOKUP('Données projet'!$B$17,Paramètres!$A$1:$I$89,3,0)*VLOOKUP('Données projet'!$B$17,Paramètres!$A$1:$I$89,5,0)</f>
        <v>107.42549999999999</v>
      </c>
      <c r="GB52" s="13">
        <f t="shared" si="49"/>
        <v>28.723578766421284</v>
      </c>
      <c r="GC52" s="20">
        <f t="shared" si="25"/>
        <v>237.12631218485038</v>
      </c>
      <c r="GD52" s="59">
        <f t="shared" si="26"/>
        <v>530.45964551818372</v>
      </c>
      <c r="GE52" s="59">
        <f ca="1">AVERAGE(OFFSET($GD$3,0,0,'Données projet'!$E$17+1,1))-AVERAGE(OFFSET($H$3,0,0,'Données projet'!$E$17+1,1))</f>
        <v>153.43773674911449</v>
      </c>
      <c r="GF52" s="59">
        <f t="shared" si="50"/>
        <v>235.49395036616602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37.354371443663545</v>
      </c>
      <c r="GM52" s="21">
        <f>EXP(-LN(2)/25)*GM51+(1-EXP(-LN(2)/25))/(LN(2)/25)*Calculateur!GH52*Calculateur!GJ52*VLOOKUP('Données projet'!$B$17,Paramètres!$A$1:$I$89,3,0)*0.475*44/12</f>
        <v>62.955792688765278</v>
      </c>
      <c r="GN52" s="21">
        <f>EXP(-LN(2)/2)*GN51+(1-EXP(-LN(2)/2))/(LN(2)/2)*GH52*GK52*VLOOKUP('Données projet'!$B$17,Paramètres!$A$1:$I$89,3,0)*0.475*44/12</f>
        <v>0</v>
      </c>
      <c r="GO52" s="21">
        <f t="shared" si="27"/>
        <v>100.31016413242882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8.1999999999999993</v>
      </c>
      <c r="GU52" s="12">
        <f>IF('Données projet'!$A$270&gt;35,GU51+GT52-HC51,IF(A52&lt;'Données projet'!$A$270,$GR$205^A52,IF(A52='Données projet'!$A$270,'Données projet'!$B$270,GU51+GT52-HC51)))</f>
        <v>193.79999999999995</v>
      </c>
      <c r="GV52" s="17">
        <f>GU52*VLOOKUP('Données projet'!$B$18,Paramètres!$A$1:$I$89,3,0)*VLOOKUP('Données projet'!$B$18,Paramètres!$A$1:$I$89,5,0)</f>
        <v>154.18727999999999</v>
      </c>
      <c r="GW52" s="13">
        <f t="shared" si="51"/>
        <v>39.528629863903078</v>
      </c>
      <c r="GX52" s="20">
        <f t="shared" si="28"/>
        <v>337.38854301296448</v>
      </c>
      <c r="GY52" s="59">
        <f t="shared" si="29"/>
        <v>630.72187634629779</v>
      </c>
      <c r="GZ52" s="59">
        <f ca="1">AVERAGE(OFFSET($GY$3,0,0,'Données projet'!$E$18+1,1))-AVERAGE(OFFSET($H$3,0,0,'Données projet'!$E$18+1,1))</f>
        <v>198.11534486400666</v>
      </c>
      <c r="HA52" s="59">
        <f t="shared" si="52"/>
        <v>174.29856796517652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>
        <f>EXP(-LN(2)/35)*HG51+(1-EXP(-LN(2)/35))/(LN(2)/35)*HC52*HD52*VLOOKUP('Données projet'!$B$18,Paramètres!$A$1:$I$89,3,0)*0.475*44/12</f>
        <v>0</v>
      </c>
      <c r="HH52" s="21">
        <f>EXP(-LN(2)/25)*HH51+(1-EXP(-LN(2)/25))/(LN(2)/25)*Calculateur!HC52*Calculateur!HE52*VLOOKUP('Données projet'!$B$18,Paramètres!$A$1:$I$89,3,0)*0.475*44/12</f>
        <v>15.839656864274767</v>
      </c>
      <c r="HI52" s="21">
        <f>EXP(-LN(2)/2)*HI51+(1-EXP(-LN(2)/2))/(LN(2)/2)*HC52*HF52*VLOOKUP('Données projet'!$B$18,Paramètres!$A$1:$I$89,3,0)*0.475*44/12</f>
        <v>2.0892766530066584</v>
      </c>
      <c r="HJ52" s="22">
        <f t="shared" si="30"/>
        <v>17.928933517281425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321</v>
      </c>
      <c r="L53" s="12">
        <f>VLOOKUP(A53,'Données projet'!$A$35:$I$55,9,0)</f>
        <v>9.5</v>
      </c>
      <c r="M53" s="12">
        <f t="array" ref="M53">INDEX(L:L,MIN(IF(ISNUMBER(L53:L249),ROW(L53:L249),"")))</f>
        <v>9.5</v>
      </c>
      <c r="N53" s="13">
        <f>IF('Données projet'!$A$36&gt;35,N52+M53-V52,IF(A53&lt;'Données projet'!$A$36,$K$205^A53,IF(A53='Données projet'!$A$36,'Données projet'!$B$36,N52+M53-V52)))</f>
        <v>321.00000000000011</v>
      </c>
      <c r="O53" s="13">
        <f>N53*VLOOKUP('Données projet'!$B$9,Paramètres!$A$1:$I$89,3,0)*VLOOKUP('Données projet'!$B$9,Paramètres!$A$1:$I$89,5,0)</f>
        <v>191.95800000000008</v>
      </c>
      <c r="P53" s="13">
        <f t="shared" si="33"/>
        <v>47.972580210954611</v>
      </c>
      <c r="Q53" s="20">
        <f t="shared" si="53"/>
        <v>417.87909386741279</v>
      </c>
      <c r="R53" s="59">
        <f t="shared" si="0"/>
        <v>711.21242720074611</v>
      </c>
      <c r="S53" s="59">
        <f ca="1">AVERAGE(OFFSET($R$3,0,0,'Données projet'!$E$9+1,1))-AVERAGE(OFFSET($H$3,0,0,'Données projet'!$E$9+1,1))</f>
        <v>295.19075440119076</v>
      </c>
      <c r="T53" s="59">
        <f t="shared" si="34"/>
        <v>173.0182327988216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25</v>
      </c>
      <c r="W53" s="16">
        <f>IF(ISNA(VLOOKUP(A53,'Données projet'!$A$35:$I$55,5,0)),0%,VLOOKUP(A53,'Données projet'!$A$35:$I$55,5,0)*VLOOKUP('Données projet'!$B$9,Paramètres!$A$1:$I$89,7,0))</f>
        <v>9.0000000000000011E-2</v>
      </c>
      <c r="X53" s="16">
        <f>IF(ISNA(VLOOKUP(A53,'Données projet'!$A$35:$I$55,6,0)),0%,VLOOKUP(A53,'Données projet'!$A$35:$I$55,6,0)*VLOOKUP('Données projet'!$B$9,Paramètres!$A$1:$I$89,7,0))</f>
        <v>0.36000000000000004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3.303103669018423</v>
      </c>
      <c r="AA53" s="21">
        <f>EXP(-LN(2)/25)*AA52+(1-EXP(-LN(2)/25))/(LN(2)/25)*Calculateur!V53*Calculateur!X53*VLOOKUP('Données projet'!$B$9,Paramètres!$A$1:$I$89,3,0)*0.475*44/12</f>
        <v>13.84422875112425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17.147332420142675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352</v>
      </c>
      <c r="AG53" s="12">
        <f>VLOOKUP(A53,'Données projet'!$A$61:$I$81,9,0)</f>
        <v>17.399999999999999</v>
      </c>
      <c r="AH53" s="12">
        <f t="array" ref="AH53">INDEX(AG:AG,MIN(IF(ISNUMBER(AG53:AG249),ROW(AG53:AG249),"")))</f>
        <v>17.399999999999999</v>
      </c>
      <c r="AI53" s="13">
        <f>IF('Données projet'!$A$62&gt;35,AI52+AH53-AQ52,IF(A53&lt;'Données projet'!$A$62,$AF$205^A53,IF(A53='Données projet'!$A$62,'Données projet'!$B$62,AI52+AH53-AQ52)))</f>
        <v>352.00000000000006</v>
      </c>
      <c r="AJ53" s="13">
        <f>AI53*VLOOKUP('Données projet'!$B$10,Paramètres!$A$1:$I$89,3,0)*VLOOKUP('Données projet'!$B$10,Paramètres!$A$1:$I$89,5,0)</f>
        <v>210.49600000000007</v>
      </c>
      <c r="AK53" s="13">
        <f t="shared" si="35"/>
        <v>52.043959291168512</v>
      </c>
      <c r="AL53" s="20">
        <f t="shared" si="4"/>
        <v>457.25709576545188</v>
      </c>
      <c r="AM53" s="59">
        <f t="shared" si="5"/>
        <v>750.59042909878519</v>
      </c>
      <c r="AN53" s="59">
        <f ca="1">AVERAGE(OFFSET($AM$3,0,0,'Données projet'!$E$10+1,1))-AVERAGE(OFFSET($H$3,0,0,'Données projet'!$E$10+1,1))</f>
        <v>294.45857786714919</v>
      </c>
      <c r="AO53" s="59">
        <f t="shared" si="36"/>
        <v>221.9773436301067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53</v>
      </c>
      <c r="AR53" s="16">
        <f>IF(ISNA(VLOOKUP(A53,'Données projet'!$A$61:$I$81,5,0)),0%,VLOOKUP(A53,'Données projet'!$A$61:$I$81,5,0)*VLOOKUP('Données projet'!$B$10,Paramètres!$A$1:$I$89,7,0))</f>
        <v>0.13500000000000001</v>
      </c>
      <c r="AS53" s="16">
        <f>IF(ISNA(VLOOKUP(A53,'Données projet'!$A$61:$I$81,6,0)),0%,VLOOKUP(A53,'Données projet'!$A$61:$I$81,6,0)*VLOOKUP('Données projet'!$B$10,Paramètres!$A$1:$I$89,7,0))</f>
        <v>0.315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15.045843181973311</v>
      </c>
      <c r="AV53" s="21">
        <f>EXP(-LN(2)/25)*AV52+(1-EXP(-LN(2)/25))/(LN(2)/25)*Calculateur!AQ53*Calculateur!AS53*VLOOKUP('Données projet'!$B$10,Paramètres!$A$1:$I$89,3,0)*0.475*44/12</f>
        <v>44.858216472069728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59.904059654043039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128.85599999999999</v>
      </c>
      <c r="BF53" s="13">
        <f t="shared" si="37"/>
        <v>33.731878688740906</v>
      </c>
      <c r="BG53" s="20">
        <f t="shared" si="7"/>
        <v>283.1738887162237</v>
      </c>
      <c r="BH53" s="59">
        <f t="shared" si="8"/>
        <v>576.50722204955696</v>
      </c>
      <c r="BI53" s="59">
        <f ca="1">AVERAGE(OFFSET($BH$3,0,0,'Données projet'!$E$11+1,1))-AVERAGE(OFFSET($H$3,0,0,'Données projet'!$E$11+1,1))</f>
        <v>179.44051550872138</v>
      </c>
      <c r="BJ53" s="59">
        <f t="shared" si="38"/>
        <v>272.9500808380069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41.853571432651613</v>
      </c>
      <c r="BQ53" s="21">
        <f>EXP(-LN(2)/25)*BQ52+(1-EXP(-LN(2)/25))/(LN(2)/25)*Calculateur!BL53*Calculateur!BN53*VLOOKUP('Données projet'!$B$11,Paramètres!$A$1:$I$89,3,0)*0.475*44/12</f>
        <v>69.982015116559708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111.83558654921131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335</v>
      </c>
      <c r="BW53" s="12">
        <f>VLOOKUP(A53,'Données projet'!$A$113:$I$133,9,0)</f>
        <v>11.5</v>
      </c>
      <c r="BX53" s="12">
        <f t="array" ref="BX53">INDEX(BW:BW,MIN(IF(ISNUMBER(BW53:BW249),ROW(BW53:BW249),"")))</f>
        <v>11.5</v>
      </c>
      <c r="BY53" s="12">
        <f>IF('Données projet'!$A$114&gt;35,BY52+BX53-CG52,IF(A53&lt;'Données projet'!$A$114,$BV$205^A53,IF(A53='Données projet'!$A$114,'Données projet'!$B$114,BY52+BX53-CG52)))</f>
        <v>334.99999999999989</v>
      </c>
      <c r="BZ53" s="13">
        <f>BY53*VLOOKUP('Données projet'!$B$12,Paramètres!$A$1:$I$89,3,0)*VLOOKUP('Données projet'!$B$12,Paramètres!$A$1:$I$89,5,0)</f>
        <v>156.77999999999994</v>
      </c>
      <c r="CA53" s="13">
        <f t="shared" si="39"/>
        <v>40.115378305457938</v>
      </c>
      <c r="CB53" s="20">
        <f t="shared" si="10"/>
        <v>342.92611721533916</v>
      </c>
      <c r="CC53" s="59">
        <f t="shared" si="11"/>
        <v>636.25945054867248</v>
      </c>
      <c r="CD53" s="59">
        <f ca="1">AVERAGE(OFFSET($CC$3,0,0,'Données projet'!$E$12+1,1))-AVERAGE(OFFSET($H$3,0,0,'Données projet'!$E$12+1,1))</f>
        <v>259.87681411271632</v>
      </c>
      <c r="CE53" s="59">
        <f t="shared" si="40"/>
        <v>191.8684235641158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67</v>
      </c>
      <c r="CH53" s="16">
        <f>IF(ISNA(VLOOKUP(A53,'Données projet'!$A$113:$I$133,5,0)),0%,VLOOKUP(A53,'Données projet'!$A$113:$I$133,5,0)*VLOOKUP('Données projet'!$B$12,Paramètres!$A$1:$I$89,7,0))</f>
        <v>0.16500000000000001</v>
      </c>
      <c r="CI53" s="16">
        <f>IF(ISNA(VLOOKUP(A53,'Données projet'!$A$113:$I$133,6,0)),0%,VLOOKUP(A53,'Données projet'!$A$113:$I$133,6,0)*VLOOKUP('Données projet'!$B$12,Paramètres!$A$1:$I$89,7,0))</f>
        <v>0.38500000000000001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10.955557103842299</v>
      </c>
      <c r="CL53" s="21">
        <f>EXP(-LN(2)/25)*CL52+(1-EXP(-LN(2)/25))/(LN(2)/25)*Calculateur!CG53*Calculateur!CI53*VLOOKUP('Données projet'!$B$12,Paramètres!$A$1:$I$89,3,0)*0.475*44/12</f>
        <v>39.765632402641209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50.721189506483512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202</v>
      </c>
      <c r="CR53" s="12">
        <f>VLOOKUP(A53,'Données projet'!$A$139:$I$159,9,0)</f>
        <v>8.1999999999999993</v>
      </c>
      <c r="CS53" s="12">
        <f t="array" ref="CS53">INDEX(CR:CR,MIN(IF(ISNUMBER(CR53:CR249),ROW(CR53:CR249),"")))</f>
        <v>8.1999999999999993</v>
      </c>
      <c r="CT53" s="12">
        <f>IF('Données projet'!$A$140&gt;35,CT52+CS53-DB52,IF(A53&lt;'Données projet'!$A$140,$CQ$205^A53,IF(A53='Données projet'!$A$140,'Données projet'!$B$140,CT52+CS53-DB52)))</f>
        <v>201.99999999999994</v>
      </c>
      <c r="CU53" s="17">
        <f>CT53*VLOOKUP('Données projet'!$B$13,Paramètres!$A$1:$I$89,3,0)*VLOOKUP('Données projet'!$B$13,Paramètres!$A$1:$I$89,5,0)</f>
        <v>160.71119999999996</v>
      </c>
      <c r="CV53" s="13">
        <f t="shared" si="41"/>
        <v>41.002887121655327</v>
      </c>
      <c r="CW53" s="20">
        <f t="shared" si="13"/>
        <v>351.31870173688299</v>
      </c>
      <c r="CX53" s="59">
        <f t="shared" si="14"/>
        <v>644.65203507021624</v>
      </c>
      <c r="CY53" s="59">
        <f ca="1">AVERAGE(OFFSET($CX$3,0,0,'Données projet'!$E$13+1,1))-AVERAGE(OFFSET($H$3,0,0,'Données projet'!$E$13+1,1))</f>
        <v>198.11534486400666</v>
      </c>
      <c r="CZ53" s="59">
        <f t="shared" si="42"/>
        <v>174.29856796517652</v>
      </c>
      <c r="DA53" s="15">
        <f>IF(ISNA(VLOOKUP(A53,'Données projet'!$A$139:$I$159,3,0)),0,VLOOKUP(A53,'Données projet'!$A$139:$I$159,3,0))</f>
        <v>7</v>
      </c>
      <c r="DB53" s="15">
        <f>IF(ISNA(VLOOKUP(A53,'Données projet'!$A$139:$I$159,4,0)),0,VLOOKUP(A53,'Données projet'!$A$139:$I$159,4,0))</f>
        <v>17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0.21200000000000002</v>
      </c>
      <c r="DE53" s="16">
        <f>IF(ISNA(VLOOKUP(A53,'Données projet'!$A$139:$I$159,7,0)),0%,VLOOKUP(A53,'Données projet'!$A$139:$I$159,7,0))</f>
        <v>0.4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18.563802144401727</v>
      </c>
      <c r="DH53" s="21">
        <f>EXP(-LN(2)/2)*DH52+(1-EXP(-LN(2)/2))/(LN(2)/2)*DB53*DE53*VLOOKUP('Données projet'!$B$13,Paramètres!$A$1:$I$89,3,0)*0.475*44/12</f>
        <v>6.5818977792840609</v>
      </c>
      <c r="DI53" s="22">
        <f t="shared" si="15"/>
        <v>25.14569992368579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5.75</v>
      </c>
      <c r="DO53" s="12">
        <f>IF('Données projet'!$A$166&gt;35,DO52+DN53-DW52,IF(A53&lt;'Données projet'!$A$166,$DL$205^A53,IF(A53='Données projet'!$A$166,'Données projet'!$B$166,DO52+DN53-DW52)))</f>
        <v>103.50000000000001</v>
      </c>
      <c r="DP53" s="17">
        <f>DO53*VLOOKUP('Données projet'!$B$14,Paramètres!$A$1:$I$89,3,0)*VLOOKUP('Données projet'!$B$14,Paramètres!$A$1:$I$89,5,0)</f>
        <v>104.94900000000001</v>
      </c>
      <c r="DQ53" s="13">
        <f t="shared" si="43"/>
        <v>28.137693523665153</v>
      </c>
      <c r="DR53" s="20">
        <f t="shared" si="16"/>
        <v>231.79265788705015</v>
      </c>
      <c r="DS53" s="59">
        <f t="shared" si="17"/>
        <v>525.12599122038341</v>
      </c>
      <c r="DT53" s="59">
        <f ca="1">AVERAGE(OFFSET($DS$3,0,0,'Données projet'!$E$14+1,1))-AVERAGE(OFFSET($H$3,0,0,'Données projet'!$E$14+1,1))</f>
        <v>247.92503505485405</v>
      </c>
      <c r="DU53" s="59">
        <f t="shared" si="44"/>
        <v>148.26437652597514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0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5.75</v>
      </c>
      <c r="EJ53" s="12">
        <f>IF('Données projet'!$A$192&gt;35,EJ52+EI53-ER52,IF(A53&lt;'Données projet'!$A$192,$EG$205^A53,IF(A53='Données projet'!$A$192,'Données projet'!$B$192,EJ52+EI53-ER52)))</f>
        <v>103.50000000000001</v>
      </c>
      <c r="EK53" s="17">
        <f>EJ53*VLOOKUP('Données projet'!$B$15,Paramètres!$A$1:$I$89,3,0)*VLOOKUP('Données projet'!$B$15,Paramètres!$A$1:$I$89,5,0)</f>
        <v>100.10520000000001</v>
      </c>
      <c r="EL53" s="13">
        <f t="shared" si="45"/>
        <v>26.987058463795307</v>
      </c>
      <c r="EM53" s="20">
        <f t="shared" si="19"/>
        <v>221.35235015777684</v>
      </c>
      <c r="EN53" s="59">
        <f t="shared" si="20"/>
        <v>514.68568349111013</v>
      </c>
      <c r="EO53" s="59">
        <f ca="1">AVERAGE(OFFSET($EN$3,0,0,'Données projet'!$E$15+1,1))-AVERAGE(OFFSET($H$3,0,0,'Données projet'!$E$15+1,1))</f>
        <v>232.99870507181964</v>
      </c>
      <c r="EP53" s="59">
        <f t="shared" si="46"/>
        <v>140.07662669226278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>
        <f>VLOOKUP(A53,'Données projet'!$A$217:$I$237,2,0)</f>
        <v>202</v>
      </c>
      <c r="FC53" s="12">
        <f>VLOOKUP(A53,'Données projet'!$A$217:$I$237,9,0)</f>
        <v>8.1999999999999993</v>
      </c>
      <c r="FD53" s="12">
        <f t="array" ref="FD53">INDEX(FC:FC,MIN(IF(ISNUMBER(FC53:FC249),ROW(FC53:FC249),"")))</f>
        <v>8.1999999999999993</v>
      </c>
      <c r="FE53" s="12">
        <f>IF('Données projet'!$A$218&gt;35,FE52+FD53-FM52,IF(A53&lt;'Données projet'!$A$218,$FB$205^A53,IF(A53='Données projet'!$A$218,'Données projet'!$B$218,FE52+FD53-FM52)))</f>
        <v>201.99999999999994</v>
      </c>
      <c r="FF53" s="17">
        <f>FE53*VLOOKUP('Données projet'!$B$16,Paramètres!$A$1:$I$89,3,0)*VLOOKUP('Données projet'!$B$16,Paramètres!$A$1:$I$89,5,0)</f>
        <v>157.55999999999997</v>
      </c>
      <c r="FG53" s="13">
        <f t="shared" si="47"/>
        <v>40.291675339134621</v>
      </c>
      <c r="FH53" s="20">
        <f t="shared" si="22"/>
        <v>344.59166788232613</v>
      </c>
      <c r="FI53" s="59">
        <f t="shared" si="23"/>
        <v>637.92500121565945</v>
      </c>
      <c r="FJ53" s="59">
        <f ca="1">AVERAGE(OFFSET($FI$3,0,0,'Données projet'!$E$16+1,1))-AVERAGE(OFFSET($H$3,0,0,'Données projet'!$E$16+1,1))</f>
        <v>193.47609744163839</v>
      </c>
      <c r="FK53" s="59">
        <f t="shared" si="48"/>
        <v>170.3221892406973</v>
      </c>
      <c r="FL53" s="15">
        <f>IF(ISNA(VLOOKUP(A53,'Données projet'!$A$217:$I$237,3,0)),0,VLOOKUP(A53,'Données projet'!$A$217:$I$237,3,0))</f>
        <v>7</v>
      </c>
      <c r="FM53" s="15">
        <f>IF(ISNA(VLOOKUP(A53,'Données projet'!$A$217:$I$237,4,0)),0,VLOOKUP(A53,'Données projet'!$A$217:$I$237,4,0))</f>
        <v>17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0.17200000000000001</v>
      </c>
      <c r="FP53" s="16">
        <f>IF(ISNA(VLOOKUP(A53,'Données projet'!$A$217:$I$237,7,0)),0%,VLOOKUP(A53,'Données projet'!$A$217:$I$237,7,0))</f>
        <v>0.4</v>
      </c>
      <c r="FQ53" s="21">
        <f>EXP(-LN(2)/35)*FQ52+(1-EXP(-LN(2)/35))/(LN(2)/35)*FM53*FN53*VLOOKUP('Données projet'!$B$16,Paramètres!$A$1:$I$89,3,0)*0.475*44/12</f>
        <v>0</v>
      </c>
      <c r="FR53" s="21">
        <f>EXP(-LN(2)/25)*FR52+(1-EXP(-LN(2)/25))/(LN(2)/25)*Calculateur!FM53*Calculateur!FO53*VLOOKUP('Données projet'!$B$16,Paramètres!$A$1:$I$89,3,0)*0.475*44/12</f>
        <v>14.76588035903208</v>
      </c>
      <c r="FS53" s="21">
        <f>EXP(-LN(2)/2)*FS52+(1-EXP(-LN(2)/2))/(LN(2)/2)*FM53*FP53*VLOOKUP('Données projet'!$B$16,Paramètres!$A$1:$I$89,3,0)*0.475*44/12</f>
        <v>6.4528409600824128</v>
      </c>
      <c r="FT53" s="22">
        <f t="shared" si="24"/>
        <v>21.218721319114493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9.75</v>
      </c>
      <c r="FZ53" s="12">
        <f>IF('Données projet'!$A$244&gt;35,FZ52+FY53-GH52,IF(A53&lt;'Données projet'!$A$244,$FW$205^A53,IF(A53='Données projet'!$A$244,'Données projet'!$B$244,FZ52+FY53-GH52)))</f>
        <v>206.5</v>
      </c>
      <c r="GA53" s="17">
        <f>FZ53*VLOOKUP('Données projet'!$B$17,Paramètres!$A$1:$I$89,3,0)*VLOOKUP('Données projet'!$B$17,Paramètres!$A$1:$I$89,5,0)</f>
        <v>112.749</v>
      </c>
      <c r="GB53" s="13">
        <f t="shared" si="49"/>
        <v>29.977737020610768</v>
      </c>
      <c r="GC53" s="20">
        <f t="shared" si="25"/>
        <v>248.58240031089704</v>
      </c>
      <c r="GD53" s="59">
        <f t="shared" si="26"/>
        <v>541.91573364423039</v>
      </c>
      <c r="GE53" s="59">
        <f ca="1">AVERAGE(OFFSET($GD$3,0,0,'Données projet'!$E$17+1,1))-AVERAGE(OFFSET($H$3,0,0,'Données projet'!$E$17+1,1))</f>
        <v>153.43773674911449</v>
      </c>
      <c r="GF53" s="59">
        <f t="shared" si="50"/>
        <v>235.49395036616602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36.62187500357016</v>
      </c>
      <c r="GM53" s="21">
        <f>EXP(-LN(2)/25)*GM52+(1-EXP(-LN(2)/25))/(LN(2)/25)*Calculateur!GH53*Calculateur!GJ53*VLOOKUP('Données projet'!$B$17,Paramètres!$A$1:$I$89,3,0)*0.475*44/12</f>
        <v>61.234263226989739</v>
      </c>
      <c r="GN53" s="21">
        <f>EXP(-LN(2)/2)*GN52+(1-EXP(-LN(2)/2))/(LN(2)/2)*GH53*GK53*VLOOKUP('Données projet'!$B$17,Paramètres!$A$1:$I$89,3,0)*0.475*44/12</f>
        <v>0</v>
      </c>
      <c r="GO53" s="21">
        <f t="shared" si="27"/>
        <v>97.856138230559907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>
        <f>VLOOKUP(A53,'Données projet'!$A$269:$I$289,2,0)</f>
        <v>202</v>
      </c>
      <c r="GS53" s="12">
        <f>VLOOKUP(A53,'Données projet'!$A$269:$I$289,9,0)</f>
        <v>8.1999999999999993</v>
      </c>
      <c r="GT53" s="12">
        <f t="array" ref="GT53">INDEX(GS:GS,MIN(IF(ISNUMBER(GS53:GS249),ROW(GS53:GS249),"")))</f>
        <v>8.1999999999999993</v>
      </c>
      <c r="GU53" s="12">
        <f>IF('Données projet'!$A$270&gt;35,GU52+GT53-HC52,IF(A53&lt;'Données projet'!$A$270,$GR$205^A53,IF(A53='Données projet'!$A$270,'Données projet'!$B$270,GU52+GT53-HC52)))</f>
        <v>201.99999999999994</v>
      </c>
      <c r="GV53" s="17">
        <f>GU53*VLOOKUP('Données projet'!$B$18,Paramètres!$A$1:$I$89,3,0)*VLOOKUP('Données projet'!$B$18,Paramètres!$A$1:$I$89,5,0)</f>
        <v>160.71119999999996</v>
      </c>
      <c r="GW53" s="13">
        <f t="shared" si="51"/>
        <v>41.002887121655327</v>
      </c>
      <c r="GX53" s="20">
        <f t="shared" si="28"/>
        <v>351.31870173688299</v>
      </c>
      <c r="GY53" s="59">
        <f t="shared" si="29"/>
        <v>644.65203507021624</v>
      </c>
      <c r="GZ53" s="59">
        <f ca="1">AVERAGE(OFFSET($GY$3,0,0,'Données projet'!$E$18+1,1))-AVERAGE(OFFSET($H$3,0,0,'Données projet'!$E$18+1,1))</f>
        <v>198.11534486400666</v>
      </c>
      <c r="HA53" s="59">
        <f t="shared" si="52"/>
        <v>174.29856796517652</v>
      </c>
      <c r="HB53" s="15">
        <f>IF(ISNA(VLOOKUP(A53,'Données projet'!$A$269:$I$289,3,0)),0,VLOOKUP(A53,'Données projet'!$A$269:$I$289,3,0))</f>
        <v>7</v>
      </c>
      <c r="HC53" s="15">
        <f>IF(ISNA(VLOOKUP(A53,'Données projet'!$A$269:$I$289,4,0)),0,VLOOKUP(A53,'Données projet'!$A$269:$I$289,4,0))</f>
        <v>17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0.21200000000000002</v>
      </c>
      <c r="HF53" s="16">
        <f>IF(ISNA(VLOOKUP(A53,'Données projet'!$A$269:$I$289,7,0)),0%,VLOOKUP(A53,'Données projet'!$A$269:$I$289,7,0))</f>
        <v>0.4</v>
      </c>
      <c r="HG53" s="21">
        <f>EXP(-LN(2)/35)*HG52+(1-EXP(-LN(2)/35))/(LN(2)/35)*HC53*HD53*VLOOKUP('Données projet'!$B$18,Paramètres!$A$1:$I$89,3,0)*0.475*44/12</f>
        <v>0</v>
      </c>
      <c r="HH53" s="21">
        <f>EXP(-LN(2)/25)*HH52+(1-EXP(-LN(2)/25))/(LN(2)/25)*Calculateur!HC53*Calculateur!HE53*VLOOKUP('Données projet'!$B$18,Paramètres!$A$1:$I$89,3,0)*0.475*44/12</f>
        <v>18.563802144401727</v>
      </c>
      <c r="HI53" s="21">
        <f>EXP(-LN(2)/2)*HI52+(1-EXP(-LN(2)/2))/(LN(2)/2)*HC53*HF53*VLOOKUP('Données projet'!$B$18,Paramètres!$A$1:$I$89,3,0)*0.475*44/12</f>
        <v>6.5818977792840609</v>
      </c>
      <c r="HJ53" s="22">
        <f t="shared" si="30"/>
        <v>25.14569992368579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8.3000000000000007</v>
      </c>
      <c r="N54" s="13">
        <f>IF('Données projet'!$A$36&gt;35,N53+M54-V53,IF(A54&lt;'Données projet'!$A$36,$K$205^A54,IF(A54='Données projet'!$A$36,'Données projet'!$B$36,N53+M54-V53)))</f>
        <v>304.30000000000013</v>
      </c>
      <c r="O54" s="13">
        <f>N54*VLOOKUP('Données projet'!$B$9,Paramètres!$A$1:$I$89,3,0)*VLOOKUP('Données projet'!$B$9,Paramètres!$A$1:$I$89,5,0)</f>
        <v>181.9714000000001</v>
      </c>
      <c r="P54" s="13">
        <f t="shared" si="33"/>
        <v>45.760507906331149</v>
      </c>
      <c r="Q54" s="20">
        <f t="shared" si="53"/>
        <v>396.63307293686029</v>
      </c>
      <c r="R54" s="59">
        <f t="shared" si="0"/>
        <v>689.9664062701936</v>
      </c>
      <c r="S54" s="59">
        <f ca="1">AVERAGE(OFFSET($R$3,0,0,'Données projet'!$E$9+1,1))-AVERAGE(OFFSET($H$3,0,0,'Données projet'!$E$9+1,1))</f>
        <v>295.19075440119076</v>
      </c>
      <c r="T54" s="59">
        <f t="shared" si="34"/>
        <v>173.0182327988216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3.2383318207632752</v>
      </c>
      <c r="AA54" s="21">
        <f>EXP(-LN(2)/25)*AA53+(1-EXP(-LN(2)/25))/(LN(2)/25)*Calculateur!V54*Calculateur!X54*VLOOKUP('Données projet'!$B$9,Paramètres!$A$1:$I$89,3,0)*0.475*44/12</f>
        <v>13.465657587888408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16.703989408651683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17.625</v>
      </c>
      <c r="AI54" s="13">
        <f>IF('Données projet'!$A$62&gt;35,AI53+AH54-AQ53,IF(A54&lt;'Données projet'!$A$62,$AF$205^A54,IF(A54='Données projet'!$A$62,'Données projet'!$B$62,AI53+AH54-AQ53)))</f>
        <v>316.62500000000006</v>
      </c>
      <c r="AJ54" s="13">
        <f>AI54*VLOOKUP('Données projet'!$B$10,Paramètres!$A$1:$I$89,3,0)*VLOOKUP('Données projet'!$B$10,Paramètres!$A$1:$I$89,5,0)</f>
        <v>189.34175000000005</v>
      </c>
      <c r="AK54" s="13">
        <f t="shared" si="35"/>
        <v>47.394393740797966</v>
      </c>
      <c r="AL54" s="20">
        <f t="shared" si="4"/>
        <v>412.31545034855657</v>
      </c>
      <c r="AM54" s="59">
        <f t="shared" si="5"/>
        <v>705.64878368188988</v>
      </c>
      <c r="AN54" s="59">
        <f ca="1">AVERAGE(OFFSET($AM$3,0,0,'Données projet'!$E$10+1,1))-AVERAGE(OFFSET($H$3,0,0,'Données projet'!$E$10+1,1))</f>
        <v>294.45857786714919</v>
      </c>
      <c r="AO54" s="59">
        <f t="shared" si="36"/>
        <v>221.9773436301067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14.750803374232996</v>
      </c>
      <c r="AV54" s="21">
        <f>EXP(-LN(2)/25)*AV53+(1-EXP(-LN(2)/25))/(LN(2)/25)*Calculateur!AQ54*Calculateur!AS54*VLOOKUP('Données projet'!$B$10,Paramètres!$A$1:$I$89,3,0)*0.475*44/12</f>
        <v>43.631566183649902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58.382369557882896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134.94</v>
      </c>
      <c r="BF54" s="13">
        <f t="shared" si="37"/>
        <v>35.135358771568036</v>
      </c>
      <c r="BG54" s="20">
        <f t="shared" si="7"/>
        <v>296.21458319381429</v>
      </c>
      <c r="BH54" s="59">
        <f t="shared" si="8"/>
        <v>589.54791652714766</v>
      </c>
      <c r="BI54" s="59">
        <f ca="1">AVERAGE(OFFSET($BH$3,0,0,'Données projet'!$E$11+1,1))-AVERAGE(OFFSET($H$3,0,0,'Données projet'!$E$11+1,1))</f>
        <v>179.44051550872138</v>
      </c>
      <c r="BJ54" s="59">
        <f t="shared" si="38"/>
        <v>272.9500808380069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41.032848425015196</v>
      </c>
      <c r="BQ54" s="21">
        <f>EXP(-LN(2)/25)*BQ53+(1-EXP(-LN(2)/25))/(LN(2)/25)*Calculateur!BL54*Calculateur!BN54*VLOOKUP('Données projet'!$B$11,Paramètres!$A$1:$I$89,3,0)*0.475*44/12</f>
        <v>68.068353233003151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109.10120165801834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13.5</v>
      </c>
      <c r="BY54" s="12">
        <f>IF('Données projet'!$A$114&gt;35,BY53+BX54-CG53,IF(A54&lt;'Données projet'!$A$114,$BV$205^A54,IF(A54='Données projet'!$A$114,'Données projet'!$B$114,BY53+BX54-CG53)))</f>
        <v>281.49999999999989</v>
      </c>
      <c r="BZ54" s="13">
        <f>BY54*VLOOKUP('Données projet'!$B$12,Paramètres!$A$1:$I$89,3,0)*VLOOKUP('Données projet'!$B$12,Paramètres!$A$1:$I$89,5,0)</f>
        <v>131.74199999999996</v>
      </c>
      <c r="CA54" s="13">
        <f t="shared" si="39"/>
        <v>34.398572019120941</v>
      </c>
      <c r="CB54" s="20">
        <f t="shared" si="10"/>
        <v>289.36149626663558</v>
      </c>
      <c r="CC54" s="59">
        <f t="shared" si="11"/>
        <v>582.6948295999689</v>
      </c>
      <c r="CD54" s="59">
        <f ca="1">AVERAGE(OFFSET($CC$3,0,0,'Données projet'!$E$12+1,1))-AVERAGE(OFFSET($H$3,0,0,'Données projet'!$E$12+1,1))</f>
        <v>259.87681411271632</v>
      </c>
      <c r="CE54" s="59">
        <f t="shared" si="40"/>
        <v>191.8684235641158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10.740725311265969</v>
      </c>
      <c r="CL54" s="21">
        <f>EXP(-LN(2)/25)*CL53+(1-EXP(-LN(2)/25))/(LN(2)/25)*Calculateur!CG54*Calculateur!CI54*VLOOKUP('Données projet'!$B$12,Paramètres!$A$1:$I$89,3,0)*0.475*44/12</f>
        <v>38.678239093407264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49.418964404673233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6.8</v>
      </c>
      <c r="CT54" s="12">
        <f>IF('Données projet'!$A$140&gt;35,CT53+CS54-DB53,IF(A54&lt;'Données projet'!$A$140,$CQ$205^A54,IF(A54='Données projet'!$A$140,'Données projet'!$B$140,CT53+CS54-DB53)))</f>
        <v>191.79999999999995</v>
      </c>
      <c r="CU54" s="17">
        <f>CT54*VLOOKUP('Données projet'!$B$13,Paramètres!$A$1:$I$89,3,0)*VLOOKUP('Données projet'!$B$13,Paramètres!$A$1:$I$89,5,0)</f>
        <v>152.59607999999997</v>
      </c>
      <c r="CV54" s="13">
        <f t="shared" si="41"/>
        <v>39.167963646360036</v>
      </c>
      <c r="CW54" s="20">
        <f t="shared" si="13"/>
        <v>333.98904268407699</v>
      </c>
      <c r="CX54" s="59">
        <f t="shared" si="14"/>
        <v>627.32237601741031</v>
      </c>
      <c r="CY54" s="59">
        <f ca="1">AVERAGE(OFFSET($CX$3,0,0,'Données projet'!$E$13+1,1))-AVERAGE(OFFSET($H$3,0,0,'Données projet'!$E$13+1,1))</f>
        <v>198.11534486400666</v>
      </c>
      <c r="CZ54" s="59">
        <f t="shared" si="42"/>
        <v>174.29856796517652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18.056173998535137</v>
      </c>
      <c r="DH54" s="21">
        <f>EXP(-LN(2)/2)*DH53+(1-EXP(-LN(2)/2))/(LN(2)/2)*DB54*DE54*VLOOKUP('Données projet'!$B$13,Paramètres!$A$1:$I$89,3,0)*0.475*44/12</f>
        <v>4.6541045528084375</v>
      </c>
      <c r="DI54" s="22">
        <f t="shared" si="15"/>
        <v>22.710278551343574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5.75</v>
      </c>
      <c r="DO54" s="12">
        <f>IF('Données projet'!$A$166&gt;35,DO53+DN54-DW53,IF(A54&lt;'Données projet'!$A$166,$DL$205^A54,IF(A54='Données projet'!$A$166,'Données projet'!$B$166,DO53+DN54-DW53)))</f>
        <v>109.25000000000001</v>
      </c>
      <c r="DP54" s="17">
        <f>DO54*VLOOKUP('Données projet'!$B$14,Paramètres!$A$1:$I$89,3,0)*VLOOKUP('Données projet'!$B$14,Paramètres!$A$1:$I$89,5,0)</f>
        <v>110.77950000000003</v>
      </c>
      <c r="DQ54" s="13">
        <f t="shared" si="43"/>
        <v>29.514565306741407</v>
      </c>
      <c r="DR54" s="20">
        <f t="shared" si="16"/>
        <v>244.34549707590796</v>
      </c>
      <c r="DS54" s="59">
        <f t="shared" si="17"/>
        <v>537.6788304092413</v>
      </c>
      <c r="DT54" s="59">
        <f ca="1">AVERAGE(OFFSET($DS$3,0,0,'Données projet'!$E$14+1,1))-AVERAGE(OFFSET($H$3,0,0,'Données projet'!$E$14+1,1))</f>
        <v>247.92503505485405</v>
      </c>
      <c r="DU54" s="59">
        <f t="shared" si="44"/>
        <v>148.26437652597514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0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5.75</v>
      </c>
      <c r="EJ54" s="12">
        <f>IF('Données projet'!$A$192&gt;35,EJ53+EI54-ER53,IF(A54&lt;'Données projet'!$A$192,$EG$205^A54,IF(A54='Données projet'!$A$192,'Données projet'!$B$192,EJ53+EI54-ER53)))</f>
        <v>109.25000000000001</v>
      </c>
      <c r="EK54" s="17">
        <f>EJ54*VLOOKUP('Données projet'!$B$15,Paramètres!$A$1:$I$89,3,0)*VLOOKUP('Données projet'!$B$15,Paramètres!$A$1:$I$89,5,0)</f>
        <v>105.66660000000003</v>
      </c>
      <c r="EL54" s="13">
        <f t="shared" si="45"/>
        <v>28.307625811498426</v>
      </c>
      <c r="EM54" s="20">
        <f t="shared" si="19"/>
        <v>233.3384432883598</v>
      </c>
      <c r="EN54" s="59">
        <f t="shared" si="20"/>
        <v>526.67177662169308</v>
      </c>
      <c r="EO54" s="59">
        <f ca="1">AVERAGE(OFFSET($EN$3,0,0,'Données projet'!$E$15+1,1))-AVERAGE(OFFSET($H$3,0,0,'Données projet'!$E$15+1,1))</f>
        <v>232.99870507181964</v>
      </c>
      <c r="EP54" s="59">
        <f t="shared" si="46"/>
        <v>140.07662669226278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6.8</v>
      </c>
      <c r="FE54" s="12">
        <f>IF('Données projet'!$A$218&gt;35,FE53+FD54-FM53,IF(A54&lt;'Données projet'!$A$218,$FB$205^A54,IF(A54='Données projet'!$A$218,'Données projet'!$B$218,FE53+FD54-FM53)))</f>
        <v>191.79999999999995</v>
      </c>
      <c r="FF54" s="17">
        <f>FE54*VLOOKUP('Données projet'!$B$16,Paramètres!$A$1:$I$89,3,0)*VLOOKUP('Données projet'!$B$16,Paramètres!$A$1:$I$89,5,0)</f>
        <v>149.60399999999996</v>
      </c>
      <c r="FG54" s="13">
        <f t="shared" si="47"/>
        <v>38.488579359102815</v>
      </c>
      <c r="FH54" s="20">
        <f t="shared" si="22"/>
        <v>327.59457571710396</v>
      </c>
      <c r="FI54" s="59">
        <f t="shared" si="23"/>
        <v>620.92790905043728</v>
      </c>
      <c r="FJ54" s="59">
        <f ca="1">AVERAGE(OFFSET($FI$3,0,0,'Données projet'!$E$16+1,1))-AVERAGE(OFFSET($H$3,0,0,'Données projet'!$E$16+1,1))</f>
        <v>193.47609744163839</v>
      </c>
      <c r="FK54" s="59">
        <f t="shared" si="48"/>
        <v>170.3221892406973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</v>
      </c>
      <c r="FR54" s="21">
        <f>EXP(-LN(2)/25)*FR53+(1-EXP(-LN(2)/25))/(LN(2)/25)*Calculateur!FM54*Calculateur!FO54*VLOOKUP('Données projet'!$B$16,Paramètres!$A$1:$I$89,3,0)*0.475*44/12</f>
        <v>14.362106584110448</v>
      </c>
      <c r="FS54" s="21">
        <f>EXP(-LN(2)/2)*FS53+(1-EXP(-LN(2)/2))/(LN(2)/2)*FM54*FP54*VLOOKUP('Données projet'!$B$16,Paramètres!$A$1:$I$89,3,0)*0.475*44/12</f>
        <v>4.562847600792586</v>
      </c>
      <c r="FT54" s="22">
        <f t="shared" si="24"/>
        <v>18.924954184903033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9.75</v>
      </c>
      <c r="FZ54" s="12">
        <f>IF('Données projet'!$A$244&gt;35,FZ53+FY54-GH53,IF(A54&lt;'Données projet'!$A$244,$FW$205^A54,IF(A54='Données projet'!$A$244,'Données projet'!$B$244,FZ53+FY54-GH53)))</f>
        <v>216.25</v>
      </c>
      <c r="GA54" s="17">
        <f>FZ54*VLOOKUP('Données projet'!$B$17,Paramètres!$A$1:$I$89,3,0)*VLOOKUP('Données projet'!$B$17,Paramètres!$A$1:$I$89,5,0)</f>
        <v>118.07250000000001</v>
      </c>
      <c r="GB54" s="13">
        <f t="shared" si="49"/>
        <v>31.225018775205122</v>
      </c>
      <c r="GC54" s="20">
        <f t="shared" si="25"/>
        <v>260.02651186681561</v>
      </c>
      <c r="GD54" s="59">
        <f t="shared" si="26"/>
        <v>553.35984520014892</v>
      </c>
      <c r="GE54" s="59">
        <f ca="1">AVERAGE(OFFSET($GD$3,0,0,'Données projet'!$E$17+1,1))-AVERAGE(OFFSET($H$3,0,0,'Données projet'!$E$17+1,1))</f>
        <v>153.43773674911449</v>
      </c>
      <c r="GF54" s="59">
        <f t="shared" si="50"/>
        <v>235.49395036616602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35.903742371888292</v>
      </c>
      <c r="GM54" s="21">
        <f>EXP(-LN(2)/25)*GM53+(1-EXP(-LN(2)/25))/(LN(2)/25)*Calculateur!GH54*Calculateur!GJ54*VLOOKUP('Données projet'!$B$17,Paramètres!$A$1:$I$89,3,0)*0.475*44/12</f>
        <v>59.559809078877755</v>
      </c>
      <c r="GN54" s="21">
        <f>EXP(-LN(2)/2)*GN53+(1-EXP(-LN(2)/2))/(LN(2)/2)*GH54*GK54*VLOOKUP('Données projet'!$B$17,Paramètres!$A$1:$I$89,3,0)*0.475*44/12</f>
        <v>0</v>
      </c>
      <c r="GO54" s="21">
        <f t="shared" si="27"/>
        <v>95.463551450766047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6.8</v>
      </c>
      <c r="GU54" s="12">
        <f>IF('Données projet'!$A$270&gt;35,GU53+GT54-HC53,IF(A54&lt;'Données projet'!$A$270,$GR$205^A54,IF(A54='Données projet'!$A$270,'Données projet'!$B$270,GU53+GT54-HC53)))</f>
        <v>191.79999999999995</v>
      </c>
      <c r="GV54" s="17">
        <f>GU54*VLOOKUP('Données projet'!$B$18,Paramètres!$A$1:$I$89,3,0)*VLOOKUP('Données projet'!$B$18,Paramètres!$A$1:$I$89,5,0)</f>
        <v>152.59607999999997</v>
      </c>
      <c r="GW54" s="13">
        <f t="shared" si="51"/>
        <v>39.167963646360036</v>
      </c>
      <c r="GX54" s="20">
        <f t="shared" si="28"/>
        <v>333.98904268407699</v>
      </c>
      <c r="GY54" s="59">
        <f t="shared" si="29"/>
        <v>627.32237601741031</v>
      </c>
      <c r="GZ54" s="59">
        <f ca="1">AVERAGE(OFFSET($GY$3,0,0,'Données projet'!$E$18+1,1))-AVERAGE(OFFSET($H$3,0,0,'Données projet'!$E$18+1,1))</f>
        <v>198.11534486400666</v>
      </c>
      <c r="HA54" s="59">
        <f t="shared" si="52"/>
        <v>174.29856796517652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>
        <f>EXP(-LN(2)/35)*HG53+(1-EXP(-LN(2)/35))/(LN(2)/35)*HC54*HD54*VLOOKUP('Données projet'!$B$18,Paramètres!$A$1:$I$89,3,0)*0.475*44/12</f>
        <v>0</v>
      </c>
      <c r="HH54" s="21">
        <f>EXP(-LN(2)/25)*HH53+(1-EXP(-LN(2)/25))/(LN(2)/25)*Calculateur!HC54*Calculateur!HE54*VLOOKUP('Données projet'!$B$18,Paramètres!$A$1:$I$89,3,0)*0.475*44/12</f>
        <v>18.056173998535137</v>
      </c>
      <c r="HI54" s="21">
        <f>EXP(-LN(2)/2)*HI53+(1-EXP(-LN(2)/2))/(LN(2)/2)*HC54*HF54*VLOOKUP('Données projet'!$B$18,Paramètres!$A$1:$I$89,3,0)*0.475*44/12</f>
        <v>4.6541045528084375</v>
      </c>
      <c r="HJ54" s="22">
        <f t="shared" si="30"/>
        <v>22.710278551343574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8.3000000000000007</v>
      </c>
      <c r="N55" s="13">
        <f>IF('Données projet'!$A$36&gt;35,N54+M55-V54,IF(A55&lt;'Données projet'!$A$36,$K$205^A55,IF(A55='Données projet'!$A$36,'Données projet'!$B$36,N54+M55-V54)))</f>
        <v>312.60000000000014</v>
      </c>
      <c r="O55" s="13">
        <f>N55*VLOOKUP('Données projet'!$B$9,Paramètres!$A$1:$I$89,3,0)*VLOOKUP('Données projet'!$B$9,Paramètres!$A$1:$I$89,5,0)</f>
        <v>186.93480000000011</v>
      </c>
      <c r="P55" s="13">
        <f t="shared" si="33"/>
        <v>46.861640519348171</v>
      </c>
      <c r="Q55" s="20">
        <f t="shared" si="53"/>
        <v>407.19546723786488</v>
      </c>
      <c r="R55" s="59">
        <f t="shared" si="0"/>
        <v>700.52880057119819</v>
      </c>
      <c r="S55" s="59">
        <f ca="1">AVERAGE(OFFSET($R$3,0,0,'Données projet'!$E$9+1,1))-AVERAGE(OFFSET($H$3,0,0,'Données projet'!$E$9+1,1))</f>
        <v>295.19075440119076</v>
      </c>
      <c r="T55" s="59">
        <f t="shared" si="34"/>
        <v>173.0182327988216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3.1748301089454847</v>
      </c>
      <c r="AA55" s="21">
        <f>EXP(-LN(2)/25)*AA54+(1-EXP(-LN(2)/25))/(LN(2)/25)*Calculateur!V55*Calculateur!X55*VLOOKUP('Données projet'!$B$9,Paramètres!$A$1:$I$89,3,0)*0.475*44/12</f>
        <v>13.097438473019443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16.272268581964926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17.625</v>
      </c>
      <c r="AI55" s="13">
        <f>IF('Données projet'!$A$62&gt;35,AI54+AH55-AQ54,IF(A55&lt;'Données projet'!$A$62,$AF$205^A55,IF(A55='Données projet'!$A$62,'Données projet'!$B$62,AI54+AH55-AQ54)))</f>
        <v>334.25000000000006</v>
      </c>
      <c r="AJ55" s="13">
        <f>AI55*VLOOKUP('Données projet'!$B$10,Paramètres!$A$1:$I$89,3,0)*VLOOKUP('Données projet'!$B$10,Paramètres!$A$1:$I$89,5,0)</f>
        <v>199.88150000000005</v>
      </c>
      <c r="AK55" s="13">
        <f t="shared" si="35"/>
        <v>49.71812411377941</v>
      </c>
      <c r="AL55" s="20">
        <f t="shared" si="4"/>
        <v>434.7193453314992</v>
      </c>
      <c r="AM55" s="59">
        <f t="shared" si="5"/>
        <v>728.05267866483246</v>
      </c>
      <c r="AN55" s="59">
        <f ca="1">AVERAGE(OFFSET($AM$3,0,0,'Données projet'!$E$10+1,1))-AVERAGE(OFFSET($H$3,0,0,'Données projet'!$E$10+1,1))</f>
        <v>294.45857786714919</v>
      </c>
      <c r="AO55" s="59">
        <f t="shared" si="36"/>
        <v>221.9773436301067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14.461549117165955</v>
      </c>
      <c r="AV55" s="21">
        <f>EXP(-LN(2)/25)*AV54+(1-EXP(-LN(2)/25))/(LN(2)/25)*Calculateur!AQ55*Calculateur!AS55*VLOOKUP('Données projet'!$B$10,Paramètres!$A$1:$I$89,3,0)*0.475*44/12</f>
        <v>42.43845871187365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56.900007829039609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141.024</v>
      </c>
      <c r="BF55" s="13">
        <f t="shared" si="37"/>
        <v>36.531489925882461</v>
      </c>
      <c r="BG55" s="20">
        <f t="shared" si="7"/>
        <v>309.24247828757859</v>
      </c>
      <c r="BH55" s="59">
        <f t="shared" si="8"/>
        <v>602.57581162091196</v>
      </c>
      <c r="BI55" s="59">
        <f ca="1">AVERAGE(OFFSET($BH$3,0,0,'Données projet'!$E$11+1,1))-AVERAGE(OFFSET($H$3,0,0,'Données projet'!$E$11+1,1))</f>
        <v>179.44051550872138</v>
      </c>
      <c r="BJ55" s="59">
        <f t="shared" si="38"/>
        <v>272.9500808380069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40.22821929496692</v>
      </c>
      <c r="BQ55" s="21">
        <f>EXP(-LN(2)/25)*BQ54+(1-EXP(-LN(2)/25))/(LN(2)/25)*Calculateur!BL55*Calculateur!BN55*VLOOKUP('Données projet'!$B$11,Paramètres!$A$1:$I$89,3,0)*0.475*44/12</f>
        <v>66.207020534287551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106.43523982925447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13.5</v>
      </c>
      <c r="BY55" s="12">
        <f>IF('Données projet'!$A$114&gt;35,BY54+BX55-CG54,IF(A55&lt;'Données projet'!$A$114,$BV$205^A55,IF(A55='Données projet'!$A$114,'Données projet'!$B$114,BY54+BX55-CG54)))</f>
        <v>294.99999999999989</v>
      </c>
      <c r="BZ55" s="13">
        <f>BY55*VLOOKUP('Données projet'!$B$12,Paramètres!$A$1:$I$89,3,0)*VLOOKUP('Données projet'!$B$12,Paramètres!$A$1:$I$89,5,0)</f>
        <v>138.05999999999995</v>
      </c>
      <c r="CA55" s="13">
        <f t="shared" si="39"/>
        <v>35.85221845159689</v>
      </c>
      <c r="CB55" s="20">
        <f t="shared" si="10"/>
        <v>302.89711380319778</v>
      </c>
      <c r="CC55" s="59">
        <f t="shared" si="11"/>
        <v>596.2304471365311</v>
      </c>
      <c r="CD55" s="59">
        <f ca="1">AVERAGE(OFFSET($CC$3,0,0,'Données projet'!$E$12+1,1))-AVERAGE(OFFSET($H$3,0,0,'Données projet'!$E$12+1,1))</f>
        <v>259.87681411271632</v>
      </c>
      <c r="CE55" s="59">
        <f t="shared" si="40"/>
        <v>191.8684235641158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10.530106239107607</v>
      </c>
      <c r="CL55" s="21">
        <f>EXP(-LN(2)/25)*CL54+(1-EXP(-LN(2)/25))/(LN(2)/25)*Calculateur!CG55*Calculateur!CI55*VLOOKUP('Données projet'!$B$12,Paramètres!$A$1:$I$89,3,0)*0.475*44/12</f>
        <v>37.620580611397848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48.150686850505451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6.8</v>
      </c>
      <c r="CT55" s="12">
        <f>IF('Données projet'!$A$140&gt;35,CT54+CS55-DB54,IF(A55&lt;'Données projet'!$A$140,$CQ$205^A55,IF(A55='Données projet'!$A$140,'Données projet'!$B$140,CT54+CS55-DB54)))</f>
        <v>198.59999999999997</v>
      </c>
      <c r="CU55" s="17">
        <f>CT55*VLOOKUP('Données projet'!$B$13,Paramètres!$A$1:$I$89,3,0)*VLOOKUP('Données projet'!$B$13,Paramètres!$A$1:$I$89,5,0)</f>
        <v>158.00615999999999</v>
      </c>
      <c r="CV55" s="13">
        <f t="shared" si="41"/>
        <v>40.392471545814118</v>
      </c>
      <c r="CW55" s="20">
        <f t="shared" si="13"/>
        <v>345.54428327562619</v>
      </c>
      <c r="CX55" s="59">
        <f t="shared" si="14"/>
        <v>638.87761660895944</v>
      </c>
      <c r="CY55" s="59">
        <f ca="1">AVERAGE(OFFSET($CX$3,0,0,'Données projet'!$E$13+1,1))-AVERAGE(OFFSET($H$3,0,0,'Données projet'!$E$13+1,1))</f>
        <v>198.11534486400666</v>
      </c>
      <c r="CZ55" s="59">
        <f t="shared" si="42"/>
        <v>174.29856796517652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17.562426971012272</v>
      </c>
      <c r="DH55" s="21">
        <f>EXP(-LN(2)/2)*DH54+(1-EXP(-LN(2)/2))/(LN(2)/2)*DB55*DE55*VLOOKUP('Données projet'!$B$13,Paramètres!$A$1:$I$89,3,0)*0.475*44/12</f>
        <v>3.2909488896420305</v>
      </c>
      <c r="DI55" s="22">
        <f t="shared" si="15"/>
        <v>20.853375860654303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5.75</v>
      </c>
      <c r="DO55" s="12">
        <f>IF('Données projet'!$A$166&gt;35,DO54+DN55-DW54,IF(A55&lt;'Données projet'!$A$166,$DL$205^A55,IF(A55='Données projet'!$A$166,'Données projet'!$B$166,DO54+DN55-DW54)))</f>
        <v>115.00000000000001</v>
      </c>
      <c r="DP55" s="17">
        <f>DO55*VLOOKUP('Données projet'!$B$14,Paramètres!$A$1:$I$89,3,0)*VLOOKUP('Données projet'!$B$14,Paramètres!$A$1:$I$89,5,0)</f>
        <v>116.61000000000003</v>
      </c>
      <c r="DQ55" s="13">
        <f t="shared" si="43"/>
        <v>30.883023623410974</v>
      </c>
      <c r="DR55" s="20">
        <f t="shared" si="16"/>
        <v>256.88368281077419</v>
      </c>
      <c r="DS55" s="59">
        <f t="shared" si="17"/>
        <v>550.21701614410745</v>
      </c>
      <c r="DT55" s="59">
        <f ca="1">AVERAGE(OFFSET($DS$3,0,0,'Données projet'!$E$14+1,1))-AVERAGE(OFFSET($H$3,0,0,'Données projet'!$E$14+1,1))</f>
        <v>247.92503505485405</v>
      </c>
      <c r="DU55" s="59">
        <f t="shared" si="44"/>
        <v>148.26437652597514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0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5.75</v>
      </c>
      <c r="EJ55" s="12">
        <f>IF('Données projet'!$A$192&gt;35,EJ54+EI55-ER54,IF(A55&lt;'Données projet'!$A$192,$EG$205^A55,IF(A55='Données projet'!$A$192,'Données projet'!$B$192,EJ54+EI55-ER54)))</f>
        <v>115.00000000000001</v>
      </c>
      <c r="EK55" s="17">
        <f>EJ55*VLOOKUP('Données projet'!$B$15,Paramètres!$A$1:$I$89,3,0)*VLOOKUP('Données projet'!$B$15,Paramètres!$A$1:$I$89,5,0)</f>
        <v>111.22800000000002</v>
      </c>
      <c r="EL55" s="13">
        <f t="shared" si="45"/>
        <v>29.620123744783829</v>
      </c>
      <c r="EM55" s="20">
        <f t="shared" si="19"/>
        <v>245.31048218883188</v>
      </c>
      <c r="EN55" s="59">
        <f t="shared" si="20"/>
        <v>538.64381552216514</v>
      </c>
      <c r="EO55" s="59">
        <f ca="1">AVERAGE(OFFSET($EN$3,0,0,'Données projet'!$E$15+1,1))-AVERAGE(OFFSET($H$3,0,0,'Données projet'!$E$15+1,1))</f>
        <v>232.99870507181964</v>
      </c>
      <c r="EP55" s="59">
        <f t="shared" si="46"/>
        <v>140.07662669226278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6.8</v>
      </c>
      <c r="FE55" s="12">
        <f>IF('Données projet'!$A$218&gt;35,FE54+FD55-FM54,IF(A55&lt;'Données projet'!$A$218,$FB$205^A55,IF(A55='Données projet'!$A$218,'Données projet'!$B$218,FE54+FD55-FM54)))</f>
        <v>198.59999999999997</v>
      </c>
      <c r="FF55" s="17">
        <f>FE55*VLOOKUP('Données projet'!$B$16,Paramètres!$A$1:$I$89,3,0)*VLOOKUP('Données projet'!$B$16,Paramètres!$A$1:$I$89,5,0)</f>
        <v>154.90799999999999</v>
      </c>
      <c r="FG55" s="13">
        <f t="shared" si="47"/>
        <v>39.691847670151873</v>
      </c>
      <c r="FH55" s="20">
        <f t="shared" si="22"/>
        <v>338.92806802551445</v>
      </c>
      <c r="FI55" s="59">
        <f t="shared" si="23"/>
        <v>632.26140135884771</v>
      </c>
      <c r="FJ55" s="59">
        <f ca="1">AVERAGE(OFFSET($FI$3,0,0,'Données projet'!$E$16+1,1))-AVERAGE(OFFSET($H$3,0,0,'Données projet'!$E$16+1,1))</f>
        <v>193.47609744163839</v>
      </c>
      <c r="FK55" s="59">
        <f t="shared" si="48"/>
        <v>170.3221892406973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</v>
      </c>
      <c r="FR55" s="21">
        <f>EXP(-LN(2)/25)*FR54+(1-EXP(-LN(2)/25))/(LN(2)/25)*Calculateur!FM55*Calculateur!FO55*VLOOKUP('Données projet'!$B$16,Paramètres!$A$1:$I$89,3,0)*0.475*44/12</f>
        <v>13.969374024297588</v>
      </c>
      <c r="FS55" s="21">
        <f>EXP(-LN(2)/2)*FS54+(1-EXP(-LN(2)/2))/(LN(2)/2)*FM55*FP55*VLOOKUP('Données projet'!$B$16,Paramètres!$A$1:$I$89,3,0)*0.475*44/12</f>
        <v>3.2264204800412069</v>
      </c>
      <c r="FT55" s="22">
        <f t="shared" si="24"/>
        <v>17.195794504338796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9.75</v>
      </c>
      <c r="FZ55" s="12">
        <f>IF('Données projet'!$A$244&gt;35,FZ54+FY55-GH54,IF(A55&lt;'Données projet'!$A$244,$FW$205^A55,IF(A55='Données projet'!$A$244,'Données projet'!$B$244,FZ54+FY55-GH54)))</f>
        <v>226</v>
      </c>
      <c r="GA55" s="17">
        <f>FZ55*VLOOKUP('Données projet'!$B$17,Paramètres!$A$1:$I$89,3,0)*VLOOKUP('Données projet'!$B$17,Paramètres!$A$1:$I$89,5,0)</f>
        <v>123.396</v>
      </c>
      <c r="GB55" s="13">
        <f t="shared" si="49"/>
        <v>32.465769489878191</v>
      </c>
      <c r="GC55" s="20">
        <f t="shared" si="25"/>
        <v>271.45924852820451</v>
      </c>
      <c r="GD55" s="59">
        <f t="shared" si="26"/>
        <v>564.79258186153788</v>
      </c>
      <c r="GE55" s="59">
        <f ca="1">AVERAGE(OFFSET($GD$3,0,0,'Données projet'!$E$17+1,1))-AVERAGE(OFFSET($H$3,0,0,'Données projet'!$E$17+1,1))</f>
        <v>153.43773674911449</v>
      </c>
      <c r="GF55" s="59">
        <f t="shared" si="50"/>
        <v>235.49395036616602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35.199691883096051</v>
      </c>
      <c r="GM55" s="21">
        <f>EXP(-LN(2)/25)*GM54+(1-EXP(-LN(2)/25))/(LN(2)/25)*Calculateur!GH55*Calculateur!GJ55*VLOOKUP('Données projet'!$B$17,Paramètres!$A$1:$I$89,3,0)*0.475*44/12</f>
        <v>57.931142967501607</v>
      </c>
      <c r="GN55" s="21">
        <f>EXP(-LN(2)/2)*GN54+(1-EXP(-LN(2)/2))/(LN(2)/2)*GH55*GK55*VLOOKUP('Données projet'!$B$17,Paramètres!$A$1:$I$89,3,0)*0.475*44/12</f>
        <v>0</v>
      </c>
      <c r="GO55" s="21">
        <f t="shared" si="27"/>
        <v>93.130834850597665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6.8</v>
      </c>
      <c r="GU55" s="12">
        <f>IF('Données projet'!$A$270&gt;35,GU54+GT55-HC54,IF(A55&lt;'Données projet'!$A$270,$GR$205^A55,IF(A55='Données projet'!$A$270,'Données projet'!$B$270,GU54+GT55-HC54)))</f>
        <v>198.59999999999997</v>
      </c>
      <c r="GV55" s="17">
        <f>GU55*VLOOKUP('Données projet'!$B$18,Paramètres!$A$1:$I$89,3,0)*VLOOKUP('Données projet'!$B$18,Paramètres!$A$1:$I$89,5,0)</f>
        <v>158.00615999999999</v>
      </c>
      <c r="GW55" s="13">
        <f t="shared" si="51"/>
        <v>40.392471545814118</v>
      </c>
      <c r="GX55" s="20">
        <f t="shared" si="28"/>
        <v>345.54428327562619</v>
      </c>
      <c r="GY55" s="59">
        <f t="shared" si="29"/>
        <v>638.87761660895944</v>
      </c>
      <c r="GZ55" s="59">
        <f ca="1">AVERAGE(OFFSET($GY$3,0,0,'Données projet'!$E$18+1,1))-AVERAGE(OFFSET($H$3,0,0,'Données projet'!$E$18+1,1))</f>
        <v>198.11534486400666</v>
      </c>
      <c r="HA55" s="59">
        <f t="shared" si="52"/>
        <v>174.29856796517652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>
        <f>EXP(-LN(2)/35)*HG54+(1-EXP(-LN(2)/35))/(LN(2)/35)*HC55*HD55*VLOOKUP('Données projet'!$B$18,Paramètres!$A$1:$I$89,3,0)*0.475*44/12</f>
        <v>0</v>
      </c>
      <c r="HH55" s="21">
        <f>EXP(-LN(2)/25)*HH54+(1-EXP(-LN(2)/25))/(LN(2)/25)*Calculateur!HC55*Calculateur!HE55*VLOOKUP('Données projet'!$B$18,Paramètres!$A$1:$I$89,3,0)*0.475*44/12</f>
        <v>17.562426971012272</v>
      </c>
      <c r="HI55" s="21">
        <f>EXP(-LN(2)/2)*HI54+(1-EXP(-LN(2)/2))/(LN(2)/2)*HC55*HF55*VLOOKUP('Données projet'!$B$18,Paramètres!$A$1:$I$89,3,0)*0.475*44/12</f>
        <v>3.2909488896420305</v>
      </c>
      <c r="HJ55" s="22">
        <f t="shared" si="30"/>
        <v>20.853375860654303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8.3000000000000007</v>
      </c>
      <c r="N56" s="13">
        <f>IF('Données projet'!$A$36&gt;35,N55+M56-V55,IF(A56&lt;'Données projet'!$A$36,$K$205^A56,IF(A56='Données projet'!$A$36,'Données projet'!$B$36,N55+M56-V55)))</f>
        <v>320.90000000000015</v>
      </c>
      <c r="O56" s="13">
        <f>N56*VLOOKUP('Données projet'!$B$9,Paramètres!$A$1:$I$89,3,0)*VLOOKUP('Données projet'!$B$9,Paramètres!$A$1:$I$89,5,0)</f>
        <v>191.89820000000009</v>
      </c>
      <c r="P56" s="13">
        <f t="shared" si="33"/>
        <v>47.95937480892843</v>
      </c>
      <c r="Q56" s="20">
        <f t="shared" si="53"/>
        <v>417.75194279221722</v>
      </c>
      <c r="R56" s="59">
        <f t="shared" si="0"/>
        <v>711.08527612555054</v>
      </c>
      <c r="S56" s="59">
        <f ca="1">AVERAGE(OFFSET($R$3,0,0,'Données projet'!$E$9+1,1))-AVERAGE(OFFSET($H$3,0,0,'Données projet'!$E$9+1,1))</f>
        <v>295.19075440119076</v>
      </c>
      <c r="T56" s="59">
        <f t="shared" si="34"/>
        <v>173.0182327988216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3.1125736269642212</v>
      </c>
      <c r="AA56" s="21">
        <f>EXP(-LN(2)/25)*AA55+(1-EXP(-LN(2)/25))/(LN(2)/25)*Calculateur!V56*Calculateur!X56*VLOOKUP('Données projet'!$B$9,Paramètres!$A$1:$I$89,3,0)*0.475*44/12</f>
        <v>12.739288329210371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15.851861956174591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17.625</v>
      </c>
      <c r="AI56" s="13">
        <f>IF('Données projet'!$A$62&gt;35,AI55+AH56-AQ55,IF(A56&lt;'Données projet'!$A$62,$AF$205^A56,IF(A56='Données projet'!$A$62,'Données projet'!$B$62,AI55+AH56-AQ55)))</f>
        <v>351.87500000000006</v>
      </c>
      <c r="AJ56" s="13">
        <f>AI56*VLOOKUP('Données projet'!$B$10,Paramètres!$A$1:$I$89,3,0)*VLOOKUP('Données projet'!$B$10,Paramètres!$A$1:$I$89,5,0)</f>
        <v>210.42125000000007</v>
      </c>
      <c r="AK56" s="13">
        <f t="shared" si="35"/>
        <v>52.027628682866947</v>
      </c>
      <c r="AL56" s="20">
        <f t="shared" si="4"/>
        <v>457.09846370599331</v>
      </c>
      <c r="AM56" s="59">
        <f t="shared" si="5"/>
        <v>750.43179703932663</v>
      </c>
      <c r="AN56" s="59">
        <f ca="1">AVERAGE(OFFSET($AM$3,0,0,'Données projet'!$E$10+1,1))-AVERAGE(OFFSET($H$3,0,0,'Données projet'!$E$10+1,1))</f>
        <v>294.45857786714919</v>
      </c>
      <c r="AO56" s="59">
        <f t="shared" si="36"/>
        <v>221.9773436301067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14.177966959652323</v>
      </c>
      <c r="AV56" s="21">
        <f>EXP(-LN(2)/25)*AV55+(1-EXP(-LN(2)/25))/(LN(2)/25)*Calculateur!AQ56*Calculateur!AS56*VLOOKUP('Données projet'!$B$10,Paramètres!$A$1:$I$89,3,0)*0.475*44/12</f>
        <v>41.277976826655916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55.455943786308239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147.108</v>
      </c>
      <c r="BF56" s="13">
        <f t="shared" si="37"/>
        <v>37.920625436598897</v>
      </c>
      <c r="BG56" s="20">
        <f t="shared" si="7"/>
        <v>322.25818930207646</v>
      </c>
      <c r="BH56" s="59">
        <f t="shared" si="8"/>
        <v>615.59152263540977</v>
      </c>
      <c r="BI56" s="59">
        <f ca="1">AVERAGE(OFFSET($BH$3,0,0,'Données projet'!$E$11+1,1))-AVERAGE(OFFSET($H$3,0,0,'Données projet'!$E$11+1,1))</f>
        <v>179.44051550872138</v>
      </c>
      <c r="BJ56" s="59">
        <f t="shared" si="38"/>
        <v>272.9500808380069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39.439368451383579</v>
      </c>
      <c r="BQ56" s="21">
        <f>EXP(-LN(2)/25)*BQ55+(1-EXP(-LN(2)/25))/(LN(2)/25)*Calculateur!BL56*Calculateur!BN56*VLOOKUP('Données projet'!$B$11,Paramètres!$A$1:$I$89,3,0)*0.475*44/12</f>
        <v>64.39658607610157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103.83595452748514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13.5</v>
      </c>
      <c r="BY56" s="12">
        <f>IF('Données projet'!$A$114&gt;35,BY55+BX56-CG55,IF(A56&lt;'Données projet'!$A$114,$BV$205^A56,IF(A56='Données projet'!$A$114,'Données projet'!$B$114,BY55+BX56-CG55)))</f>
        <v>308.49999999999989</v>
      </c>
      <c r="BZ56" s="13">
        <f>BY56*VLOOKUP('Données projet'!$B$12,Paramètres!$A$1:$I$89,3,0)*VLOOKUP('Données projet'!$B$12,Paramètres!$A$1:$I$89,5,0)</f>
        <v>144.37799999999996</v>
      </c>
      <c r="CA56" s="13">
        <f t="shared" si="39"/>
        <v>37.298139369272413</v>
      </c>
      <c r="CB56" s="20">
        <f t="shared" si="10"/>
        <v>316.41927606814937</v>
      </c>
      <c r="CC56" s="59">
        <f t="shared" si="11"/>
        <v>609.75260940148269</v>
      </c>
      <c r="CD56" s="59">
        <f ca="1">AVERAGE(OFFSET($CC$3,0,0,'Données projet'!$E$12+1,1))-AVERAGE(OFFSET($H$3,0,0,'Données projet'!$E$12+1,1))</f>
        <v>259.87681411271632</v>
      </c>
      <c r="CE56" s="59">
        <f t="shared" si="40"/>
        <v>191.8684235641158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10.323617278489321</v>
      </c>
      <c r="CL56" s="21">
        <f>EXP(-LN(2)/25)*CL55+(1-EXP(-LN(2)/25))/(LN(2)/25)*Calculateur!CG56*Calculateur!CI56*VLOOKUP('Données projet'!$B$12,Paramètres!$A$1:$I$89,3,0)*0.475*44/12</f>
        <v>36.591843856198821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46.915461134688144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6.8</v>
      </c>
      <c r="CT56" s="12">
        <f>IF('Données projet'!$A$140&gt;35,CT55+CS56-DB55,IF(A56&lt;'Données projet'!$A$140,$CQ$205^A56,IF(A56='Données projet'!$A$140,'Données projet'!$B$140,CT55+CS56-DB55)))</f>
        <v>205.39999999999998</v>
      </c>
      <c r="CU56" s="17">
        <f>CT56*VLOOKUP('Données projet'!$B$13,Paramètres!$A$1:$I$89,3,0)*VLOOKUP('Données projet'!$B$13,Paramètres!$A$1:$I$89,5,0)</f>
        <v>163.41623999999999</v>
      </c>
      <c r="CV56" s="13">
        <f t="shared" si="41"/>
        <v>41.612107877593864</v>
      </c>
      <c r="CW56" s="20">
        <f t="shared" si="13"/>
        <v>357.09103922014265</v>
      </c>
      <c r="CX56" s="59">
        <f t="shared" si="14"/>
        <v>650.42437255347591</v>
      </c>
      <c r="CY56" s="59">
        <f ca="1">AVERAGE(OFFSET($CX$3,0,0,'Données projet'!$E$13+1,1))-AVERAGE(OFFSET($H$3,0,0,'Données projet'!$E$13+1,1))</f>
        <v>198.11534486400666</v>
      </c>
      <c r="CZ56" s="59">
        <f t="shared" si="42"/>
        <v>174.29856796517652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17.082181481922046</v>
      </c>
      <c r="DH56" s="21">
        <f>EXP(-LN(2)/2)*DH55+(1-EXP(-LN(2)/2))/(LN(2)/2)*DB56*DE56*VLOOKUP('Données projet'!$B$13,Paramètres!$A$1:$I$89,3,0)*0.475*44/12</f>
        <v>2.3270522764042187</v>
      </c>
      <c r="DI56" s="22">
        <f t="shared" si="15"/>
        <v>19.409233758326266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5.75</v>
      </c>
      <c r="DO56" s="12">
        <f>IF('Données projet'!$A$166&gt;35,DO55+DN56-DW55,IF(A56&lt;'Données projet'!$A$166,$DL$205^A56,IF(A56='Données projet'!$A$166,'Données projet'!$B$166,DO55+DN56-DW55)))</f>
        <v>120.75000000000001</v>
      </c>
      <c r="DP56" s="17">
        <f>DO56*VLOOKUP('Données projet'!$B$14,Paramètres!$A$1:$I$89,3,0)*VLOOKUP('Données projet'!$B$14,Paramètres!$A$1:$I$89,5,0)</f>
        <v>122.44050000000003</v>
      </c>
      <c r="DQ56" s="13">
        <f t="shared" si="43"/>
        <v>32.24353714933843</v>
      </c>
      <c r="DR56" s="20">
        <f t="shared" si="16"/>
        <v>269.40803136843112</v>
      </c>
      <c r="DS56" s="59">
        <f t="shared" si="17"/>
        <v>562.7413647017645</v>
      </c>
      <c r="DT56" s="59">
        <f ca="1">AVERAGE(OFFSET($DS$3,0,0,'Données projet'!$E$14+1,1))-AVERAGE(OFFSET($H$3,0,0,'Données projet'!$E$14+1,1))</f>
        <v>247.92503505485405</v>
      </c>
      <c r="DU56" s="59">
        <f t="shared" si="44"/>
        <v>148.26437652597514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0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5.75</v>
      </c>
      <c r="EJ56" s="12">
        <f>IF('Données projet'!$A$192&gt;35,EJ55+EI56-ER55,IF(A56&lt;'Données projet'!$A$192,$EG$205^A56,IF(A56='Données projet'!$A$192,'Données projet'!$B$192,EJ55+EI56-ER55)))</f>
        <v>120.75000000000001</v>
      </c>
      <c r="EK56" s="17">
        <f>EJ56*VLOOKUP('Données projet'!$B$15,Paramètres!$A$1:$I$89,3,0)*VLOOKUP('Données projet'!$B$15,Paramètres!$A$1:$I$89,5,0)</f>
        <v>116.78940000000001</v>
      </c>
      <c r="EL56" s="13">
        <f t="shared" si="45"/>
        <v>30.925001773756161</v>
      </c>
      <c r="EM56" s="20">
        <f t="shared" si="19"/>
        <v>257.2692497559587</v>
      </c>
      <c r="EN56" s="59">
        <f t="shared" si="20"/>
        <v>550.60258308929201</v>
      </c>
      <c r="EO56" s="59">
        <f ca="1">AVERAGE(OFFSET($EN$3,0,0,'Données projet'!$E$15+1,1))-AVERAGE(OFFSET($H$3,0,0,'Données projet'!$E$15+1,1))</f>
        <v>232.99870507181964</v>
      </c>
      <c r="EP56" s="59">
        <f t="shared" si="46"/>
        <v>140.07662669226278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6.8</v>
      </c>
      <c r="FE56" s="12">
        <f>IF('Données projet'!$A$218&gt;35,FE55+FD56-FM55,IF(A56&lt;'Données projet'!$A$218,$FB$205^A56,IF(A56='Données projet'!$A$218,'Données projet'!$B$218,FE55+FD56-FM55)))</f>
        <v>205.39999999999998</v>
      </c>
      <c r="FF56" s="17">
        <f>FE56*VLOOKUP('Données projet'!$B$16,Paramètres!$A$1:$I$89,3,0)*VLOOKUP('Données projet'!$B$16,Paramètres!$A$1:$I$89,5,0)</f>
        <v>160.21199999999999</v>
      </c>
      <c r="FG56" s="13">
        <f t="shared" si="47"/>
        <v>40.890328912852695</v>
      </c>
      <c r="FH56" s="20">
        <f t="shared" si="22"/>
        <v>350.2532228565517</v>
      </c>
      <c r="FI56" s="59">
        <f t="shared" si="23"/>
        <v>643.58655618988496</v>
      </c>
      <c r="FJ56" s="59">
        <f ca="1">AVERAGE(OFFSET($FI$3,0,0,'Données projet'!$E$16+1,1))-AVERAGE(OFFSET($H$3,0,0,'Données projet'!$E$16+1,1))</f>
        <v>193.47609744163839</v>
      </c>
      <c r="FK56" s="59">
        <f t="shared" si="48"/>
        <v>170.3221892406973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</v>
      </c>
      <c r="FR56" s="21">
        <f>EXP(-LN(2)/25)*FR55+(1-EXP(-LN(2)/25))/(LN(2)/25)*Calculateur!FM56*Calculateur!FO56*VLOOKUP('Données projet'!$B$16,Paramètres!$A$1:$I$89,3,0)*0.475*44/12</f>
        <v>13.587380756985718</v>
      </c>
      <c r="FS56" s="21">
        <f>EXP(-LN(2)/2)*FS55+(1-EXP(-LN(2)/2))/(LN(2)/2)*FM56*FP56*VLOOKUP('Données projet'!$B$16,Paramètres!$A$1:$I$89,3,0)*0.475*44/12</f>
        <v>2.2814238003962934</v>
      </c>
      <c r="FT56" s="22">
        <f t="shared" si="24"/>
        <v>15.868804557382012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9.75</v>
      </c>
      <c r="FZ56" s="12">
        <f>IF('Données projet'!$A$244&gt;35,FZ55+FY56-GH55,IF(A56&lt;'Données projet'!$A$244,$FW$205^A56,IF(A56='Données projet'!$A$244,'Données projet'!$B$244,FZ55+FY56-GH55)))</f>
        <v>235.75</v>
      </c>
      <c r="GA56" s="17">
        <f>FZ56*VLOOKUP('Données projet'!$B$17,Paramètres!$A$1:$I$89,3,0)*VLOOKUP('Données projet'!$B$17,Paramètres!$A$1:$I$89,5,0)</f>
        <v>128.71950000000001</v>
      </c>
      <c r="GB56" s="13">
        <f t="shared" si="49"/>
        <v>33.700303131200371</v>
      </c>
      <c r="GC56" s="20">
        <f t="shared" si="25"/>
        <v>282.88115712017401</v>
      </c>
      <c r="GD56" s="59">
        <f t="shared" si="26"/>
        <v>576.21449045350732</v>
      </c>
      <c r="GE56" s="59">
        <f ca="1">AVERAGE(OFFSET($GD$3,0,0,'Données projet'!$E$17+1,1))-AVERAGE(OFFSET($H$3,0,0,'Données projet'!$E$17+1,1))</f>
        <v>153.43773674911449</v>
      </c>
      <c r="GF56" s="59">
        <f t="shared" si="50"/>
        <v>235.49395036616602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34.509447394960631</v>
      </c>
      <c r="GM56" s="21">
        <f>EXP(-LN(2)/25)*GM55+(1-EXP(-LN(2)/25))/(LN(2)/25)*Calculateur!GH56*Calculateur!GJ56*VLOOKUP('Données projet'!$B$17,Paramètres!$A$1:$I$89,3,0)*0.475*44/12</f>
        <v>56.347012816588872</v>
      </c>
      <c r="GN56" s="21">
        <f>EXP(-LN(2)/2)*GN55+(1-EXP(-LN(2)/2))/(LN(2)/2)*GH56*GK56*VLOOKUP('Données projet'!$B$17,Paramètres!$A$1:$I$89,3,0)*0.475*44/12</f>
        <v>0</v>
      </c>
      <c r="GO56" s="21">
        <f t="shared" si="27"/>
        <v>90.856460211549503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6.8</v>
      </c>
      <c r="GU56" s="12">
        <f>IF('Données projet'!$A$270&gt;35,GU55+GT56-HC55,IF(A56&lt;'Données projet'!$A$270,$GR$205^A56,IF(A56='Données projet'!$A$270,'Données projet'!$B$270,GU55+GT56-HC55)))</f>
        <v>205.39999999999998</v>
      </c>
      <c r="GV56" s="17">
        <f>GU56*VLOOKUP('Données projet'!$B$18,Paramètres!$A$1:$I$89,3,0)*VLOOKUP('Données projet'!$B$18,Paramètres!$A$1:$I$89,5,0)</f>
        <v>163.41623999999999</v>
      </c>
      <c r="GW56" s="13">
        <f t="shared" si="51"/>
        <v>41.612107877593864</v>
      </c>
      <c r="GX56" s="20">
        <f t="shared" si="28"/>
        <v>357.09103922014265</v>
      </c>
      <c r="GY56" s="59">
        <f t="shared" si="29"/>
        <v>650.42437255347591</v>
      </c>
      <c r="GZ56" s="59">
        <f ca="1">AVERAGE(OFFSET($GY$3,0,0,'Données projet'!$E$18+1,1))-AVERAGE(OFFSET($H$3,0,0,'Données projet'!$E$18+1,1))</f>
        <v>198.11534486400666</v>
      </c>
      <c r="HA56" s="59">
        <f t="shared" si="52"/>
        <v>174.29856796517652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>
        <f>EXP(-LN(2)/35)*HG55+(1-EXP(-LN(2)/35))/(LN(2)/35)*HC56*HD56*VLOOKUP('Données projet'!$B$18,Paramètres!$A$1:$I$89,3,0)*0.475*44/12</f>
        <v>0</v>
      </c>
      <c r="HH56" s="21">
        <f>EXP(-LN(2)/25)*HH55+(1-EXP(-LN(2)/25))/(LN(2)/25)*Calculateur!HC56*Calculateur!HE56*VLOOKUP('Données projet'!$B$18,Paramètres!$A$1:$I$89,3,0)*0.475*44/12</f>
        <v>17.082181481922046</v>
      </c>
      <c r="HI56" s="21">
        <f>EXP(-LN(2)/2)*HI55+(1-EXP(-LN(2)/2))/(LN(2)/2)*HC56*HF56*VLOOKUP('Données projet'!$B$18,Paramètres!$A$1:$I$89,3,0)*0.475*44/12</f>
        <v>2.3270522764042187</v>
      </c>
      <c r="HJ56" s="22">
        <f t="shared" si="30"/>
        <v>19.409233758326266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8.3000000000000007</v>
      </c>
      <c r="N57" s="13">
        <f>IF('Données projet'!$A$36&gt;35,N56+M57-V56,IF(A57&lt;'Données projet'!$A$36,$K$205^A57,IF(A57='Données projet'!$A$36,'Données projet'!$B$36,N56+M57-V56)))</f>
        <v>329.20000000000016</v>
      </c>
      <c r="O57" s="13">
        <f>N57*VLOOKUP('Données projet'!$B$9,Paramètres!$A$1:$I$89,3,0)*VLOOKUP('Données projet'!$B$9,Paramètres!$A$1:$I$89,5,0)</f>
        <v>196.8616000000001</v>
      </c>
      <c r="P57" s="13">
        <f t="shared" si="33"/>
        <v>49.053808777612403</v>
      </c>
      <c r="Q57" s="20">
        <f t="shared" si="53"/>
        <v>428.30267028767508</v>
      </c>
      <c r="R57" s="59">
        <f t="shared" si="0"/>
        <v>721.6360036210084</v>
      </c>
      <c r="S57" s="59">
        <f ca="1">AVERAGE(OFFSET($R$3,0,0,'Données projet'!$E$9+1,1))-AVERAGE(OFFSET($H$3,0,0,'Données projet'!$E$9+1,1))</f>
        <v>295.19075440119076</v>
      </c>
      <c r="T57" s="59">
        <f t="shared" si="34"/>
        <v>173.0182327988216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3.0515379566219059</v>
      </c>
      <c r="AA57" s="21">
        <f>EXP(-LN(2)/25)*AA56+(1-EXP(-LN(2)/25))/(LN(2)/25)*Calculateur!V57*Calculateur!X57*VLOOKUP('Données projet'!$B$9,Paramètres!$A$1:$I$89,3,0)*0.475*44/12</f>
        <v>12.390931819918057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15.442469776539962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17.625</v>
      </c>
      <c r="AI57" s="13">
        <f>IF('Données projet'!$A$62&gt;35,AI56+AH57-AQ56,IF(A57&lt;'Données projet'!$A$62,$AF$205^A57,IF(A57='Données projet'!$A$62,'Données projet'!$B$62,AI56+AH57-AQ56)))</f>
        <v>369.50000000000006</v>
      </c>
      <c r="AJ57" s="13">
        <f>AI57*VLOOKUP('Données projet'!$B$10,Paramètres!$A$1:$I$89,3,0)*VLOOKUP('Données projet'!$B$10,Paramètres!$A$1:$I$89,5,0)</f>
        <v>220.96100000000004</v>
      </c>
      <c r="AK57" s="13">
        <f t="shared" si="35"/>
        <v>54.323701308314739</v>
      </c>
      <c r="AL57" s="20">
        <f t="shared" si="4"/>
        <v>479.45418811198152</v>
      </c>
      <c r="AM57" s="59">
        <f t="shared" si="5"/>
        <v>772.78752144531484</v>
      </c>
      <c r="AN57" s="59">
        <f ca="1">AVERAGE(OFFSET($AM$3,0,0,'Données projet'!$E$10+1,1))-AVERAGE(OFFSET($H$3,0,0,'Données projet'!$E$10+1,1))</f>
        <v>294.45857786714919</v>
      </c>
      <c r="AO57" s="59">
        <f t="shared" si="36"/>
        <v>221.9773436301067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13.899945675279497</v>
      </c>
      <c r="AV57" s="21">
        <f>EXP(-LN(2)/25)*AV56+(1-EXP(-LN(2)/25))/(LN(2)/25)*Calculateur!AQ57*Calculateur!AS57*VLOOKUP('Données projet'!$B$10,Paramètres!$A$1:$I$89,3,0)*0.475*44/12</f>
        <v>40.149228379616552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54.049174054896049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153.19199999999998</v>
      </c>
      <c r="BF57" s="13">
        <f t="shared" si="37"/>
        <v>39.303087713366921</v>
      </c>
      <c r="BG57" s="20">
        <f t="shared" si="7"/>
        <v>335.2622777674473</v>
      </c>
      <c r="BH57" s="59">
        <f t="shared" si="8"/>
        <v>628.59561110078062</v>
      </c>
      <c r="BI57" s="59">
        <f ca="1">AVERAGE(OFFSET($BH$3,0,0,'Données projet'!$E$11+1,1))-AVERAGE(OFFSET($H$3,0,0,'Données projet'!$E$11+1,1))</f>
        <v>179.44051550872138</v>
      </c>
      <c r="BJ57" s="59">
        <f t="shared" si="38"/>
        <v>272.9500808380069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38.665986491691406</v>
      </c>
      <c r="BQ57" s="21">
        <f>EXP(-LN(2)/25)*BQ56+(1-EXP(-LN(2)/25))/(LN(2)/25)*Calculateur!BL57*Calculateur!BN57*VLOOKUP('Données projet'!$B$11,Paramètres!$A$1:$I$89,3,0)*0.475*44/12</f>
        <v>62.635658043381291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101.3016445350727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13.5</v>
      </c>
      <c r="BY57" s="12">
        <f>IF('Données projet'!$A$114&gt;35,BY56+BX57-CG56,IF(A57&lt;'Données projet'!$A$114,$BV$205^A57,IF(A57='Données projet'!$A$114,'Données projet'!$B$114,BY56+BX57-CG56)))</f>
        <v>321.99999999999989</v>
      </c>
      <c r="BZ57" s="13">
        <f>BY57*VLOOKUP('Données projet'!$B$12,Paramètres!$A$1:$I$89,3,0)*VLOOKUP('Données projet'!$B$12,Paramètres!$A$1:$I$89,5,0)</f>
        <v>150.69599999999994</v>
      </c>
      <c r="CA57" s="13">
        <f t="shared" si="39"/>
        <v>38.736711478840633</v>
      </c>
      <c r="CB57" s="20">
        <f t="shared" si="10"/>
        <v>329.92863915898073</v>
      </c>
      <c r="CC57" s="59">
        <f t="shared" si="11"/>
        <v>623.26197249231404</v>
      </c>
      <c r="CD57" s="59">
        <f ca="1">AVERAGE(OFFSET($CC$3,0,0,'Données projet'!$E$12+1,1))-AVERAGE(OFFSET($H$3,0,0,'Données projet'!$E$12+1,1))</f>
        <v>259.87681411271632</v>
      </c>
      <c r="CE57" s="59">
        <f t="shared" si="40"/>
        <v>191.8684235641158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10.12117744044293</v>
      </c>
      <c r="CL57" s="21">
        <f>EXP(-LN(2)/25)*CL56+(1-EXP(-LN(2)/25))/(LN(2)/25)*Calculateur!CG57*Calculateur!CI57*VLOOKUP('Données projet'!$B$12,Paramètres!$A$1:$I$89,3,0)*0.475*44/12</f>
        <v>35.591237961669627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45.712415402112555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6.8</v>
      </c>
      <c r="CT57" s="12">
        <f>IF('Données projet'!$A$140&gt;35,CT56+CS57-DB56,IF(A57&lt;'Données projet'!$A$140,$CQ$205^A57,IF(A57='Données projet'!$A$140,'Données projet'!$B$140,CT56+CS57-DB56)))</f>
        <v>212.2</v>
      </c>
      <c r="CU57" s="17">
        <f>CT57*VLOOKUP('Données projet'!$B$13,Paramètres!$A$1:$I$89,3,0)*VLOOKUP('Données projet'!$B$13,Paramètres!$A$1:$I$89,5,0)</f>
        <v>168.82632000000001</v>
      </c>
      <c r="CV57" s="13">
        <f t="shared" si="41"/>
        <v>42.827052413541885</v>
      </c>
      <c r="CW57" s="20">
        <f t="shared" si="13"/>
        <v>368.62962362025206</v>
      </c>
      <c r="CX57" s="59">
        <f t="shared" si="14"/>
        <v>661.96295695358538</v>
      </c>
      <c r="CY57" s="59">
        <f ca="1">AVERAGE(OFFSET($CX$3,0,0,'Données projet'!$E$13+1,1))-AVERAGE(OFFSET($H$3,0,0,'Données projet'!$E$13+1,1))</f>
        <v>198.11534486400666</v>
      </c>
      <c r="CZ57" s="59">
        <f t="shared" si="42"/>
        <v>174.29856796517652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16.615068330986006</v>
      </c>
      <c r="DH57" s="21">
        <f>EXP(-LN(2)/2)*DH56+(1-EXP(-LN(2)/2))/(LN(2)/2)*DB57*DE57*VLOOKUP('Données projet'!$B$13,Paramètres!$A$1:$I$89,3,0)*0.475*44/12</f>
        <v>1.6454744448210152</v>
      </c>
      <c r="DI57" s="22">
        <f t="shared" si="15"/>
        <v>18.260542775807021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5.75</v>
      </c>
      <c r="DO57" s="12">
        <f>IF('Données projet'!$A$166&gt;35,DO56+DN57-DW56,IF(A57&lt;'Données projet'!$A$166,$DL$205^A57,IF(A57='Données projet'!$A$166,'Données projet'!$B$166,DO56+DN57-DW56)))</f>
        <v>126.50000000000001</v>
      </c>
      <c r="DP57" s="17">
        <f>DO57*VLOOKUP('Données projet'!$B$14,Paramètres!$A$1:$I$89,3,0)*VLOOKUP('Données projet'!$B$14,Paramètres!$A$1:$I$89,5,0)</f>
        <v>128.27100000000002</v>
      </c>
      <c r="DQ57" s="13">
        <f t="shared" si="43"/>
        <v>33.596527402237875</v>
      </c>
      <c r="DR57" s="20">
        <f t="shared" si="16"/>
        <v>281.91927689223098</v>
      </c>
      <c r="DS57" s="59">
        <f t="shared" si="17"/>
        <v>575.25261022556424</v>
      </c>
      <c r="DT57" s="59">
        <f ca="1">AVERAGE(OFFSET($DS$3,0,0,'Données projet'!$E$14+1,1))-AVERAGE(OFFSET($H$3,0,0,'Données projet'!$E$14+1,1))</f>
        <v>247.92503505485405</v>
      </c>
      <c r="DU57" s="59">
        <f t="shared" si="44"/>
        <v>148.26437652597514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0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5.75</v>
      </c>
      <c r="EJ57" s="12">
        <f>IF('Données projet'!$A$192&gt;35,EJ56+EI57-ER56,IF(A57&lt;'Données projet'!$A$192,$EG$205^A57,IF(A57='Données projet'!$A$192,'Données projet'!$B$192,EJ56+EI57-ER56)))</f>
        <v>126.50000000000001</v>
      </c>
      <c r="EK57" s="17">
        <f>EJ57*VLOOKUP('Données projet'!$B$15,Paramètres!$A$1:$I$89,3,0)*VLOOKUP('Données projet'!$B$15,Paramètres!$A$1:$I$89,5,0)</f>
        <v>122.35080000000002</v>
      </c>
      <c r="EL57" s="13">
        <f t="shared" si="45"/>
        <v>32.222664179000326</v>
      </c>
      <c r="EM57" s="20">
        <f t="shared" si="19"/>
        <v>269.21545011175891</v>
      </c>
      <c r="EN57" s="59">
        <f t="shared" si="20"/>
        <v>562.54878344509223</v>
      </c>
      <c r="EO57" s="59">
        <f ca="1">AVERAGE(OFFSET($EN$3,0,0,'Données projet'!$E$15+1,1))-AVERAGE(OFFSET($H$3,0,0,'Données projet'!$E$15+1,1))</f>
        <v>232.99870507181964</v>
      </c>
      <c r="EP57" s="59">
        <f t="shared" si="46"/>
        <v>140.07662669226278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6.8</v>
      </c>
      <c r="FE57" s="12">
        <f>IF('Données projet'!$A$218&gt;35,FE56+FD57-FM56,IF(A57&lt;'Données projet'!$A$218,$FB$205^A57,IF(A57='Données projet'!$A$218,'Données projet'!$B$218,FE56+FD57-FM56)))</f>
        <v>212.2</v>
      </c>
      <c r="FF57" s="17">
        <f>FE57*VLOOKUP('Données projet'!$B$16,Paramètres!$A$1:$I$89,3,0)*VLOOKUP('Données projet'!$B$16,Paramètres!$A$1:$I$89,5,0)</f>
        <v>165.51599999999999</v>
      </c>
      <c r="FG57" s="13">
        <f t="shared" si="47"/>
        <v>42.084199740832013</v>
      </c>
      <c r="FH57" s="20">
        <f t="shared" si="22"/>
        <v>361.57034788194909</v>
      </c>
      <c r="FI57" s="59">
        <f t="shared" si="23"/>
        <v>654.9036812152824</v>
      </c>
      <c r="FJ57" s="59">
        <f ca="1">AVERAGE(OFFSET($FI$3,0,0,'Données projet'!$E$16+1,1))-AVERAGE(OFFSET($H$3,0,0,'Données projet'!$E$16+1,1))</f>
        <v>193.47609744163839</v>
      </c>
      <c r="FK57" s="59">
        <f t="shared" si="48"/>
        <v>170.3221892406973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</v>
      </c>
      <c r="FR57" s="21">
        <f>EXP(-LN(2)/25)*FR56+(1-EXP(-LN(2)/25))/(LN(2)/25)*Calculateur!FM57*Calculateur!FO57*VLOOKUP('Données projet'!$B$16,Paramètres!$A$1:$I$89,3,0)*0.475*44/12</f>
        <v>13.215833115656643</v>
      </c>
      <c r="FS57" s="21">
        <f>EXP(-LN(2)/2)*FS56+(1-EXP(-LN(2)/2))/(LN(2)/2)*FM57*FP57*VLOOKUP('Données projet'!$B$16,Paramètres!$A$1:$I$89,3,0)*0.475*44/12</f>
        <v>1.6132102400206036</v>
      </c>
      <c r="FT57" s="22">
        <f t="shared" si="24"/>
        <v>14.829043355677246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9.75</v>
      </c>
      <c r="FZ57" s="12">
        <f>IF('Données projet'!$A$244&gt;35,FZ56+FY57-GH56,IF(A57&lt;'Données projet'!$A$244,$FW$205^A57,IF(A57='Données projet'!$A$244,'Données projet'!$B$244,FZ56+FY57-GH56)))</f>
        <v>245.5</v>
      </c>
      <c r="GA57" s="17">
        <f>FZ57*VLOOKUP('Données projet'!$B$17,Paramètres!$A$1:$I$89,3,0)*VLOOKUP('Données projet'!$B$17,Paramètres!$A$1:$I$89,5,0)</f>
        <v>134.04300000000001</v>
      </c>
      <c r="GB57" s="13">
        <f t="shared" si="49"/>
        <v>34.928906226695894</v>
      </c>
      <c r="GC57" s="20">
        <f t="shared" si="25"/>
        <v>294.29273667816204</v>
      </c>
      <c r="GD57" s="59">
        <f t="shared" si="26"/>
        <v>587.62607001149536</v>
      </c>
      <c r="GE57" s="59">
        <f ca="1">AVERAGE(OFFSET($GD$3,0,0,'Données projet'!$E$17+1,1))-AVERAGE(OFFSET($H$3,0,0,'Données projet'!$E$17+1,1))</f>
        <v>153.43773674911449</v>
      </c>
      <c r="GF57" s="59">
        <f t="shared" si="50"/>
        <v>235.49395036616602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33.832738180229981</v>
      </c>
      <c r="GM57" s="21">
        <f>EXP(-LN(2)/25)*GM56+(1-EXP(-LN(2)/25))/(LN(2)/25)*Calculateur!GH57*Calculateur!GJ57*VLOOKUP('Données projet'!$B$17,Paramètres!$A$1:$I$89,3,0)*0.475*44/12</f>
        <v>54.80620078795863</v>
      </c>
      <c r="GN57" s="21">
        <f>EXP(-LN(2)/2)*GN56+(1-EXP(-LN(2)/2))/(LN(2)/2)*GH57*GK57*VLOOKUP('Données projet'!$B$17,Paramètres!$A$1:$I$89,3,0)*0.475*44/12</f>
        <v>0</v>
      </c>
      <c r="GO57" s="21">
        <f t="shared" si="27"/>
        <v>88.638938968188612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6.8</v>
      </c>
      <c r="GU57" s="12">
        <f>IF('Données projet'!$A$270&gt;35,GU56+GT57-HC56,IF(A57&lt;'Données projet'!$A$270,$GR$205^A57,IF(A57='Données projet'!$A$270,'Données projet'!$B$270,GU56+GT57-HC56)))</f>
        <v>212.2</v>
      </c>
      <c r="GV57" s="17">
        <f>GU57*VLOOKUP('Données projet'!$B$18,Paramètres!$A$1:$I$89,3,0)*VLOOKUP('Données projet'!$B$18,Paramètres!$A$1:$I$89,5,0)</f>
        <v>168.82632000000001</v>
      </c>
      <c r="GW57" s="13">
        <f t="shared" si="51"/>
        <v>42.827052413541885</v>
      </c>
      <c r="GX57" s="20">
        <f t="shared" si="28"/>
        <v>368.62962362025206</v>
      </c>
      <c r="GY57" s="59">
        <f t="shared" si="29"/>
        <v>661.96295695358538</v>
      </c>
      <c r="GZ57" s="59">
        <f ca="1">AVERAGE(OFFSET($GY$3,0,0,'Données projet'!$E$18+1,1))-AVERAGE(OFFSET($H$3,0,0,'Données projet'!$E$18+1,1))</f>
        <v>198.11534486400666</v>
      </c>
      <c r="HA57" s="59">
        <f t="shared" si="52"/>
        <v>174.29856796517652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>
        <f>EXP(-LN(2)/35)*HG56+(1-EXP(-LN(2)/35))/(LN(2)/35)*HC57*HD57*VLOOKUP('Données projet'!$B$18,Paramètres!$A$1:$I$89,3,0)*0.475*44/12</f>
        <v>0</v>
      </c>
      <c r="HH57" s="21">
        <f>EXP(-LN(2)/25)*HH56+(1-EXP(-LN(2)/25))/(LN(2)/25)*Calculateur!HC57*Calculateur!HE57*VLOOKUP('Données projet'!$B$18,Paramètres!$A$1:$I$89,3,0)*0.475*44/12</f>
        <v>16.615068330986006</v>
      </c>
      <c r="HI57" s="21">
        <f>EXP(-LN(2)/2)*HI56+(1-EXP(-LN(2)/2))/(LN(2)/2)*HC57*HF57*VLOOKUP('Données projet'!$B$18,Paramètres!$A$1:$I$89,3,0)*0.475*44/12</f>
        <v>1.6454744448210152</v>
      </c>
      <c r="HJ57" s="22">
        <f t="shared" si="30"/>
        <v>18.260542775807021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8.3000000000000007</v>
      </c>
      <c r="N58" s="13">
        <f>IF('Données projet'!$A$36&gt;35,N57+M58-V57,IF(A58&lt;'Données projet'!$A$36,$K$205^A58,IF(A58='Données projet'!$A$36,'Données projet'!$B$36,N57+M58-V57)))</f>
        <v>337.50000000000017</v>
      </c>
      <c r="O58" s="13">
        <f>N58*VLOOKUP('Données projet'!$B$9,Paramètres!$A$1:$I$89,3,0)*VLOOKUP('Données projet'!$B$9,Paramètres!$A$1:$I$89,5,0)</f>
        <v>201.82500000000013</v>
      </c>
      <c r="P58" s="13">
        <f t="shared" si="33"/>
        <v>50.145035204519765</v>
      </c>
      <c r="Q58" s="20">
        <f t="shared" si="53"/>
        <v>438.84781131453877</v>
      </c>
      <c r="R58" s="59">
        <f t="shared" si="0"/>
        <v>732.18114464787209</v>
      </c>
      <c r="S58" s="59">
        <f ca="1">AVERAGE(OFFSET($R$3,0,0,'Données projet'!$E$9+1,1))-AVERAGE(OFFSET($H$3,0,0,'Données projet'!$E$9+1,1))</f>
        <v>295.19075440119076</v>
      </c>
      <c r="T58" s="59">
        <f t="shared" si="34"/>
        <v>173.0182327988216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2.9916991585469201</v>
      </c>
      <c r="AA58" s="21">
        <f>EXP(-LN(2)/25)*AA57+(1-EXP(-LN(2)/25))/(LN(2)/25)*Calculateur!V58*Calculateur!X58*VLOOKUP('Données projet'!$B$9,Paramètres!$A$1:$I$89,3,0)*0.475*44/12</f>
        <v>12.052101137691613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15.043800296238533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17.625</v>
      </c>
      <c r="AI58" s="13">
        <f>IF('Données projet'!$A$62&gt;35,AI57+AH58-AQ57,IF(A58&lt;'Données projet'!$A$62,$AF$205^A58,IF(A58='Données projet'!$A$62,'Données projet'!$B$62,AI57+AH58-AQ57)))</f>
        <v>387.12500000000006</v>
      </c>
      <c r="AJ58" s="13">
        <f>AI58*VLOOKUP('Données projet'!$B$10,Paramètres!$A$1:$I$89,3,0)*VLOOKUP('Données projet'!$B$10,Paramètres!$A$1:$I$89,5,0)</f>
        <v>231.50075000000007</v>
      </c>
      <c r="AK58" s="13">
        <f t="shared" si="35"/>
        <v>56.607055837426749</v>
      </c>
      <c r="AL58" s="20">
        <f t="shared" si="4"/>
        <v>501.78776183351835</v>
      </c>
      <c r="AM58" s="59">
        <f t="shared" si="5"/>
        <v>795.12109516685166</v>
      </c>
      <c r="AN58" s="59">
        <f ca="1">AVERAGE(OFFSET($AM$3,0,0,'Données projet'!$E$10+1,1))-AVERAGE(OFFSET($H$3,0,0,'Données projet'!$E$10+1,1))</f>
        <v>294.45857786714919</v>
      </c>
      <c r="AO58" s="59">
        <f t="shared" si="36"/>
        <v>221.9773436301067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13.627376218716982</v>
      </c>
      <c r="AV58" s="21">
        <f>EXP(-LN(2)/25)*AV57+(1-EXP(-LN(2)/25))/(LN(2)/25)*Calculateur!AQ58*Calculateur!AS58*VLOOKUP('Données projet'!$B$10,Paramètres!$A$1:$I$89,3,0)*0.475*44/12</f>
        <v>39.051345618219777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52.678721836936759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159.27600000000001</v>
      </c>
      <c r="BF58" s="13">
        <f t="shared" si="37"/>
        <v>40.679172107249002</v>
      </c>
      <c r="BG58" s="20">
        <f t="shared" si="7"/>
        <v>348.25525808679203</v>
      </c>
      <c r="BH58" s="59">
        <f t="shared" si="8"/>
        <v>641.58859142012534</v>
      </c>
      <c r="BI58" s="59">
        <f ca="1">AVERAGE(OFFSET($BH$3,0,0,'Données projet'!$E$11+1,1))-AVERAGE(OFFSET($H$3,0,0,'Données projet'!$E$11+1,1))</f>
        <v>179.44051550872138</v>
      </c>
      <c r="BJ58" s="59">
        <f t="shared" si="38"/>
        <v>272.9500808380069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37.907770080512378</v>
      </c>
      <c r="BQ58" s="21">
        <f>EXP(-LN(2)/25)*BQ57+(1-EXP(-LN(2)/25))/(LN(2)/25)*Calculateur!BL58*Calculateur!BN58*VLOOKUP('Données projet'!$B$11,Paramètres!$A$1:$I$89,3,0)*0.475*44/12</f>
        <v>60.922882680318928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98.830652760831299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13.5</v>
      </c>
      <c r="BY58" s="12">
        <f>IF('Données projet'!$A$114&gt;35,BY57+BX58-CG57,IF(A58&lt;'Données projet'!$A$114,$BV$205^A58,IF(A58='Données projet'!$A$114,'Données projet'!$B$114,BY57+BX58-CG57)))</f>
        <v>335.49999999999989</v>
      </c>
      <c r="BZ58" s="13">
        <f>BY58*VLOOKUP('Données projet'!$B$12,Paramètres!$A$1:$I$89,3,0)*VLOOKUP('Données projet'!$B$12,Paramètres!$A$1:$I$89,5,0)</f>
        <v>157.01399999999995</v>
      </c>
      <c r="CA58" s="13">
        <f t="shared" si="39"/>
        <v>40.168278112836184</v>
      </c>
      <c r="CB58" s="20">
        <f t="shared" si="10"/>
        <v>343.42580104652296</v>
      </c>
      <c r="CC58" s="59">
        <f t="shared" si="11"/>
        <v>636.75913437985628</v>
      </c>
      <c r="CD58" s="59">
        <f ca="1">AVERAGE(OFFSET($CC$3,0,0,'Données projet'!$E$12+1,1))-AVERAGE(OFFSET($H$3,0,0,'Données projet'!$E$12+1,1))</f>
        <v>259.87681411271632</v>
      </c>
      <c r="CE58" s="59">
        <f t="shared" si="40"/>
        <v>191.8684235641158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9.9227073241445183</v>
      </c>
      <c r="CL58" s="21">
        <f>EXP(-LN(2)/25)*CL57+(1-EXP(-LN(2)/25))/(LN(2)/25)*Calculateur!CG58*Calculateur!CI58*VLOOKUP('Données projet'!$B$12,Paramètres!$A$1:$I$89,3,0)*0.475*44/12</f>
        <v>34.617993687945912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44.54070101209043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219</v>
      </c>
      <c r="CR58" s="12">
        <f>VLOOKUP(A58,'Données projet'!$A$139:$I$159,9,0)</f>
        <v>6.8</v>
      </c>
      <c r="CS58" s="12">
        <f t="array" ref="CS58">INDEX(CR:CR,MIN(IF(ISNUMBER(CR58:CR254),ROW(CR58:CR254),"")))</f>
        <v>6.8</v>
      </c>
      <c r="CT58" s="12">
        <f>IF('Données projet'!$A$140&gt;35,CT57+CS58-DB57,IF(A58&lt;'Données projet'!$A$140,$CQ$205^A58,IF(A58='Données projet'!$A$140,'Données projet'!$B$140,CT57+CS58-DB57)))</f>
        <v>219</v>
      </c>
      <c r="CU58" s="17">
        <f>CT58*VLOOKUP('Données projet'!$B$13,Paramètres!$A$1:$I$89,3,0)*VLOOKUP('Données projet'!$B$13,Paramètres!$A$1:$I$89,5,0)</f>
        <v>174.2364</v>
      </c>
      <c r="CV58" s="13">
        <f t="shared" si="41"/>
        <v>44.03747274965864</v>
      </c>
      <c r="CW58" s="20">
        <f t="shared" si="13"/>
        <v>380.16032837232211</v>
      </c>
      <c r="CX58" s="59">
        <f t="shared" si="14"/>
        <v>673.49366170565543</v>
      </c>
      <c r="CY58" s="59">
        <f ca="1">AVERAGE(OFFSET($CX$3,0,0,'Données projet'!$E$13+1,1))-AVERAGE(OFFSET($H$3,0,0,'Données projet'!$E$13+1,1))</f>
        <v>198.11534486400666</v>
      </c>
      <c r="CZ58" s="59">
        <f t="shared" si="42"/>
        <v>174.29856796517652</v>
      </c>
      <c r="DA58" s="15">
        <f>IF(ISNA(VLOOKUP(A58,'Données projet'!$A$139:$I$159,3,0)),0,VLOOKUP(A58,'Données projet'!$A$139:$I$159,3,0))</f>
        <v>8</v>
      </c>
      <c r="DB58" s="15">
        <f>IF(ISNA(VLOOKUP(A58,'Données projet'!$A$139:$I$159,4,0)),0,VLOOKUP(A58,'Données projet'!$A$139:$I$159,4,0))</f>
        <v>13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0.21200000000000002</v>
      </c>
      <c r="DE58" s="16">
        <f>IF(ISNA(VLOOKUP(A58,'Données projet'!$A$139:$I$159,7,0)),0%,VLOOKUP(A58,'Données projet'!$A$139:$I$159,7,0))</f>
        <v>0.4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18.575120172001707</v>
      </c>
      <c r="DH58" s="21">
        <f>EXP(-LN(2)/2)*DH57+(1-EXP(-LN(2)/2))/(LN(2)/2)*DB58*DE58*VLOOKUP('Données projet'!$B$13,Paramètres!$A$1:$I$89,3,0)*0.475*44/12</f>
        <v>5.067010207154353</v>
      </c>
      <c r="DI58" s="22">
        <f t="shared" si="15"/>
        <v>23.642130379156061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5.75</v>
      </c>
      <c r="DO58" s="12">
        <f>IF('Données projet'!$A$166&gt;35,DO57+DN58-DW57,IF(A58&lt;'Données projet'!$A$166,$DL$205^A58,IF(A58='Données projet'!$A$166,'Données projet'!$B$166,DO57+DN58-DW57)))</f>
        <v>132.25</v>
      </c>
      <c r="DP58" s="17">
        <f>DO58*VLOOKUP('Données projet'!$B$14,Paramètres!$A$1:$I$89,3,0)*VLOOKUP('Données projet'!$B$14,Paramètres!$A$1:$I$89,5,0)</f>
        <v>134.10150000000002</v>
      </c>
      <c r="DQ58" s="13">
        <f t="shared" si="43"/>
        <v>34.942375413956256</v>
      </c>
      <c r="DR58" s="20">
        <f t="shared" si="16"/>
        <v>294.41808301264047</v>
      </c>
      <c r="DS58" s="59">
        <f t="shared" si="17"/>
        <v>587.75141634597378</v>
      </c>
      <c r="DT58" s="59">
        <f ca="1">AVERAGE(OFFSET($DS$3,0,0,'Données projet'!$E$14+1,1))-AVERAGE(OFFSET($H$3,0,0,'Données projet'!$E$14+1,1))</f>
        <v>247.92503505485405</v>
      </c>
      <c r="DU58" s="59">
        <f t="shared" si="44"/>
        <v>148.26437652597514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0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5.75</v>
      </c>
      <c r="EJ58" s="12">
        <f>IF('Données projet'!$A$192&gt;35,EJ57+EI58-ER57,IF(A58&lt;'Données projet'!$A$192,$EG$205^A58,IF(A58='Données projet'!$A$192,'Données projet'!$B$192,EJ57+EI58-ER57)))</f>
        <v>132.25</v>
      </c>
      <c r="EK58" s="17">
        <f>EJ58*VLOOKUP('Données projet'!$B$15,Paramètres!$A$1:$I$89,3,0)*VLOOKUP('Données projet'!$B$15,Paramètres!$A$1:$I$89,5,0)</f>
        <v>127.91220000000001</v>
      </c>
      <c r="EL58" s="13">
        <f t="shared" si="45"/>
        <v>33.513476410823074</v>
      </c>
      <c r="EM58" s="20">
        <f t="shared" si="19"/>
        <v>281.1497197488502</v>
      </c>
      <c r="EN58" s="59">
        <f t="shared" si="20"/>
        <v>574.48305308218346</v>
      </c>
      <c r="EO58" s="59">
        <f ca="1">AVERAGE(OFFSET($EN$3,0,0,'Données projet'!$E$15+1,1))-AVERAGE(OFFSET($H$3,0,0,'Données projet'!$E$15+1,1))</f>
        <v>232.99870507181964</v>
      </c>
      <c r="EP58" s="59">
        <f t="shared" si="46"/>
        <v>140.07662669226278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>
        <f>VLOOKUP(A58,'Données projet'!$A$217:$I$237,2,0)</f>
        <v>219</v>
      </c>
      <c r="FC58" s="12">
        <f>VLOOKUP(A58,'Données projet'!$A$217:$I$237,9,0)</f>
        <v>6.8</v>
      </c>
      <c r="FD58" s="12">
        <f t="array" ref="FD58">INDEX(FC:FC,MIN(IF(ISNUMBER(FC58:FC254),ROW(FC58:FC254),"")))</f>
        <v>6.8</v>
      </c>
      <c r="FE58" s="12">
        <f>IF('Données projet'!$A$218&gt;35,FE57+FD58-FM57,IF(A58&lt;'Données projet'!$A$218,$FB$205^A58,IF(A58='Données projet'!$A$218,'Données projet'!$B$218,FE57+FD58-FM57)))</f>
        <v>219</v>
      </c>
      <c r="FF58" s="17">
        <f>FE58*VLOOKUP('Données projet'!$B$16,Paramètres!$A$1:$I$89,3,0)*VLOOKUP('Données projet'!$B$16,Paramètres!$A$1:$I$89,5,0)</f>
        <v>170.82</v>
      </c>
      <c r="FG58" s="13">
        <f t="shared" si="47"/>
        <v>43.27362484306942</v>
      </c>
      <c r="FH58" s="20">
        <f t="shared" si="22"/>
        <v>372.87972993501256</v>
      </c>
      <c r="FI58" s="59">
        <f t="shared" si="23"/>
        <v>666.21306326834588</v>
      </c>
      <c r="FJ58" s="59">
        <f ca="1">AVERAGE(OFFSET($FI$3,0,0,'Données projet'!$E$16+1,1))-AVERAGE(OFFSET($H$3,0,0,'Données projet'!$E$16+1,1))</f>
        <v>193.47609744163839</v>
      </c>
      <c r="FK58" s="59">
        <f t="shared" si="48"/>
        <v>170.3221892406973</v>
      </c>
      <c r="FL58" s="15">
        <f>IF(ISNA(VLOOKUP(A58,'Données projet'!$A$217:$I$237,3,0)),0,VLOOKUP(A58,'Données projet'!$A$217:$I$237,3,0))</f>
        <v>8</v>
      </c>
      <c r="FM58" s="15">
        <f>IF(ISNA(VLOOKUP(A58,'Données projet'!$A$217:$I$237,4,0)),0,VLOOKUP(A58,'Données projet'!$A$217:$I$237,4,0))</f>
        <v>13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0.17200000000000001</v>
      </c>
      <c r="FP58" s="16">
        <f>IF(ISNA(VLOOKUP(A58,'Données projet'!$A$217:$I$237,7,0)),0%,VLOOKUP(A58,'Données projet'!$A$217:$I$237,7,0))</f>
        <v>0.4</v>
      </c>
      <c r="FQ58" s="21">
        <f>EXP(-LN(2)/35)*FQ57+(1-EXP(-LN(2)/35))/(LN(2)/35)*FM58*FN58*VLOOKUP('Données projet'!$B$16,Paramètres!$A$1:$I$89,3,0)*0.475*44/12</f>
        <v>0</v>
      </c>
      <c r="FR58" s="21">
        <f>EXP(-LN(2)/25)*FR57+(1-EXP(-LN(2)/25))/(LN(2)/25)*Calculateur!FM58*Calculateur!FO58*VLOOKUP('Données projet'!$B$16,Paramètres!$A$1:$I$89,3,0)*0.475*44/12</f>
        <v>14.77488285971279</v>
      </c>
      <c r="FS58" s="21">
        <f>EXP(-LN(2)/2)*FS57+(1-EXP(-LN(2)/2))/(LN(2)/2)*FM58*FP58*VLOOKUP('Données projet'!$B$16,Paramètres!$A$1:$I$89,3,0)*0.475*44/12</f>
        <v>4.9676570658376011</v>
      </c>
      <c r="FT58" s="22">
        <f t="shared" si="24"/>
        <v>19.742539925550389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9.75</v>
      </c>
      <c r="FZ58" s="12">
        <f>IF('Données projet'!$A$244&gt;35,FZ57+FY58-GH57,IF(A58&lt;'Données projet'!$A$244,$FW$205^A58,IF(A58='Données projet'!$A$244,'Données projet'!$B$244,FZ57+FY58-GH57)))</f>
        <v>255.25</v>
      </c>
      <c r="GA58" s="17">
        <f>FZ58*VLOOKUP('Données projet'!$B$17,Paramètres!$A$1:$I$89,3,0)*VLOOKUP('Données projet'!$B$17,Paramètres!$A$1:$I$89,5,0)</f>
        <v>139.3665</v>
      </c>
      <c r="GB58" s="13">
        <f t="shared" si="49"/>
        <v>36.151841256749016</v>
      </c>
      <c r="GC58" s="20">
        <f t="shared" si="25"/>
        <v>305.69444435550452</v>
      </c>
      <c r="GD58" s="59">
        <f t="shared" si="26"/>
        <v>599.02777768883789</v>
      </c>
      <c r="GE58" s="59">
        <f ca="1">AVERAGE(OFFSET($GD$3,0,0,'Données projet'!$E$17+1,1))-AVERAGE(OFFSET($H$3,0,0,'Données projet'!$E$17+1,1))</f>
        <v>153.43773674911449</v>
      </c>
      <c r="GF58" s="59">
        <f t="shared" si="50"/>
        <v>235.49395036616602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33.169298820448333</v>
      </c>
      <c r="GM58" s="21">
        <f>EXP(-LN(2)/25)*GM57+(1-EXP(-LN(2)/25))/(LN(2)/25)*Calculateur!GH58*Calculateur!GJ58*VLOOKUP('Données projet'!$B$17,Paramètres!$A$1:$I$89,3,0)*0.475*44/12</f>
        <v>53.307522345279061</v>
      </c>
      <c r="GN58" s="21">
        <f>EXP(-LN(2)/2)*GN57+(1-EXP(-LN(2)/2))/(LN(2)/2)*GH58*GK58*VLOOKUP('Données projet'!$B$17,Paramètres!$A$1:$I$89,3,0)*0.475*44/12</f>
        <v>0</v>
      </c>
      <c r="GO58" s="21">
        <f t="shared" si="27"/>
        <v>86.476821165727387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>
        <f>VLOOKUP(A58,'Données projet'!$A$269:$I$289,2,0)</f>
        <v>219</v>
      </c>
      <c r="GS58" s="12">
        <f>VLOOKUP(A58,'Données projet'!$A$269:$I$289,9,0)</f>
        <v>6.8</v>
      </c>
      <c r="GT58" s="12">
        <f t="array" ref="GT58">INDEX(GS:GS,MIN(IF(ISNUMBER(GS58:GS254),ROW(GS58:GS254),"")))</f>
        <v>6.8</v>
      </c>
      <c r="GU58" s="12">
        <f>IF('Données projet'!$A$270&gt;35,GU57+GT58-HC57,IF(A58&lt;'Données projet'!$A$270,$GR$205^A58,IF(A58='Données projet'!$A$270,'Données projet'!$B$270,GU57+GT58-HC57)))</f>
        <v>219</v>
      </c>
      <c r="GV58" s="17">
        <f>GU58*VLOOKUP('Données projet'!$B$18,Paramètres!$A$1:$I$89,3,0)*VLOOKUP('Données projet'!$B$18,Paramètres!$A$1:$I$89,5,0)</f>
        <v>174.2364</v>
      </c>
      <c r="GW58" s="13">
        <f t="shared" si="51"/>
        <v>44.03747274965864</v>
      </c>
      <c r="GX58" s="20">
        <f t="shared" si="28"/>
        <v>380.16032837232211</v>
      </c>
      <c r="GY58" s="59">
        <f t="shared" si="29"/>
        <v>673.49366170565543</v>
      </c>
      <c r="GZ58" s="59">
        <f ca="1">AVERAGE(OFFSET($GY$3,0,0,'Données projet'!$E$18+1,1))-AVERAGE(OFFSET($H$3,0,0,'Données projet'!$E$18+1,1))</f>
        <v>198.11534486400666</v>
      </c>
      <c r="HA58" s="59">
        <f t="shared" si="52"/>
        <v>174.29856796517652</v>
      </c>
      <c r="HB58" s="15">
        <f>IF(ISNA(VLOOKUP(A58,'Données projet'!$A$269:$I$289,3,0)),0,VLOOKUP(A58,'Données projet'!$A$269:$I$289,3,0))</f>
        <v>8</v>
      </c>
      <c r="HC58" s="15">
        <f>IF(ISNA(VLOOKUP(A58,'Données projet'!$A$269:$I$289,4,0)),0,VLOOKUP(A58,'Données projet'!$A$269:$I$289,4,0))</f>
        <v>13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0.21200000000000002</v>
      </c>
      <c r="HF58" s="16">
        <f>IF(ISNA(VLOOKUP(A58,'Données projet'!$A$269:$I$289,7,0)),0%,VLOOKUP(A58,'Données projet'!$A$269:$I$289,7,0))</f>
        <v>0.4</v>
      </c>
      <c r="HG58" s="21">
        <f>EXP(-LN(2)/35)*HG57+(1-EXP(-LN(2)/35))/(LN(2)/35)*HC58*HD58*VLOOKUP('Données projet'!$B$18,Paramètres!$A$1:$I$89,3,0)*0.475*44/12</f>
        <v>0</v>
      </c>
      <c r="HH58" s="21">
        <f>EXP(-LN(2)/25)*HH57+(1-EXP(-LN(2)/25))/(LN(2)/25)*Calculateur!HC58*Calculateur!HE58*VLOOKUP('Données projet'!$B$18,Paramètres!$A$1:$I$89,3,0)*0.475*44/12</f>
        <v>18.575120172001707</v>
      </c>
      <c r="HI58" s="21">
        <f>EXP(-LN(2)/2)*HI57+(1-EXP(-LN(2)/2))/(LN(2)/2)*HC58*HF58*VLOOKUP('Données projet'!$B$18,Paramètres!$A$1:$I$89,3,0)*0.475*44/12</f>
        <v>5.067010207154353</v>
      </c>
      <c r="HJ58" s="22">
        <f t="shared" si="30"/>
        <v>23.642130379156061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8.3000000000000007</v>
      </c>
      <c r="N59" s="13">
        <f>IF('Données projet'!$A$36&gt;35,N58+M59-V58,IF(A59&lt;'Données projet'!$A$36,$K$205^A59,IF(A59='Données projet'!$A$36,'Données projet'!$B$36,N58+M59-V58)))</f>
        <v>345.80000000000018</v>
      </c>
      <c r="O59" s="13">
        <f>N59*VLOOKUP('Données projet'!$B$9,Paramètres!$A$1:$I$89,3,0)*VLOOKUP('Données projet'!$B$9,Paramètres!$A$1:$I$89,5,0)</f>
        <v>206.78840000000014</v>
      </c>
      <c r="P59" s="13">
        <f t="shared" si="33"/>
        <v>51.233142045264508</v>
      </c>
      <c r="Q59" s="20">
        <f t="shared" si="53"/>
        <v>449.38751906216925</v>
      </c>
      <c r="R59" s="59">
        <f t="shared" si="0"/>
        <v>742.72085239550256</v>
      </c>
      <c r="S59" s="59">
        <f ca="1">AVERAGE(OFFSET($R$3,0,0,'Données projet'!$E$9+1,1))-AVERAGE(OFFSET($H$3,0,0,'Données projet'!$E$9+1,1))</f>
        <v>295.19075440119076</v>
      </c>
      <c r="T59" s="59">
        <f t="shared" si="34"/>
        <v>173.0182327988216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2.9330337628041221</v>
      </c>
      <c r="AA59" s="21">
        <f>EXP(-LN(2)/25)*AA58+(1-EXP(-LN(2)/25))/(LN(2)/25)*Calculateur!V59*Calculateur!X59*VLOOKUP('Données projet'!$B$9,Paramètres!$A$1:$I$89,3,0)*0.475*44/12</f>
        <v>11.722535798288982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14.655569561093104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17.625</v>
      </c>
      <c r="AI59" s="13">
        <f>IF('Données projet'!$A$62&gt;35,AI58+AH59-AQ58,IF(A59&lt;'Données projet'!$A$62,$AF$205^A59,IF(A59='Données projet'!$A$62,'Données projet'!$B$62,AI58+AH59-AQ58)))</f>
        <v>404.75000000000006</v>
      </c>
      <c r="AJ59" s="13">
        <f>AI59*VLOOKUP('Données projet'!$B$10,Paramètres!$A$1:$I$89,3,0)*VLOOKUP('Données projet'!$B$10,Paramètres!$A$1:$I$89,5,0)</f>
        <v>242.04050000000004</v>
      </c>
      <c r="AK59" s="13">
        <f t="shared" si="35"/>
        <v>58.878337443371535</v>
      </c>
      <c r="AL59" s="20">
        <f t="shared" si="4"/>
        <v>524.10030854720537</v>
      </c>
      <c r="AM59" s="59">
        <f t="shared" si="5"/>
        <v>817.43364188053874</v>
      </c>
      <c r="AN59" s="59">
        <f ca="1">AVERAGE(OFFSET($AM$3,0,0,'Données projet'!$E$10+1,1))-AVERAGE(OFFSET($H$3,0,0,'Données projet'!$E$10+1,1))</f>
        <v>294.45857786714919</v>
      </c>
      <c r="AO59" s="59">
        <f t="shared" si="36"/>
        <v>221.9773436301067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13.360151682946706</v>
      </c>
      <c r="AV59" s="21">
        <f>EXP(-LN(2)/25)*AV58+(1-EXP(-LN(2)/25))/(LN(2)/25)*Calculateur!AQ59*Calculateur!AS59*VLOOKUP('Données projet'!$B$10,Paramètres!$A$1:$I$89,3,0)*0.475*44/12</f>
        <v>37.983484518668547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51.343636201615254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165.35999999999999</v>
      </c>
      <c r="BF59" s="13">
        <f t="shared" si="37"/>
        <v>42.04915012784209</v>
      </c>
      <c r="BG59" s="20">
        <f t="shared" si="7"/>
        <v>361.2376031393249</v>
      </c>
      <c r="BH59" s="59">
        <f t="shared" si="8"/>
        <v>654.57093647265822</v>
      </c>
      <c r="BI59" s="59">
        <f ca="1">AVERAGE(OFFSET($BH$3,0,0,'Données projet'!$E$11+1,1))-AVERAGE(OFFSET($H$3,0,0,'Données projet'!$E$11+1,1))</f>
        <v>179.44051550872138</v>
      </c>
      <c r="BJ59" s="59">
        <f t="shared" si="38"/>
        <v>272.9500808380069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37.164421830690223</v>
      </c>
      <c r="BQ59" s="21">
        <f>EXP(-LN(2)/25)*BQ58+(1-EXP(-LN(2)/25))/(LN(2)/25)*Calculateur!BL59*Calculateur!BN59*VLOOKUP('Données projet'!$B$11,Paramètres!$A$1:$I$89,3,0)*0.475*44/12</f>
        <v>59.256943249630446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96.421365080320669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13.5</v>
      </c>
      <c r="BY59" s="12">
        <f>IF('Données projet'!$A$114&gt;35,BY58+BX59-CG58,IF(A59&lt;'Données projet'!$A$114,$BV$205^A59,IF(A59='Données projet'!$A$114,'Données projet'!$B$114,BY58+BX59-CG58)))</f>
        <v>348.99999999999989</v>
      </c>
      <c r="BZ59" s="13">
        <f>BY59*VLOOKUP('Données projet'!$B$12,Paramètres!$A$1:$I$89,3,0)*VLOOKUP('Données projet'!$B$12,Paramètres!$A$1:$I$89,5,0)</f>
        <v>163.33199999999994</v>
      </c>
      <c r="CA59" s="13">
        <f t="shared" si="39"/>
        <v>41.593153409603509</v>
      </c>
      <c r="CB59" s="20">
        <f t="shared" si="10"/>
        <v>356.9113088550593</v>
      </c>
      <c r="CC59" s="59">
        <f t="shared" si="11"/>
        <v>650.24464218839262</v>
      </c>
      <c r="CD59" s="59">
        <f ca="1">AVERAGE(OFFSET($CC$3,0,0,'Données projet'!$E$12+1,1))-AVERAGE(OFFSET($H$3,0,0,'Données projet'!$E$12+1,1))</f>
        <v>259.87681411271632</v>
      </c>
      <c r="CE59" s="59">
        <f t="shared" si="40"/>
        <v>191.8684235641158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9.7281290857719007</v>
      </c>
      <c r="CL59" s="21">
        <f>EXP(-LN(2)/25)*CL58+(1-EXP(-LN(2)/25))/(LN(2)/25)*Calculateur!CG59*Calculateur!CI59*VLOOKUP('Données projet'!$B$12,Paramètres!$A$1:$I$89,3,0)*0.475*44/12</f>
        <v>33.671362830067864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43.399491915839761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5.4</v>
      </c>
      <c r="CT59" s="12">
        <f>IF('Données projet'!$A$140&gt;35,CT58+CS59-DB58,IF(A59&lt;'Données projet'!$A$140,$CQ$205^A59,IF(A59='Données projet'!$A$140,'Données projet'!$B$140,CT58+CS59-DB58)))</f>
        <v>211.4</v>
      </c>
      <c r="CU59" s="17">
        <f>CT59*VLOOKUP('Données projet'!$B$13,Paramètres!$A$1:$I$89,3,0)*VLOOKUP('Données projet'!$B$13,Paramètres!$A$1:$I$89,5,0)</f>
        <v>168.18984</v>
      </c>
      <c r="CV59" s="13">
        <f t="shared" si="41"/>
        <v>42.684355718695393</v>
      </c>
      <c r="CW59" s="20">
        <f t="shared" si="13"/>
        <v>367.2725575433945</v>
      </c>
      <c r="CX59" s="59">
        <f t="shared" si="14"/>
        <v>660.60589087672781</v>
      </c>
      <c r="CY59" s="59">
        <f ca="1">AVERAGE(OFFSET($CX$3,0,0,'Données projet'!$E$13+1,1))-AVERAGE(OFFSET($H$3,0,0,'Données projet'!$E$13+1,1))</f>
        <v>198.11534486400666</v>
      </c>
      <c r="CZ59" s="59">
        <f t="shared" si="42"/>
        <v>174.29856796517652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18.067182534075204</v>
      </c>
      <c r="DH59" s="21">
        <f>EXP(-LN(2)/2)*DH58+(1-EXP(-LN(2)/2))/(LN(2)/2)*DB59*DE59*VLOOKUP('Données projet'!$B$13,Paramètres!$A$1:$I$89,3,0)*0.475*44/12</f>
        <v>3.5829172778202962</v>
      </c>
      <c r="DI59" s="22">
        <f t="shared" si="15"/>
        <v>21.650099811895501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>
        <f>VLOOKUP(A59,'Données projet'!$A$165:$I$185,2,0)</f>
        <v>138</v>
      </c>
      <c r="DM59" s="12">
        <f>VLOOKUP(A59,'Données projet'!$A$165:$I$185,9,0)</f>
        <v>5.75</v>
      </c>
      <c r="DN59" s="12">
        <f t="array" ref="DN59">INDEX(DM:DM,MIN(IF(ISNUMBER(DM59:DM255),ROW(DM59:DM255),"")))</f>
        <v>5.75</v>
      </c>
      <c r="DO59" s="12">
        <f>IF('Données projet'!$A$166&gt;35,DO58+DN59-DW58,IF(A59&lt;'Données projet'!$A$166,$DL$205^A59,IF(A59='Données projet'!$A$166,'Données projet'!$B$166,DO58+DN59-DW58)))</f>
        <v>138</v>
      </c>
      <c r="DP59" s="17">
        <f>DO59*VLOOKUP('Données projet'!$B$14,Paramètres!$A$1:$I$89,3,0)*VLOOKUP('Données projet'!$B$14,Paramètres!$A$1:$I$89,5,0)</f>
        <v>139.93200000000002</v>
      </c>
      <c r="DQ59" s="13">
        <f t="shared" si="43"/>
        <v>36.281427209452353</v>
      </c>
      <c r="DR59" s="20">
        <f t="shared" si="16"/>
        <v>306.90505238979614</v>
      </c>
      <c r="DS59" s="59">
        <f t="shared" si="17"/>
        <v>600.23838572312945</v>
      </c>
      <c r="DT59" s="59">
        <f ca="1">AVERAGE(OFFSET($DS$3,0,0,'Données projet'!$E$14+1,1))-AVERAGE(OFFSET($H$3,0,0,'Données projet'!$E$14+1,1))</f>
        <v>247.92503505485405</v>
      </c>
      <c r="DU59" s="59">
        <f t="shared" si="44"/>
        <v>148.26437652597514</v>
      </c>
      <c r="DV59" s="15">
        <f>IF(ISNA(VLOOKUP(A59,'Données projet'!$A$165:$I$185,3,0)),0,VLOOKUP(A59,'Données projet'!$A$165:$I$185,3,0))</f>
        <v>3</v>
      </c>
      <c r="DW59" s="15">
        <f>IF(ISNA(VLOOKUP(A59,'Données projet'!$A$165:$I$185,4,0)),0,VLOOKUP(A59,'Données projet'!$A$165:$I$185,4,0))</f>
        <v>36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0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>
        <f>VLOOKUP(A59,'Données projet'!$A$191:$I$211,2,0)</f>
        <v>138</v>
      </c>
      <c r="EH59" s="12">
        <f>VLOOKUP(A59,'Données projet'!$A$191:$I$211,9,0)</f>
        <v>5.75</v>
      </c>
      <c r="EI59" s="12">
        <f t="array" ref="EI59">INDEX(EH:EH,MIN(IF(ISNUMBER(EH59:EH255),ROW(EH59:EH255),"")))</f>
        <v>5.75</v>
      </c>
      <c r="EJ59" s="12">
        <f>IF('Données projet'!$A$192&gt;35,EJ58+EI59-ER58,IF(A59&lt;'Données projet'!$A$192,$EG$205^A59,IF(A59='Données projet'!$A$192,'Données projet'!$B$192,EJ58+EI59-ER58)))</f>
        <v>138</v>
      </c>
      <c r="EK59" s="17">
        <f>EJ59*VLOOKUP('Données projet'!$B$15,Paramètres!$A$1:$I$89,3,0)*VLOOKUP('Données projet'!$B$15,Paramètres!$A$1:$I$89,5,0)</f>
        <v>133.4736</v>
      </c>
      <c r="EL59" s="13">
        <f t="shared" si="45"/>
        <v>34.797770344180101</v>
      </c>
      <c r="EM59" s="20">
        <f t="shared" si="19"/>
        <v>293.07263668278034</v>
      </c>
      <c r="EN59" s="59">
        <f t="shared" si="20"/>
        <v>586.40597001611366</v>
      </c>
      <c r="EO59" s="59">
        <f ca="1">AVERAGE(OFFSET($EN$3,0,0,'Données projet'!$E$15+1,1))-AVERAGE(OFFSET($H$3,0,0,'Données projet'!$E$15+1,1))</f>
        <v>232.99870507181964</v>
      </c>
      <c r="EP59" s="59">
        <f t="shared" si="46"/>
        <v>140.07662669226278</v>
      </c>
      <c r="EQ59" s="15">
        <f>IF(ISNA(VLOOKUP(A59,'Données projet'!$A$191:$I$211,3,0)),0,VLOOKUP(A59,'Données projet'!$A$191:$I$211,3,0))</f>
        <v>3</v>
      </c>
      <c r="ER59" s="15">
        <f>IF(ISNA(VLOOKUP(A59,'Données projet'!$A$191:$I$211,4,0)),0,VLOOKUP(A59,'Données projet'!$A$191:$I$211,4,0))</f>
        <v>36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5.4</v>
      </c>
      <c r="FE59" s="12">
        <f>IF('Données projet'!$A$218&gt;35,FE58+FD59-FM58,IF(A59&lt;'Données projet'!$A$218,$FB$205^A59,IF(A59='Données projet'!$A$218,'Données projet'!$B$218,FE58+FD59-FM58)))</f>
        <v>211.4</v>
      </c>
      <c r="FF59" s="17">
        <f>FE59*VLOOKUP('Données projet'!$B$16,Paramètres!$A$1:$I$89,3,0)*VLOOKUP('Données projet'!$B$16,Paramètres!$A$1:$I$89,5,0)</f>
        <v>164.892</v>
      </c>
      <c r="FG59" s="13">
        <f t="shared" si="47"/>
        <v>41.943978178295119</v>
      </c>
      <c r="FH59" s="20">
        <f t="shared" si="22"/>
        <v>360.23932866053065</v>
      </c>
      <c r="FI59" s="59">
        <f t="shared" si="23"/>
        <v>653.5726619938639</v>
      </c>
      <c r="FJ59" s="59">
        <f ca="1">AVERAGE(OFFSET($FI$3,0,0,'Données projet'!$E$16+1,1))-AVERAGE(OFFSET($H$3,0,0,'Données projet'!$E$16+1,1))</f>
        <v>193.47609744163839</v>
      </c>
      <c r="FK59" s="59">
        <f t="shared" si="48"/>
        <v>170.3221892406973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</v>
      </c>
      <c r="FR59" s="21">
        <f>EXP(-LN(2)/25)*FR58+(1-EXP(-LN(2)/25))/(LN(2)/25)*Calculateur!FM59*Calculateur!FO59*VLOOKUP('Données projet'!$B$16,Paramètres!$A$1:$I$89,3,0)*0.475*44/12</f>
        <v>14.370862910936623</v>
      </c>
      <c r="FS59" s="21">
        <f>EXP(-LN(2)/2)*FS58+(1-EXP(-LN(2)/2))/(LN(2)/2)*FM59*FP59*VLOOKUP('Données projet'!$B$16,Paramètres!$A$1:$I$89,3,0)*0.475*44/12</f>
        <v>3.5126639978630356</v>
      </c>
      <c r="FT59" s="22">
        <f t="shared" si="24"/>
        <v>17.883526908799659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9.75</v>
      </c>
      <c r="FZ59" s="12">
        <f>IF('Données projet'!$A$244&gt;35,FZ58+FY59-GH58,IF(A59&lt;'Données projet'!$A$244,$FW$205^A59,IF(A59='Données projet'!$A$244,'Données projet'!$B$244,FZ58+FY59-GH58)))</f>
        <v>265</v>
      </c>
      <c r="GA59" s="17">
        <f>FZ59*VLOOKUP('Données projet'!$B$17,Paramètres!$A$1:$I$89,3,0)*VLOOKUP('Données projet'!$B$17,Paramètres!$A$1:$I$89,5,0)</f>
        <v>144.69</v>
      </c>
      <c r="GB59" s="13">
        <f t="shared" si="49"/>
        <v>37.369349513680568</v>
      </c>
      <c r="GC59" s="20">
        <f t="shared" si="25"/>
        <v>317.08670040299359</v>
      </c>
      <c r="GD59" s="59">
        <f t="shared" si="26"/>
        <v>610.4200337363269</v>
      </c>
      <c r="GE59" s="59">
        <f ca="1">AVERAGE(OFFSET($GD$3,0,0,'Données projet'!$E$17+1,1))-AVERAGE(OFFSET($H$3,0,0,'Données projet'!$E$17+1,1))</f>
        <v>153.43773674911449</v>
      </c>
      <c r="GF59" s="59">
        <f t="shared" si="50"/>
        <v>235.49395036616602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32.518869101853952</v>
      </c>
      <c r="GM59" s="21">
        <f>EXP(-LN(2)/25)*GM58+(1-EXP(-LN(2)/25))/(LN(2)/25)*Calculateur!GH59*Calculateur!GJ59*VLOOKUP('Données projet'!$B$17,Paramètres!$A$1:$I$89,3,0)*0.475*44/12</f>
        <v>51.849825343426637</v>
      </c>
      <c r="GN59" s="21">
        <f>EXP(-LN(2)/2)*GN58+(1-EXP(-LN(2)/2))/(LN(2)/2)*GH59*GK59*VLOOKUP('Données projet'!$B$17,Paramètres!$A$1:$I$89,3,0)*0.475*44/12</f>
        <v>0</v>
      </c>
      <c r="GO59" s="21">
        <f t="shared" si="27"/>
        <v>84.368694445280596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5.4</v>
      </c>
      <c r="GU59" s="12">
        <f>IF('Données projet'!$A$270&gt;35,GU58+GT59-HC58,IF(A59&lt;'Données projet'!$A$270,$GR$205^A59,IF(A59='Données projet'!$A$270,'Données projet'!$B$270,GU58+GT59-HC58)))</f>
        <v>211.4</v>
      </c>
      <c r="GV59" s="17">
        <f>GU59*VLOOKUP('Données projet'!$B$18,Paramètres!$A$1:$I$89,3,0)*VLOOKUP('Données projet'!$B$18,Paramètres!$A$1:$I$89,5,0)</f>
        <v>168.18984</v>
      </c>
      <c r="GW59" s="13">
        <f t="shared" si="51"/>
        <v>42.684355718695393</v>
      </c>
      <c r="GX59" s="20">
        <f t="shared" si="28"/>
        <v>367.2725575433945</v>
      </c>
      <c r="GY59" s="59">
        <f t="shared" si="29"/>
        <v>660.60589087672781</v>
      </c>
      <c r="GZ59" s="59">
        <f ca="1">AVERAGE(OFFSET($GY$3,0,0,'Données projet'!$E$18+1,1))-AVERAGE(OFFSET($H$3,0,0,'Données projet'!$E$18+1,1))</f>
        <v>198.11534486400666</v>
      </c>
      <c r="HA59" s="59">
        <f t="shared" si="52"/>
        <v>174.29856796517652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>
        <f>EXP(-LN(2)/35)*HG58+(1-EXP(-LN(2)/35))/(LN(2)/35)*HC59*HD59*VLOOKUP('Données projet'!$B$18,Paramètres!$A$1:$I$89,3,0)*0.475*44/12</f>
        <v>0</v>
      </c>
      <c r="HH59" s="21">
        <f>EXP(-LN(2)/25)*HH58+(1-EXP(-LN(2)/25))/(LN(2)/25)*Calculateur!HC59*Calculateur!HE59*VLOOKUP('Données projet'!$B$18,Paramètres!$A$1:$I$89,3,0)*0.475*44/12</f>
        <v>18.067182534075204</v>
      </c>
      <c r="HI59" s="21">
        <f>EXP(-LN(2)/2)*HI58+(1-EXP(-LN(2)/2))/(LN(2)/2)*HC59*HF59*VLOOKUP('Données projet'!$B$18,Paramètres!$A$1:$I$89,3,0)*0.475*44/12</f>
        <v>3.5829172778202962</v>
      </c>
      <c r="HJ59" s="22">
        <f t="shared" si="30"/>
        <v>21.650099811895501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8.3000000000000007</v>
      </c>
      <c r="N60" s="13">
        <f>IF('Données projet'!$A$36&gt;35,N59+M60-V59,IF(A60&lt;'Données projet'!$A$36,$K$205^A60,IF(A60='Données projet'!$A$36,'Données projet'!$B$36,N59+M60-V59)))</f>
        <v>354.10000000000019</v>
      </c>
      <c r="O60" s="13">
        <f>N60*VLOOKUP('Données projet'!$B$9,Paramètres!$A$1:$I$89,3,0)*VLOOKUP('Données projet'!$B$9,Paramètres!$A$1:$I$89,5,0)</f>
        <v>211.75180000000015</v>
      </c>
      <c r="P60" s="13">
        <f t="shared" si="33"/>
        <v>52.318212792392849</v>
      </c>
      <c r="Q60" s="20">
        <f t="shared" si="53"/>
        <v>459.92193894675114</v>
      </c>
      <c r="R60" s="59">
        <f t="shared" si="0"/>
        <v>753.25527228008445</v>
      </c>
      <c r="S60" s="59">
        <f ca="1">AVERAGE(OFFSET($R$3,0,0,'Données projet'!$E$9+1,1))-AVERAGE(OFFSET($H$3,0,0,'Données projet'!$E$9+1,1))</f>
        <v>295.19075440119076</v>
      </c>
      <c r="T60" s="59">
        <f t="shared" si="34"/>
        <v>173.0182327988216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2.875518759689482</v>
      </c>
      <c r="AA60" s="21">
        <f>EXP(-LN(2)/25)*AA59+(1-EXP(-LN(2)/25))/(LN(2)/25)*Calculateur!V60*Calculateur!X60*VLOOKUP('Données projet'!$B$9,Paramètres!$A$1:$I$89,3,0)*0.475*44/12</f>
        <v>11.401982440423405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14.277501200112887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17.625</v>
      </c>
      <c r="AI60" s="13">
        <f>IF('Données projet'!$A$62&gt;35,AI59+AH60-AQ59,IF(A60&lt;'Données projet'!$A$62,$AF$205^A60,IF(A60='Données projet'!$A$62,'Données projet'!$B$62,AI59+AH60-AQ59)))</f>
        <v>422.37500000000006</v>
      </c>
      <c r="AJ60" s="13">
        <f>AI60*VLOOKUP('Données projet'!$B$10,Paramètres!$A$1:$I$89,3,0)*VLOOKUP('Données projet'!$B$10,Paramètres!$A$1:$I$89,5,0)</f>
        <v>252.58025000000006</v>
      </c>
      <c r="AK60" s="13">
        <f t="shared" si="35"/>
        <v>61.138131933251593</v>
      </c>
      <c r="AL60" s="20">
        <f t="shared" si="4"/>
        <v>546.39284853374659</v>
      </c>
      <c r="AM60" s="59">
        <f t="shared" si="5"/>
        <v>839.72618186707996</v>
      </c>
      <c r="AN60" s="59">
        <f ca="1">AVERAGE(OFFSET($AM$3,0,0,'Données projet'!$E$10+1,1))-AVERAGE(OFFSET($H$3,0,0,'Données projet'!$E$10+1,1))</f>
        <v>294.45857786714919</v>
      </c>
      <c r="AO60" s="59">
        <f t="shared" si="36"/>
        <v>221.9773436301067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13.098167257332012</v>
      </c>
      <c r="AV60" s="21">
        <f>EXP(-LN(2)/25)*AV59+(1-EXP(-LN(2)/25))/(LN(2)/25)*Calculateur!AQ60*Calculateur!AS60*VLOOKUP('Données projet'!$B$10,Paramètres!$A$1:$I$89,3,0)*0.475*44/12</f>
        <v>36.944824137040918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50.042991394372933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171.44399999999999</v>
      </c>
      <c r="BF60" s="13">
        <f t="shared" si="37"/>
        <v>43.413272173627242</v>
      </c>
      <c r="BG60" s="20">
        <f t="shared" si="7"/>
        <v>374.20974903573409</v>
      </c>
      <c r="BH60" s="59">
        <f t="shared" si="8"/>
        <v>667.54308236906741</v>
      </c>
      <c r="BI60" s="59">
        <f ca="1">AVERAGE(OFFSET($BH$3,0,0,'Données projet'!$E$11+1,1))-AVERAGE(OFFSET($H$3,0,0,'Données projet'!$E$11+1,1))</f>
        <v>179.44051550872138</v>
      </c>
      <c r="BJ60" s="59">
        <f t="shared" si="38"/>
        <v>272.9500808380069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36.435650186649418</v>
      </c>
      <c r="BQ60" s="21">
        <f>EXP(-LN(2)/25)*BQ59+(1-EXP(-LN(2)/25))/(LN(2)/25)*Calculateur!BL60*Calculateur!BN60*VLOOKUP('Données projet'!$B$11,Paramètres!$A$1:$I$89,3,0)*0.475*44/12</f>
        <v>57.636559020282093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94.072209206931518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13.5</v>
      </c>
      <c r="BY60" s="12">
        <f>IF('Données projet'!$A$114&gt;35,BY59+BX60-CG59,IF(A60&lt;'Données projet'!$A$114,$BV$205^A60,IF(A60='Données projet'!$A$114,'Données projet'!$B$114,BY59+BX60-CG59)))</f>
        <v>362.49999999999989</v>
      </c>
      <c r="BZ60" s="13">
        <f>BY60*VLOOKUP('Données projet'!$B$12,Paramètres!$A$1:$I$89,3,0)*VLOOKUP('Données projet'!$B$12,Paramètres!$A$1:$I$89,5,0)</f>
        <v>169.64999999999992</v>
      </c>
      <c r="CA60" s="13">
        <f t="shared" si="39"/>
        <v>43.011625828314827</v>
      </c>
      <c r="CB60" s="20">
        <f t="shared" si="10"/>
        <v>370.38566498431487</v>
      </c>
      <c r="CC60" s="59">
        <f t="shared" si="11"/>
        <v>663.71899831764813</v>
      </c>
      <c r="CD60" s="59">
        <f ca="1">AVERAGE(OFFSET($CC$3,0,0,'Données projet'!$E$12+1,1))-AVERAGE(OFFSET($H$3,0,0,'Données projet'!$E$12+1,1))</f>
        <v>259.87681411271632</v>
      </c>
      <c r="CE60" s="59">
        <f t="shared" si="40"/>
        <v>191.8684235641158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9.5373664079727636</v>
      </c>
      <c r="CL60" s="21">
        <f>EXP(-LN(2)/25)*CL59+(1-EXP(-LN(2)/25))/(LN(2)/25)*Calculateur!CG60*Calculateur!CI60*VLOOKUP('Données projet'!$B$12,Paramètres!$A$1:$I$89,3,0)*0.475*44/12</f>
        <v>32.750617642779645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42.287984050752407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5.4</v>
      </c>
      <c r="CT60" s="12">
        <f>IF('Données projet'!$A$140&gt;35,CT59+CS60-DB59,IF(A60&lt;'Données projet'!$A$140,$CQ$205^A60,IF(A60='Données projet'!$A$140,'Données projet'!$B$140,CT59+CS60-DB59)))</f>
        <v>216.8</v>
      </c>
      <c r="CU60" s="17">
        <f>CT60*VLOOKUP('Données projet'!$B$13,Paramètres!$A$1:$I$89,3,0)*VLOOKUP('Données projet'!$B$13,Paramètres!$A$1:$I$89,5,0)</f>
        <v>172.48608000000002</v>
      </c>
      <c r="CV60" s="13">
        <f t="shared" si="41"/>
        <v>43.646351462314477</v>
      </c>
      <c r="CW60" s="20">
        <f t="shared" si="13"/>
        <v>376.43065146353109</v>
      </c>
      <c r="CX60" s="59">
        <f t="shared" si="14"/>
        <v>669.76398479686441</v>
      </c>
      <c r="CY60" s="59">
        <f ca="1">AVERAGE(OFFSET($CX$3,0,0,'Données projet'!$E$13+1,1))-AVERAGE(OFFSET($H$3,0,0,'Données projet'!$E$13+1,1))</f>
        <v>198.11534486400666</v>
      </c>
      <c r="CZ60" s="59">
        <f t="shared" si="42"/>
        <v>174.29856796517652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17.573134477569081</v>
      </c>
      <c r="DH60" s="21">
        <f>EXP(-LN(2)/2)*DH59+(1-EXP(-LN(2)/2))/(LN(2)/2)*DB60*DE60*VLOOKUP('Données projet'!$B$13,Paramètres!$A$1:$I$89,3,0)*0.475*44/12</f>
        <v>2.533505103577177</v>
      </c>
      <c r="DI60" s="22">
        <f t="shared" si="15"/>
        <v>20.106639581146258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6.625</v>
      </c>
      <c r="DO60" s="12">
        <f>IF('Données projet'!$A$166&gt;35,DO59+DN60-DW59,IF(A60&lt;'Données projet'!$A$166,$DL$205^A60,IF(A60='Données projet'!$A$166,'Données projet'!$B$166,DO59+DN60-DW59)))</f>
        <v>108.625</v>
      </c>
      <c r="DP60" s="17">
        <f>DO60*VLOOKUP('Données projet'!$B$14,Paramètres!$A$1:$I$89,3,0)*VLOOKUP('Données projet'!$B$14,Paramètres!$A$1:$I$89,5,0)</f>
        <v>110.14575000000001</v>
      </c>
      <c r="DQ60" s="13">
        <f t="shared" si="43"/>
        <v>29.365321762555343</v>
      </c>
      <c r="DR60" s="20">
        <f t="shared" si="16"/>
        <v>242.98178331978389</v>
      </c>
      <c r="DS60" s="59">
        <f t="shared" si="17"/>
        <v>536.31511665311723</v>
      </c>
      <c r="DT60" s="59">
        <f ca="1">AVERAGE(OFFSET($DS$3,0,0,'Données projet'!$E$14+1,1))-AVERAGE(OFFSET($H$3,0,0,'Données projet'!$E$14+1,1))</f>
        <v>247.92503505485405</v>
      </c>
      <c r="DU60" s="59">
        <f t="shared" si="44"/>
        <v>148.26437652597514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0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6.625</v>
      </c>
      <c r="EJ60" s="12">
        <f>IF('Données projet'!$A$192&gt;35,EJ59+EI60-ER59,IF(A60&lt;'Données projet'!$A$192,$EG$205^A60,IF(A60='Données projet'!$A$192,'Données projet'!$B$192,EJ59+EI60-ER59)))</f>
        <v>108.625</v>
      </c>
      <c r="EK60" s="17">
        <f>EJ60*VLOOKUP('Données projet'!$B$15,Paramètres!$A$1:$I$89,3,0)*VLOOKUP('Données projet'!$B$15,Paramètres!$A$1:$I$89,5,0)</f>
        <v>105.0621</v>
      </c>
      <c r="EL60" s="13">
        <f t="shared" si="45"/>
        <v>28.164485285466803</v>
      </c>
      <c r="EM60" s="20">
        <f t="shared" si="19"/>
        <v>232.03630270552131</v>
      </c>
      <c r="EN60" s="59">
        <f t="shared" si="20"/>
        <v>525.36963603885465</v>
      </c>
      <c r="EO60" s="59">
        <f ca="1">AVERAGE(OFFSET($EN$3,0,0,'Données projet'!$E$15+1,1))-AVERAGE(OFFSET($H$3,0,0,'Données projet'!$E$15+1,1))</f>
        <v>232.99870507181964</v>
      </c>
      <c r="EP60" s="59">
        <f t="shared" si="46"/>
        <v>140.07662669226278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5.4</v>
      </c>
      <c r="FE60" s="12">
        <f>IF('Données projet'!$A$218&gt;35,FE59+FD60-FM59,IF(A60&lt;'Données projet'!$A$218,$FB$205^A60,IF(A60='Données projet'!$A$218,'Données projet'!$B$218,FE59+FD60-FM59)))</f>
        <v>216.8</v>
      </c>
      <c r="FF60" s="17">
        <f>FE60*VLOOKUP('Données projet'!$B$16,Paramètres!$A$1:$I$89,3,0)*VLOOKUP('Données projet'!$B$16,Paramètres!$A$1:$I$89,5,0)</f>
        <v>169.10400000000001</v>
      </c>
      <c r="FG60" s="13">
        <f t="shared" si="47"/>
        <v>42.889287713804841</v>
      </c>
      <c r="FH60" s="20">
        <f t="shared" si="22"/>
        <v>369.22164276821007</v>
      </c>
      <c r="FI60" s="59">
        <f t="shared" si="23"/>
        <v>662.55497610154339</v>
      </c>
      <c r="FJ60" s="59">
        <f ca="1">AVERAGE(OFFSET($FI$3,0,0,'Données projet'!$E$16+1,1))-AVERAGE(OFFSET($H$3,0,0,'Données projet'!$E$16+1,1))</f>
        <v>193.47609744163839</v>
      </c>
      <c r="FK60" s="59">
        <f t="shared" si="48"/>
        <v>170.3221892406973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</v>
      </c>
      <c r="FR60" s="21">
        <f>EXP(-LN(2)/25)*FR59+(1-EXP(-LN(2)/25))/(LN(2)/25)*Calculateur!FM60*Calculateur!FO60*VLOOKUP('Données projet'!$B$16,Paramètres!$A$1:$I$89,3,0)*0.475*44/12</f>
        <v>13.977890908906225</v>
      </c>
      <c r="FS60" s="21">
        <f>EXP(-LN(2)/2)*FS59+(1-EXP(-LN(2)/2))/(LN(2)/2)*FM60*FP60*VLOOKUP('Données projet'!$B$16,Paramètres!$A$1:$I$89,3,0)*0.475*44/12</f>
        <v>2.483828532918801</v>
      </c>
      <c r="FT60" s="22">
        <f t="shared" si="24"/>
        <v>16.461719441825025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9.75</v>
      </c>
      <c r="FZ60" s="12">
        <f>IF('Données projet'!$A$244&gt;35,FZ59+FY60-GH59,IF(A60&lt;'Données projet'!$A$244,$FW$205^A60,IF(A60='Données projet'!$A$244,'Données projet'!$B$244,FZ59+FY60-GH59)))</f>
        <v>274.75</v>
      </c>
      <c r="GA60" s="17">
        <f>FZ60*VLOOKUP('Données projet'!$B$17,Paramètres!$A$1:$I$89,3,0)*VLOOKUP('Données projet'!$B$17,Paramètres!$A$1:$I$89,5,0)</f>
        <v>150.01349999999999</v>
      </c>
      <c r="GB60" s="13">
        <f t="shared" si="49"/>
        <v>38.581653528227356</v>
      </c>
      <c r="GC60" s="20">
        <f t="shared" si="25"/>
        <v>328.46989239499595</v>
      </c>
      <c r="GD60" s="59">
        <f t="shared" si="26"/>
        <v>621.80322572832927</v>
      </c>
      <c r="GE60" s="59">
        <f ca="1">AVERAGE(OFFSET($GD$3,0,0,'Données projet'!$E$17+1,1))-AVERAGE(OFFSET($H$3,0,0,'Données projet'!$E$17+1,1))</f>
        <v>153.43773674911449</v>
      </c>
      <c r="GF60" s="59">
        <f t="shared" si="50"/>
        <v>235.49395036616602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31.881193913318249</v>
      </c>
      <c r="GM60" s="21">
        <f>EXP(-LN(2)/25)*GM59+(1-EXP(-LN(2)/25))/(LN(2)/25)*Calculateur!GH60*Calculateur!GJ60*VLOOKUP('Données projet'!$B$17,Paramètres!$A$1:$I$89,3,0)*0.475*44/12</f>
        <v>50.431989142746822</v>
      </c>
      <c r="GN60" s="21">
        <f>EXP(-LN(2)/2)*GN59+(1-EXP(-LN(2)/2))/(LN(2)/2)*GH60*GK60*VLOOKUP('Données projet'!$B$17,Paramètres!$A$1:$I$89,3,0)*0.475*44/12</f>
        <v>0</v>
      </c>
      <c r="GO60" s="21">
        <f t="shared" si="27"/>
        <v>82.313183056065071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5.4</v>
      </c>
      <c r="GU60" s="12">
        <f>IF('Données projet'!$A$270&gt;35,GU59+GT60-HC59,IF(A60&lt;'Données projet'!$A$270,$GR$205^A60,IF(A60='Données projet'!$A$270,'Données projet'!$B$270,GU59+GT60-HC59)))</f>
        <v>216.8</v>
      </c>
      <c r="GV60" s="17">
        <f>GU60*VLOOKUP('Données projet'!$B$18,Paramètres!$A$1:$I$89,3,0)*VLOOKUP('Données projet'!$B$18,Paramètres!$A$1:$I$89,5,0)</f>
        <v>172.48608000000002</v>
      </c>
      <c r="GW60" s="13">
        <f t="shared" si="51"/>
        <v>43.646351462314477</v>
      </c>
      <c r="GX60" s="20">
        <f t="shared" si="28"/>
        <v>376.43065146353109</v>
      </c>
      <c r="GY60" s="59">
        <f t="shared" si="29"/>
        <v>669.76398479686441</v>
      </c>
      <c r="GZ60" s="59">
        <f ca="1">AVERAGE(OFFSET($GY$3,0,0,'Données projet'!$E$18+1,1))-AVERAGE(OFFSET($H$3,0,0,'Données projet'!$E$18+1,1))</f>
        <v>198.11534486400666</v>
      </c>
      <c r="HA60" s="59">
        <f t="shared" si="52"/>
        <v>174.29856796517652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>
        <f>EXP(-LN(2)/35)*HG59+(1-EXP(-LN(2)/35))/(LN(2)/35)*HC60*HD60*VLOOKUP('Données projet'!$B$18,Paramètres!$A$1:$I$89,3,0)*0.475*44/12</f>
        <v>0</v>
      </c>
      <c r="HH60" s="21">
        <f>EXP(-LN(2)/25)*HH59+(1-EXP(-LN(2)/25))/(LN(2)/25)*Calculateur!HC60*Calculateur!HE60*VLOOKUP('Données projet'!$B$18,Paramètres!$A$1:$I$89,3,0)*0.475*44/12</f>
        <v>17.573134477569081</v>
      </c>
      <c r="HI60" s="21">
        <f>EXP(-LN(2)/2)*HI59+(1-EXP(-LN(2)/2))/(LN(2)/2)*HC60*HF60*VLOOKUP('Données projet'!$B$18,Paramètres!$A$1:$I$89,3,0)*0.475*44/12</f>
        <v>2.533505103577177</v>
      </c>
      <c r="HJ60" s="22">
        <f t="shared" si="30"/>
        <v>20.106639581146258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8.3000000000000007</v>
      </c>
      <c r="N61" s="13">
        <f>IF('Données projet'!$A$36&gt;35,N60+M61-V60,IF(A61&lt;'Données projet'!$A$36,$K$205^A61,IF(A61='Données projet'!$A$36,'Données projet'!$B$36,N60+M61-V60)))</f>
        <v>362.4000000000002</v>
      </c>
      <c r="O61" s="13">
        <f>N61*VLOOKUP('Données projet'!$B$9,Paramètres!$A$1:$I$89,3,0)*VLOOKUP('Données projet'!$B$9,Paramètres!$A$1:$I$89,5,0)</f>
        <v>216.71520000000012</v>
      </c>
      <c r="P61" s="13">
        <f t="shared" si="33"/>
        <v>53.400326801074698</v>
      </c>
      <c r="Q61" s="20">
        <f t="shared" si="53"/>
        <v>470.45120917853865</v>
      </c>
      <c r="R61" s="59">
        <f t="shared" si="0"/>
        <v>763.7845425118719</v>
      </c>
      <c r="S61" s="59">
        <f ca="1">AVERAGE(OFFSET($R$3,0,0,'Données projet'!$E$9+1,1))-AVERAGE(OFFSET($H$3,0,0,'Données projet'!$E$9+1,1))</f>
        <v>295.19075440119076</v>
      </c>
      <c r="T61" s="59">
        <f t="shared" si="34"/>
        <v>173.0182327988216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2.8191315907052319</v>
      </c>
      <c r="AA61" s="21">
        <f>EXP(-LN(2)/25)*AA60+(1-EXP(-LN(2)/25))/(LN(2)/25)*Calculateur!V61*Calculateur!X61*VLOOKUP('Données projet'!$B$9,Paramètres!$A$1:$I$89,3,0)*0.475*44/12</f>
        <v>11.090194630985829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13.90932622169106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>
        <f>VLOOKUP(A61,'Données projet'!$A$61:$I$81,2,0)</f>
        <v>440</v>
      </c>
      <c r="AG61" s="12">
        <f>VLOOKUP(A61,'Données projet'!$A$61:$I$81,9,0)</f>
        <v>17.625</v>
      </c>
      <c r="AH61" s="12">
        <f t="array" ref="AH61">INDEX(AG:AG,MIN(IF(ISNUMBER(AG61:AG257),ROW(AG61:AG257),"")))</f>
        <v>17.625</v>
      </c>
      <c r="AI61" s="13">
        <f>IF('Données projet'!$A$62&gt;35,AI60+AH61-AQ60,IF(A61&lt;'Données projet'!$A$62,$AF$205^A61,IF(A61='Données projet'!$A$62,'Données projet'!$B$62,AI60+AH61-AQ60)))</f>
        <v>440.00000000000006</v>
      </c>
      <c r="AJ61" s="13">
        <f>AI61*VLOOKUP('Données projet'!$B$10,Paramètres!$A$1:$I$89,3,0)*VLOOKUP('Données projet'!$B$10,Paramètres!$A$1:$I$89,5,0)</f>
        <v>263.12000000000006</v>
      </c>
      <c r="AK61" s="13">
        <f t="shared" si="35"/>
        <v>63.386973458752003</v>
      </c>
      <c r="AL61" s="20">
        <f t="shared" si="4"/>
        <v>568.66631210732646</v>
      </c>
      <c r="AM61" s="59">
        <f t="shared" si="5"/>
        <v>861.99964544065983</v>
      </c>
      <c r="AN61" s="59">
        <f ca="1">AVERAGE(OFFSET($AM$3,0,0,'Données projet'!$E$10+1,1))-AVERAGE(OFFSET($H$3,0,0,'Données projet'!$E$10+1,1))</f>
        <v>294.45857786714919</v>
      </c>
      <c r="AO61" s="59">
        <f t="shared" si="36"/>
        <v>221.9773436301067</v>
      </c>
      <c r="AP61" s="15">
        <f>IF(ISNA(VLOOKUP(A61,'Données projet'!$A$61:$I$81,3,0)),0,VLOOKUP(A61,'Données projet'!$A$61:$I$81,3,0))</f>
        <v>8</v>
      </c>
      <c r="AQ61" s="15">
        <f>IF(ISNA(VLOOKUP(A61,'Données projet'!$A$61:$I$81,4,0)),0,VLOOKUP(A61,'Données projet'!$A$61:$I$81,4,0))</f>
        <v>78</v>
      </c>
      <c r="AR61" s="16">
        <f>IF(ISNA(VLOOKUP(A61,'Données projet'!$A$61:$I$81,5,0)),0%,VLOOKUP(A61,'Données projet'!$A$61:$I$81,5,0)*VLOOKUP('Données projet'!$B$10,Paramètres!$A$1:$I$89,7,0))</f>
        <v>0.18000000000000002</v>
      </c>
      <c r="AS61" s="16">
        <f>IF(ISNA(VLOOKUP(A61,'Données projet'!$A$61:$I$81,6,0)),0%,VLOOKUP(A61,'Données projet'!$A$61:$I$81,6,0)*VLOOKUP('Données projet'!$B$10,Paramètres!$A$1:$I$89,7,0))</f>
        <v>0.27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23.979049229222845</v>
      </c>
      <c r="AV61" s="21">
        <f>EXP(-LN(2)/25)*AV60+(1-EXP(-LN(2)/25))/(LN(2)/25)*Calculateur!AQ61*Calculateur!AS61*VLOOKUP('Données projet'!$B$10,Paramètres!$A$1:$I$89,3,0)*0.475*44/12</f>
        <v>52.575379317667633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76.554428546890477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177.52800000000002</v>
      </c>
      <c r="BF61" s="13">
        <f t="shared" si="37"/>
        <v>44.771769863863661</v>
      </c>
      <c r="BG61" s="20">
        <f t="shared" si="7"/>
        <v>387.17209917956257</v>
      </c>
      <c r="BH61" s="59">
        <f t="shared" si="8"/>
        <v>680.50543251289582</v>
      </c>
      <c r="BI61" s="59">
        <f ca="1">AVERAGE(OFFSET($BH$3,0,0,'Données projet'!$E$11+1,1))-AVERAGE(OFFSET($H$3,0,0,'Données projet'!$E$11+1,1))</f>
        <v>179.44051550872138</v>
      </c>
      <c r="BJ61" s="59">
        <f t="shared" si="38"/>
        <v>272.9500808380069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35.721169310041446</v>
      </c>
      <c r="BQ61" s="21">
        <f>EXP(-LN(2)/25)*BQ60+(1-EXP(-LN(2)/25))/(LN(2)/25)*Calculateur!BL61*Calculateur!BN61*VLOOKUP('Données projet'!$B$11,Paramètres!$A$1:$I$89,3,0)*0.475*44/12</f>
        <v>56.060484282897569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91.781653592939023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13.5</v>
      </c>
      <c r="BY61" s="12">
        <f>IF('Données projet'!$A$114&gt;35,BY60+BX61-CG60,IF(A61&lt;'Données projet'!$A$114,$BV$205^A61,IF(A61='Données projet'!$A$114,'Données projet'!$B$114,BY60+BX61-CG60)))</f>
        <v>375.99999999999989</v>
      </c>
      <c r="BZ61" s="13">
        <f>BY61*VLOOKUP('Données projet'!$B$12,Paramètres!$A$1:$I$89,3,0)*VLOOKUP('Données projet'!$B$12,Paramètres!$A$1:$I$89,5,0)</f>
        <v>175.96799999999996</v>
      </c>
      <c r="CA61" s="13">
        <f t="shared" si="39"/>
        <v>44.423961125650585</v>
      </c>
      <c r="CB61" s="20">
        <f t="shared" si="10"/>
        <v>383.84933229384131</v>
      </c>
      <c r="CC61" s="59">
        <f t="shared" si="11"/>
        <v>677.18266562717463</v>
      </c>
      <c r="CD61" s="59">
        <f ca="1">AVERAGE(OFFSET($CC$3,0,0,'Données projet'!$E$12+1,1))-AVERAGE(OFFSET($H$3,0,0,'Données projet'!$E$12+1,1))</f>
        <v>259.87681411271632</v>
      </c>
      <c r="CE61" s="59">
        <f t="shared" si="40"/>
        <v>191.8684235641158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9.3503444699315246</v>
      </c>
      <c r="CL61" s="21">
        <f>EXP(-LN(2)/25)*CL60+(1-EXP(-LN(2)/25))/(LN(2)/25)*Calculateur!CG61*Calculateur!CI61*VLOOKUP('Données projet'!$B$12,Paramètres!$A$1:$I$89,3,0)*0.475*44/12</f>
        <v>31.855050281057707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41.205394750989228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5.4</v>
      </c>
      <c r="CT61" s="12">
        <f>IF('Données projet'!$A$140&gt;35,CT60+CS61-DB60,IF(A61&lt;'Données projet'!$A$140,$CQ$205^A61,IF(A61='Données projet'!$A$140,'Données projet'!$B$140,CT60+CS61-DB60)))</f>
        <v>222.20000000000002</v>
      </c>
      <c r="CU61" s="17">
        <f>CT61*VLOOKUP('Données projet'!$B$13,Paramètres!$A$1:$I$89,3,0)*VLOOKUP('Données projet'!$B$13,Paramètres!$A$1:$I$89,5,0)</f>
        <v>176.78232000000003</v>
      </c>
      <c r="CV61" s="13">
        <f t="shared" si="41"/>
        <v>44.605561863097456</v>
      </c>
      <c r="CW61" s="20">
        <f t="shared" si="13"/>
        <v>385.58389424489479</v>
      </c>
      <c r="CX61" s="59">
        <f t="shared" si="14"/>
        <v>678.91722757822811</v>
      </c>
      <c r="CY61" s="59">
        <f ca="1">AVERAGE(OFFSET($CX$3,0,0,'Données projet'!$E$13+1,1))-AVERAGE(OFFSET($H$3,0,0,'Données projet'!$E$13+1,1))</f>
        <v>198.11534486400666</v>
      </c>
      <c r="CZ61" s="59">
        <f t="shared" si="42"/>
        <v>174.29856796517652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17.092596191148974</v>
      </c>
      <c r="DH61" s="21">
        <f>EXP(-LN(2)/2)*DH60+(1-EXP(-LN(2)/2))/(LN(2)/2)*DB61*DE61*VLOOKUP('Données projet'!$B$13,Paramètres!$A$1:$I$89,3,0)*0.475*44/12</f>
        <v>1.7914586389101483</v>
      </c>
      <c r="DI61" s="22">
        <f t="shared" si="15"/>
        <v>18.884054830059121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6.625</v>
      </c>
      <c r="DO61" s="12">
        <f>IF('Données projet'!$A$166&gt;35,DO60+DN61-DW60,IF(A61&lt;'Données projet'!$A$166,$DL$205^A61,IF(A61='Données projet'!$A$166,'Données projet'!$B$166,DO60+DN61-DW60)))</f>
        <v>115.25</v>
      </c>
      <c r="DP61" s="17">
        <f>DO61*VLOOKUP('Données projet'!$B$14,Paramètres!$A$1:$I$89,3,0)*VLOOKUP('Données projet'!$B$14,Paramètres!$A$1:$I$89,5,0)</f>
        <v>116.86350000000002</v>
      </c>
      <c r="DQ61" s="13">
        <f t="shared" si="43"/>
        <v>30.9423383840805</v>
      </c>
      <c r="DR61" s="20">
        <f t="shared" si="16"/>
        <v>257.42850185227354</v>
      </c>
      <c r="DS61" s="59">
        <f t="shared" si="17"/>
        <v>550.76183518560686</v>
      </c>
      <c r="DT61" s="59">
        <f ca="1">AVERAGE(OFFSET($DS$3,0,0,'Données projet'!$E$14+1,1))-AVERAGE(OFFSET($H$3,0,0,'Données projet'!$E$14+1,1))</f>
        <v>247.92503505485405</v>
      </c>
      <c r="DU61" s="59">
        <f t="shared" si="44"/>
        <v>148.26437652597514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0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6.625</v>
      </c>
      <c r="EJ61" s="12">
        <f>IF('Données projet'!$A$192&gt;35,EJ60+EI61-ER60,IF(A61&lt;'Données projet'!$A$192,$EG$205^A61,IF(A61='Données projet'!$A$192,'Données projet'!$B$192,EJ60+EI61-ER60)))</f>
        <v>115.25</v>
      </c>
      <c r="EK61" s="17">
        <f>EJ61*VLOOKUP('Données projet'!$B$15,Paramètres!$A$1:$I$89,3,0)*VLOOKUP('Données projet'!$B$15,Paramètres!$A$1:$I$89,5,0)</f>
        <v>111.46980000000001</v>
      </c>
      <c r="EL61" s="13">
        <f t="shared" si="45"/>
        <v>29.677012946189294</v>
      </c>
      <c r="EM61" s="20">
        <f t="shared" si="19"/>
        <v>245.83069921461302</v>
      </c>
      <c r="EN61" s="59">
        <f t="shared" si="20"/>
        <v>539.16403254794636</v>
      </c>
      <c r="EO61" s="59">
        <f ca="1">AVERAGE(OFFSET($EN$3,0,0,'Données projet'!$E$15+1,1))-AVERAGE(OFFSET($H$3,0,0,'Données projet'!$E$15+1,1))</f>
        <v>232.99870507181964</v>
      </c>
      <c r="EP61" s="59">
        <f t="shared" si="46"/>
        <v>140.07662669226278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5.4</v>
      </c>
      <c r="FE61" s="12">
        <f>IF('Données projet'!$A$218&gt;35,FE60+FD61-FM60,IF(A61&lt;'Données projet'!$A$218,$FB$205^A61,IF(A61='Données projet'!$A$218,'Données projet'!$B$218,FE60+FD61-FM60)))</f>
        <v>222.20000000000002</v>
      </c>
      <c r="FF61" s="17">
        <f>FE61*VLOOKUP('Données projet'!$B$16,Paramètres!$A$1:$I$89,3,0)*VLOOKUP('Données projet'!$B$16,Paramètres!$A$1:$I$89,5,0)</f>
        <v>173.31600000000003</v>
      </c>
      <c r="FG61" s="13">
        <f t="shared" si="47"/>
        <v>43.831860219384751</v>
      </c>
      <c r="FH61" s="20">
        <f t="shared" si="22"/>
        <v>378.19918988209514</v>
      </c>
      <c r="FI61" s="59">
        <f t="shared" si="23"/>
        <v>671.53252321542845</v>
      </c>
      <c r="FJ61" s="59">
        <f ca="1">AVERAGE(OFFSET($FI$3,0,0,'Données projet'!$E$16+1,1))-AVERAGE(OFFSET($H$3,0,0,'Données projet'!$E$16+1,1))</f>
        <v>193.47609744163839</v>
      </c>
      <c r="FK61" s="59">
        <f t="shared" si="48"/>
        <v>170.3221892406973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</v>
      </c>
      <c r="FR61" s="21">
        <f>EXP(-LN(2)/25)*FR60+(1-EXP(-LN(2)/25))/(LN(2)/25)*Calculateur!FM61*Calculateur!FO61*VLOOKUP('Données projet'!$B$16,Paramètres!$A$1:$I$89,3,0)*0.475*44/12</f>
        <v>13.595664746936849</v>
      </c>
      <c r="FS61" s="21">
        <f>EXP(-LN(2)/2)*FS60+(1-EXP(-LN(2)/2))/(LN(2)/2)*FM61*FP61*VLOOKUP('Données projet'!$B$16,Paramètres!$A$1:$I$89,3,0)*0.475*44/12</f>
        <v>1.756331998931518</v>
      </c>
      <c r="FT61" s="22">
        <f t="shared" si="24"/>
        <v>15.351996745868368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9.75</v>
      </c>
      <c r="FZ61" s="12">
        <f>IF('Données projet'!$A$244&gt;35,FZ60+FY61-GH60,IF(A61&lt;'Données projet'!$A$244,$FW$205^A61,IF(A61='Données projet'!$A$244,'Données projet'!$B$244,FZ60+FY61-GH60)))</f>
        <v>284.5</v>
      </c>
      <c r="GA61" s="17">
        <f>FZ61*VLOOKUP('Données projet'!$B$17,Paramètres!$A$1:$I$89,3,0)*VLOOKUP('Données projet'!$B$17,Paramètres!$A$1:$I$89,5,0)</f>
        <v>155.33699999999999</v>
      </c>
      <c r="GB61" s="13">
        <f t="shared" si="49"/>
        <v>39.788959141911022</v>
      </c>
      <c r="GC61" s="20">
        <f t="shared" si="25"/>
        <v>339.84437883882828</v>
      </c>
      <c r="GD61" s="59">
        <f t="shared" si="26"/>
        <v>633.17771217216159</v>
      </c>
      <c r="GE61" s="59">
        <f ca="1">AVERAGE(OFFSET($GD$3,0,0,'Données projet'!$E$17+1,1))-AVERAGE(OFFSET($H$3,0,0,'Données projet'!$E$17+1,1))</f>
        <v>153.43773674911449</v>
      </c>
      <c r="GF61" s="59">
        <f t="shared" si="50"/>
        <v>235.49395036616602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31.256023146286271</v>
      </c>
      <c r="GM61" s="21">
        <f>EXP(-LN(2)/25)*GM60+(1-EXP(-LN(2)/25))/(LN(2)/25)*Calculateur!GH61*Calculateur!GJ61*VLOOKUP('Données projet'!$B$17,Paramètres!$A$1:$I$89,3,0)*0.475*44/12</f>
        <v>49.052923747535367</v>
      </c>
      <c r="GN61" s="21">
        <f>EXP(-LN(2)/2)*GN60+(1-EXP(-LN(2)/2))/(LN(2)/2)*GH61*GK61*VLOOKUP('Données projet'!$B$17,Paramètres!$A$1:$I$89,3,0)*0.475*44/12</f>
        <v>0</v>
      </c>
      <c r="GO61" s="21">
        <f t="shared" si="27"/>
        <v>80.308946893821641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5.4</v>
      </c>
      <c r="GU61" s="12">
        <f>IF('Données projet'!$A$270&gt;35,GU60+GT61-HC60,IF(A61&lt;'Données projet'!$A$270,$GR$205^A61,IF(A61='Données projet'!$A$270,'Données projet'!$B$270,GU60+GT61-HC60)))</f>
        <v>222.20000000000002</v>
      </c>
      <c r="GV61" s="17">
        <f>GU61*VLOOKUP('Données projet'!$B$18,Paramètres!$A$1:$I$89,3,0)*VLOOKUP('Données projet'!$B$18,Paramètres!$A$1:$I$89,5,0)</f>
        <v>176.78232000000003</v>
      </c>
      <c r="GW61" s="13">
        <f t="shared" si="51"/>
        <v>44.605561863097456</v>
      </c>
      <c r="GX61" s="20">
        <f t="shared" si="28"/>
        <v>385.58389424489479</v>
      </c>
      <c r="GY61" s="59">
        <f t="shared" si="29"/>
        <v>678.91722757822811</v>
      </c>
      <c r="GZ61" s="59">
        <f ca="1">AVERAGE(OFFSET($GY$3,0,0,'Données projet'!$E$18+1,1))-AVERAGE(OFFSET($H$3,0,0,'Données projet'!$E$18+1,1))</f>
        <v>198.11534486400666</v>
      </c>
      <c r="HA61" s="59">
        <f t="shared" si="52"/>
        <v>174.29856796517652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>
        <f>EXP(-LN(2)/35)*HG60+(1-EXP(-LN(2)/35))/(LN(2)/35)*HC61*HD61*VLOOKUP('Données projet'!$B$18,Paramètres!$A$1:$I$89,3,0)*0.475*44/12</f>
        <v>0</v>
      </c>
      <c r="HH61" s="21">
        <f>EXP(-LN(2)/25)*HH60+(1-EXP(-LN(2)/25))/(LN(2)/25)*Calculateur!HC61*Calculateur!HE61*VLOOKUP('Données projet'!$B$18,Paramètres!$A$1:$I$89,3,0)*0.475*44/12</f>
        <v>17.092596191148974</v>
      </c>
      <c r="HI61" s="21">
        <f>EXP(-LN(2)/2)*HI60+(1-EXP(-LN(2)/2))/(LN(2)/2)*HC61*HF61*VLOOKUP('Données projet'!$B$18,Paramètres!$A$1:$I$89,3,0)*0.475*44/12</f>
        <v>1.7914586389101483</v>
      </c>
      <c r="HJ61" s="22">
        <f t="shared" si="30"/>
        <v>18.884054830059121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8.3000000000000007</v>
      </c>
      <c r="N62" s="13">
        <f>IF('Données projet'!$A$36&gt;35,N61+M62-V61,IF(A62&lt;'Données projet'!$A$36,$K$205^A62,IF(A62='Données projet'!$A$36,'Données projet'!$B$36,N61+M62-V61)))</f>
        <v>370.70000000000022</v>
      </c>
      <c r="O62" s="13">
        <f>N62*VLOOKUP('Données projet'!$B$9,Paramètres!$A$1:$I$89,3,0)*VLOOKUP('Données projet'!$B$9,Paramètres!$A$1:$I$89,5,0)</f>
        <v>221.67860000000013</v>
      </c>
      <c r="P62" s="13">
        <f t="shared" si="33"/>
        <v>54.479559584117418</v>
      </c>
      <c r="Q62" s="20">
        <f t="shared" si="53"/>
        <v>480.97546127567131</v>
      </c>
      <c r="R62" s="59">
        <f t="shared" si="0"/>
        <v>774.30879460900462</v>
      </c>
      <c r="S62" s="59">
        <f ca="1">AVERAGE(OFFSET($R$3,0,0,'Données projet'!$E$9+1,1))-AVERAGE(OFFSET($H$3,0,0,'Données projet'!$E$9+1,1))</f>
        <v>295.19075440119076</v>
      </c>
      <c r="T62" s="59">
        <f t="shared" si="34"/>
        <v>173.0182327988216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2.7638501397119861</v>
      </c>
      <c r="AA62" s="21">
        <f>EXP(-LN(2)/25)*AA61+(1-EXP(-LN(2)/25))/(LN(2)/25)*Calculateur!V62*Calculateur!X62*VLOOKUP('Données projet'!$B$9,Paramètres!$A$1:$I$89,3,0)*0.475*44/12</f>
        <v>10.786932675593533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13.550782815305519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16.625</v>
      </c>
      <c r="AI62" s="13">
        <f>IF('Données projet'!$A$62&gt;35,AI61+AH62-AQ61,IF(A62&lt;'Données projet'!$A$62,$AF$205^A62,IF(A62='Données projet'!$A$62,'Données projet'!$B$62,AI61+AH62-AQ61)))</f>
        <v>378.62500000000006</v>
      </c>
      <c r="AJ62" s="13">
        <f>AI62*VLOOKUP('Données projet'!$B$10,Paramètres!$A$1:$I$89,3,0)*VLOOKUP('Données projet'!$B$10,Paramètres!$A$1:$I$89,5,0)</f>
        <v>226.41775000000007</v>
      </c>
      <c r="AK62" s="13">
        <f t="shared" si="35"/>
        <v>55.507409107649544</v>
      </c>
      <c r="AL62" s="20">
        <f t="shared" si="4"/>
        <v>491.01965211248972</v>
      </c>
      <c r="AM62" s="59">
        <f t="shared" si="5"/>
        <v>784.35298544582304</v>
      </c>
      <c r="AN62" s="59">
        <f ca="1">AVERAGE(OFFSET($AM$3,0,0,'Données projet'!$E$10+1,1))-AVERAGE(OFFSET($H$3,0,0,'Données projet'!$E$10+1,1))</f>
        <v>294.45857786714919</v>
      </c>
      <c r="AO62" s="59">
        <f t="shared" si="36"/>
        <v>221.9773436301067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23.50883469961364</v>
      </c>
      <c r="AV62" s="21">
        <f>EXP(-LN(2)/25)*AV61+(1-EXP(-LN(2)/25))/(LN(2)/25)*Calculateur!AQ62*Calculateur!AS62*VLOOKUP('Données projet'!$B$10,Paramètres!$A$1:$I$89,3,0)*0.475*44/12</f>
        <v>51.137702805406974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74.646537505020618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183.61199999999999</v>
      </c>
      <c r="BF62" s="13">
        <f t="shared" si="37"/>
        <v>46.124858041839339</v>
      </c>
      <c r="BG62" s="20">
        <f t="shared" si="7"/>
        <v>400.12502775620351</v>
      </c>
      <c r="BH62" s="59">
        <f t="shared" si="8"/>
        <v>693.45836108953677</v>
      </c>
      <c r="BI62" s="59">
        <f ca="1">AVERAGE(OFFSET($BH$3,0,0,'Données projet'!$E$11+1,1))-AVERAGE(OFFSET($H$3,0,0,'Données projet'!$E$11+1,1))</f>
        <v>179.44051550872138</v>
      </c>
      <c r="BJ62" s="59">
        <f t="shared" si="38"/>
        <v>272.9500808380069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35.02069896763345</v>
      </c>
      <c r="BQ62" s="21">
        <f>EXP(-LN(2)/25)*BQ61+(1-EXP(-LN(2)/25))/(LN(2)/25)*Calculateur!BL62*Calculateur!BN62*VLOOKUP('Données projet'!$B$11,Paramètres!$A$1:$I$89,3,0)*0.475*44/12</f>
        <v>54.527507392088992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89.548206359722442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13.5</v>
      </c>
      <c r="BY62" s="12">
        <f>IF('Données projet'!$A$114&gt;35,BY61+BX62-CG61,IF(A62&lt;'Données projet'!$A$114,$BV$205^A62,IF(A62='Données projet'!$A$114,'Données projet'!$B$114,BY61+BX62-CG61)))</f>
        <v>389.49999999999989</v>
      </c>
      <c r="BZ62" s="13">
        <f>BY62*VLOOKUP('Données projet'!$B$12,Paramètres!$A$1:$I$89,3,0)*VLOOKUP('Données projet'!$B$12,Paramètres!$A$1:$I$89,5,0)</f>
        <v>182.28599999999994</v>
      </c>
      <c r="CA62" s="13">
        <f t="shared" si="39"/>
        <v>45.830404892964332</v>
      </c>
      <c r="CB62" s="20">
        <f t="shared" si="10"/>
        <v>397.30273852191277</v>
      </c>
      <c r="CC62" s="59">
        <f t="shared" si="11"/>
        <v>690.63607185524609</v>
      </c>
      <c r="CD62" s="59">
        <f ca="1">AVERAGE(OFFSET($CC$3,0,0,'Données projet'!$E$12+1,1))-AVERAGE(OFFSET($H$3,0,0,'Données projet'!$E$12+1,1))</f>
        <v>259.87681411271632</v>
      </c>
      <c r="CE62" s="59">
        <f t="shared" si="40"/>
        <v>191.8684235641158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9.1669899180231553</v>
      </c>
      <c r="CL62" s="21">
        <f>EXP(-LN(2)/25)*CL61+(1-EXP(-LN(2)/25))/(LN(2)/25)*Calculateur!CG62*Calculateur!CI62*VLOOKUP('Données projet'!$B$12,Paramètres!$A$1:$I$89,3,0)*0.475*44/12</f>
        <v>30.983972255937896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40.150962173961048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5.4</v>
      </c>
      <c r="CT62" s="12">
        <f>IF('Données projet'!$A$140&gt;35,CT61+CS62-DB61,IF(A62&lt;'Données projet'!$A$140,$CQ$205^A62,IF(A62='Données projet'!$A$140,'Données projet'!$B$140,CT61+CS62-DB61)))</f>
        <v>227.60000000000002</v>
      </c>
      <c r="CU62" s="17">
        <f>CT62*VLOOKUP('Données projet'!$B$13,Paramètres!$A$1:$I$89,3,0)*VLOOKUP('Données projet'!$B$13,Paramètres!$A$1:$I$89,5,0)</f>
        <v>181.07856000000001</v>
      </c>
      <c r="CV62" s="13">
        <f t="shared" si="41"/>
        <v>45.562062399070243</v>
      </c>
      <c r="CW62" s="20">
        <f t="shared" si="13"/>
        <v>394.73241734504739</v>
      </c>
      <c r="CX62" s="59">
        <f t="shared" si="14"/>
        <v>688.06575067838071</v>
      </c>
      <c r="CY62" s="59">
        <f ca="1">AVERAGE(OFFSET($CX$3,0,0,'Données projet'!$E$13+1,1))-AVERAGE(OFFSET($H$3,0,0,'Données projet'!$E$13+1,1))</f>
        <v>198.11534486400666</v>
      </c>
      <c r="CZ62" s="59">
        <f t="shared" si="42"/>
        <v>174.29856796517652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16.625198249441439</v>
      </c>
      <c r="DH62" s="21">
        <f>EXP(-LN(2)/2)*DH61+(1-EXP(-LN(2)/2))/(LN(2)/2)*DB62*DE62*VLOOKUP('Données projet'!$B$13,Paramètres!$A$1:$I$89,3,0)*0.475*44/12</f>
        <v>1.2667525517885887</v>
      </c>
      <c r="DI62" s="22">
        <f t="shared" si="15"/>
        <v>17.891950801230028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6.625</v>
      </c>
      <c r="DO62" s="12">
        <f>IF('Données projet'!$A$166&gt;35,DO61+DN62-DW61,IF(A62&lt;'Données projet'!$A$166,$DL$205^A62,IF(A62='Données projet'!$A$166,'Données projet'!$B$166,DO61+DN62-DW61)))</f>
        <v>121.875</v>
      </c>
      <c r="DP62" s="17">
        <f>DO62*VLOOKUP('Données projet'!$B$14,Paramètres!$A$1:$I$89,3,0)*VLOOKUP('Données projet'!$B$14,Paramètres!$A$1:$I$89,5,0)</f>
        <v>123.58125</v>
      </c>
      <c r="DQ62" s="13">
        <f t="shared" si="43"/>
        <v>32.508832126435216</v>
      </c>
      <c r="DR62" s="20">
        <f t="shared" si="16"/>
        <v>271.85689303687468</v>
      </c>
      <c r="DS62" s="59">
        <f t="shared" si="17"/>
        <v>565.19022637020794</v>
      </c>
      <c r="DT62" s="59">
        <f ca="1">AVERAGE(OFFSET($DS$3,0,0,'Données projet'!$E$14+1,1))-AVERAGE(OFFSET($H$3,0,0,'Données projet'!$E$14+1,1))</f>
        <v>247.92503505485405</v>
      </c>
      <c r="DU62" s="59">
        <f t="shared" si="44"/>
        <v>148.26437652597514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0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6.625</v>
      </c>
      <c r="EJ62" s="12">
        <f>IF('Données projet'!$A$192&gt;35,EJ61+EI62-ER61,IF(A62&lt;'Données projet'!$A$192,$EG$205^A62,IF(A62='Données projet'!$A$192,'Données projet'!$B$192,EJ61+EI62-ER61)))</f>
        <v>121.875</v>
      </c>
      <c r="EK62" s="17">
        <f>EJ62*VLOOKUP('Données projet'!$B$15,Paramètres!$A$1:$I$89,3,0)*VLOOKUP('Données projet'!$B$15,Paramètres!$A$1:$I$89,5,0)</f>
        <v>117.8775</v>
      </c>
      <c r="EL62" s="13">
        <f t="shared" si="45"/>
        <v>31.179448039973451</v>
      </c>
      <c r="EM62" s="20">
        <f t="shared" si="19"/>
        <v>259.60751783628712</v>
      </c>
      <c r="EN62" s="59">
        <f t="shared" si="20"/>
        <v>552.94085116962037</v>
      </c>
      <c r="EO62" s="59">
        <f ca="1">AVERAGE(OFFSET($EN$3,0,0,'Données projet'!$E$15+1,1))-AVERAGE(OFFSET($H$3,0,0,'Données projet'!$E$15+1,1))</f>
        <v>232.99870507181964</v>
      </c>
      <c r="EP62" s="59">
        <f t="shared" si="46"/>
        <v>140.07662669226278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5.4</v>
      </c>
      <c r="FE62" s="12">
        <f>IF('Données projet'!$A$218&gt;35,FE61+FD62-FM61,IF(A62&lt;'Données projet'!$A$218,$FB$205^A62,IF(A62='Données projet'!$A$218,'Données projet'!$B$218,FE61+FD62-FM61)))</f>
        <v>227.60000000000002</v>
      </c>
      <c r="FF62" s="17">
        <f>FE62*VLOOKUP('Données projet'!$B$16,Paramètres!$A$1:$I$89,3,0)*VLOOKUP('Données projet'!$B$16,Paramètres!$A$1:$I$89,5,0)</f>
        <v>177.52800000000002</v>
      </c>
      <c r="FG62" s="13">
        <f t="shared" si="47"/>
        <v>44.771769863863661</v>
      </c>
      <c r="FH62" s="20">
        <f t="shared" si="22"/>
        <v>387.17209917956257</v>
      </c>
      <c r="FI62" s="59">
        <f t="shared" si="23"/>
        <v>680.50543251289582</v>
      </c>
      <c r="FJ62" s="59">
        <f ca="1">AVERAGE(OFFSET($FI$3,0,0,'Données projet'!$E$16+1,1))-AVERAGE(OFFSET($H$3,0,0,'Données projet'!$E$16+1,1))</f>
        <v>193.47609744163839</v>
      </c>
      <c r="FK62" s="59">
        <f t="shared" si="48"/>
        <v>170.3221892406973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</v>
      </c>
      <c r="FR62" s="21">
        <f>EXP(-LN(2)/25)*FR61+(1-EXP(-LN(2)/25))/(LN(2)/25)*Calculateur!FM62*Calculateur!FO62*VLOOKUP('Données projet'!$B$16,Paramètres!$A$1:$I$89,3,0)*0.475*44/12</f>
        <v>13.223890579466925</v>
      </c>
      <c r="FS62" s="21">
        <f>EXP(-LN(2)/2)*FS61+(1-EXP(-LN(2)/2))/(LN(2)/2)*FM62*FP62*VLOOKUP('Données projet'!$B$16,Paramètres!$A$1:$I$89,3,0)*0.475*44/12</f>
        <v>1.2419142664594007</v>
      </c>
      <c r="FT62" s="22">
        <f t="shared" si="24"/>
        <v>14.465804845926325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9.75</v>
      </c>
      <c r="FZ62" s="12">
        <f>IF('Données projet'!$A$244&gt;35,FZ61+FY62-GH61,IF(A62&lt;'Données projet'!$A$244,$FW$205^A62,IF(A62='Données projet'!$A$244,'Données projet'!$B$244,FZ61+FY62-GH61)))</f>
        <v>294.25</v>
      </c>
      <c r="GA62" s="17">
        <f>FZ62*VLOOKUP('Données projet'!$B$17,Paramètres!$A$1:$I$89,3,0)*VLOOKUP('Données projet'!$B$17,Paramètres!$A$1:$I$89,5,0)</f>
        <v>160.66049999999998</v>
      </c>
      <c r="GB62" s="13">
        <f t="shared" si="49"/>
        <v>40.991457287340218</v>
      </c>
      <c r="GC62" s="20">
        <f t="shared" si="25"/>
        <v>351.21049227545086</v>
      </c>
      <c r="GD62" s="59">
        <f t="shared" si="26"/>
        <v>644.54382560878412</v>
      </c>
      <c r="GE62" s="59">
        <f ca="1">AVERAGE(OFFSET($GD$3,0,0,'Données projet'!$E$17+1,1))-AVERAGE(OFFSET($H$3,0,0,'Données projet'!$E$17+1,1))</f>
        <v>153.43773674911449</v>
      </c>
      <c r="GF62" s="59">
        <f t="shared" si="50"/>
        <v>235.49395036616602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30.643111596679272</v>
      </c>
      <c r="GM62" s="21">
        <f>EXP(-LN(2)/25)*GM61+(1-EXP(-LN(2)/25))/(LN(2)/25)*Calculateur!GH62*Calculateur!GJ62*VLOOKUP('Données projet'!$B$17,Paramètres!$A$1:$I$89,3,0)*0.475*44/12</f>
        <v>47.711568968077863</v>
      </c>
      <c r="GN62" s="21">
        <f>EXP(-LN(2)/2)*GN61+(1-EXP(-LN(2)/2))/(LN(2)/2)*GH62*GK62*VLOOKUP('Données projet'!$B$17,Paramètres!$A$1:$I$89,3,0)*0.475*44/12</f>
        <v>0</v>
      </c>
      <c r="GO62" s="21">
        <f t="shared" si="27"/>
        <v>78.354680564757132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5.4</v>
      </c>
      <c r="GU62" s="12">
        <f>IF('Données projet'!$A$270&gt;35,GU61+GT62-HC61,IF(A62&lt;'Données projet'!$A$270,$GR$205^A62,IF(A62='Données projet'!$A$270,'Données projet'!$B$270,GU61+GT62-HC61)))</f>
        <v>227.60000000000002</v>
      </c>
      <c r="GV62" s="17">
        <f>GU62*VLOOKUP('Données projet'!$B$18,Paramètres!$A$1:$I$89,3,0)*VLOOKUP('Données projet'!$B$18,Paramètres!$A$1:$I$89,5,0)</f>
        <v>181.07856000000001</v>
      </c>
      <c r="GW62" s="13">
        <f t="shared" si="51"/>
        <v>45.562062399070243</v>
      </c>
      <c r="GX62" s="20">
        <f t="shared" si="28"/>
        <v>394.73241734504739</v>
      </c>
      <c r="GY62" s="59">
        <f t="shared" si="29"/>
        <v>688.06575067838071</v>
      </c>
      <c r="GZ62" s="59">
        <f ca="1">AVERAGE(OFFSET($GY$3,0,0,'Données projet'!$E$18+1,1))-AVERAGE(OFFSET($H$3,0,0,'Données projet'!$E$18+1,1))</f>
        <v>198.11534486400666</v>
      </c>
      <c r="HA62" s="59">
        <f t="shared" si="52"/>
        <v>174.29856796517652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>
        <f>EXP(-LN(2)/35)*HG61+(1-EXP(-LN(2)/35))/(LN(2)/35)*HC62*HD62*VLOOKUP('Données projet'!$B$18,Paramètres!$A$1:$I$89,3,0)*0.475*44/12</f>
        <v>0</v>
      </c>
      <c r="HH62" s="21">
        <f>EXP(-LN(2)/25)*HH61+(1-EXP(-LN(2)/25))/(LN(2)/25)*Calculateur!HC62*Calculateur!HE62*VLOOKUP('Données projet'!$B$18,Paramètres!$A$1:$I$89,3,0)*0.475*44/12</f>
        <v>16.625198249441439</v>
      </c>
      <c r="HI62" s="21">
        <f>EXP(-LN(2)/2)*HI61+(1-EXP(-LN(2)/2))/(LN(2)/2)*HC62*HF62*VLOOKUP('Données projet'!$B$18,Paramètres!$A$1:$I$89,3,0)*0.475*44/12</f>
        <v>1.2667525517885887</v>
      </c>
      <c r="HJ62" s="22">
        <f t="shared" si="30"/>
        <v>17.891950801230028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379</v>
      </c>
      <c r="L63" s="12">
        <f>VLOOKUP(A63,'Données projet'!$A$35:$I$55,9,0)</f>
        <v>8.3000000000000007</v>
      </c>
      <c r="M63" s="12">
        <f t="array" ref="M63">INDEX(L:L,MIN(IF(ISNUMBER(L63:L259),ROW(L63:L259),"")))</f>
        <v>8.3000000000000007</v>
      </c>
      <c r="N63" s="13">
        <f>IF('Données projet'!$A$36&gt;35,N62+M63-V62,IF(A63&lt;'Données projet'!$A$36,$K$205^A63,IF(A63='Données projet'!$A$36,'Données projet'!$B$36,N62+M63-V62)))</f>
        <v>379.00000000000023</v>
      </c>
      <c r="O63" s="13">
        <f>N63*VLOOKUP('Données projet'!$B$9,Paramètres!$A$1:$I$89,3,0)*VLOOKUP('Données projet'!$B$9,Paramètres!$A$1:$I$89,5,0)</f>
        <v>226.64200000000017</v>
      </c>
      <c r="P63" s="13">
        <f t="shared" si="33"/>
        <v>55.555983079812862</v>
      </c>
      <c r="Q63" s="20">
        <f t="shared" si="53"/>
        <v>491.4948205306743</v>
      </c>
      <c r="R63" s="59">
        <f t="shared" si="0"/>
        <v>784.82815386400762</v>
      </c>
      <c r="S63" s="59">
        <f ca="1">AVERAGE(OFFSET($R$3,0,0,'Données projet'!$E$9+1,1))-AVERAGE(OFFSET($H$3,0,0,'Données projet'!$E$9+1,1))</f>
        <v>295.19075440119076</v>
      </c>
      <c r="T63" s="59">
        <f t="shared" si="34"/>
        <v>173.0182327988216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27</v>
      </c>
      <c r="W63" s="16">
        <f>IF(ISNA(VLOOKUP(A63,'Données projet'!$A$35:$I$55,5,0)),0%,VLOOKUP(A63,'Données projet'!$A$35:$I$55,5,0)*VLOOKUP('Données projet'!$B$9,Paramètres!$A$1:$I$89,7,0))</f>
        <v>0.13500000000000001</v>
      </c>
      <c r="X63" s="16">
        <f>IF(ISNA(VLOOKUP(A63,'Données projet'!$A$35:$I$55,6,0)),0%,VLOOKUP(A63,'Données projet'!$A$35:$I$55,6,0)*VLOOKUP('Données projet'!$B$9,Paramètres!$A$1:$I$89,7,0))</f>
        <v>0.315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5.601178533420482</v>
      </c>
      <c r="AA63" s="21">
        <f>EXP(-LN(2)/25)*AA62+(1-EXP(-LN(2)/25))/(LN(2)/25)*Calculateur!V63*Calculateur!X63*VLOOKUP('Données projet'!$B$9,Paramètres!$A$1:$I$89,3,0)*0.475*44/12</f>
        <v>17.212291898347313</v>
      </c>
      <c r="AB63" s="21">
        <f>EXP(-LN(2)/2)*AB62+(1-EXP(-LN(2)/2))/(LN(2)/2)*V63*Y63*VLOOKUP('Données projet'!$B$9,Paramètres!$A$1:$I$89,3,0)*0.475*44/12</f>
        <v>0</v>
      </c>
      <c r="AC63" s="22">
        <f t="shared" si="3"/>
        <v>22.813470431767797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16.625</v>
      </c>
      <c r="AI63" s="13">
        <f>IF('Données projet'!$A$62&gt;35,AI62+AH63-AQ62,IF(A63&lt;'Données projet'!$A$62,$AF$205^A63,IF(A63='Données projet'!$A$62,'Données projet'!$B$62,AI62+AH63-AQ62)))</f>
        <v>395.25000000000006</v>
      </c>
      <c r="AJ63" s="13">
        <f>AI63*VLOOKUP('Données projet'!$B$10,Paramètres!$A$1:$I$89,3,0)*VLOOKUP('Données projet'!$B$10,Paramètres!$A$1:$I$89,5,0)</f>
        <v>236.35950000000005</v>
      </c>
      <c r="AK63" s="13">
        <f t="shared" si="35"/>
        <v>57.655563749416167</v>
      </c>
      <c r="AL63" s="20">
        <f t="shared" si="4"/>
        <v>512.0762360302333</v>
      </c>
      <c r="AM63" s="59">
        <f t="shared" si="5"/>
        <v>805.40956936356656</v>
      </c>
      <c r="AN63" s="59">
        <f ca="1">AVERAGE(OFFSET($AM$3,0,0,'Données projet'!$E$10+1,1))-AVERAGE(OFFSET($H$3,0,0,'Données projet'!$E$10+1,1))</f>
        <v>294.45857786714919</v>
      </c>
      <c r="AO63" s="59">
        <f t="shared" si="36"/>
        <v>221.9773436301067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23.047840790127527</v>
      </c>
      <c r="AV63" s="21">
        <f>EXP(-LN(2)/25)*AV62+(1-EXP(-LN(2)/25))/(LN(2)/25)*Calculateur!AQ63*Calculateur!AS63*VLOOKUP('Données projet'!$B$10,Paramètres!$A$1:$I$89,3,0)*0.475*44/12</f>
        <v>49.739339632978208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72.787180423105738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189.696</v>
      </c>
      <c r="BF63" s="13">
        <f t="shared" si="37"/>
        <v>47.472736505152469</v>
      </c>
      <c r="BG63" s="20">
        <f t="shared" si="7"/>
        <v>413.06888274647389</v>
      </c>
      <c r="BH63" s="59">
        <f t="shared" si="8"/>
        <v>706.4022160798072</v>
      </c>
      <c r="BI63" s="59">
        <f ca="1">AVERAGE(OFFSET($BH$3,0,0,'Données projet'!$E$11+1,1))-AVERAGE(OFFSET($H$3,0,0,'Données projet'!$E$11+1,1))</f>
        <v>179.44051550872138</v>
      </c>
      <c r="BJ63" s="59">
        <f t="shared" si="38"/>
        <v>272.9500808380069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0.42</v>
      </c>
      <c r="BN63" s="16">
        <f>IF(ISNA(VLOOKUP(A63,'Données projet'!$A$87:$I$107,6,0)),0%,VLOOKUP(A63,'Données projet'!$A$87:$I$107,6,0)*VLOOKUP('Données projet'!$B$11,Paramètres!$A$1:$I$89,7,0))</f>
        <v>0.18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140.02443221580012</v>
      </c>
      <c r="BQ63" s="21">
        <f>EXP(-LN(2)/25)*BQ62+(1-EXP(-LN(2)/25))/(LN(2)/25)*Calculateur!BL63*Calculateur!BN63*VLOOKUP('Données projet'!$B$11,Paramètres!$A$1:$I$89,3,0)*0.475*44/12</f>
        <v>98.154017328463652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238.17844954426377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403</v>
      </c>
      <c r="BW63" s="12">
        <f>VLOOKUP(A63,'Données projet'!$A$113:$I$133,9,0)</f>
        <v>13.5</v>
      </c>
      <c r="BX63" s="12">
        <f t="array" ref="BX63">INDEX(BW:BW,MIN(IF(ISNUMBER(BW63:BW259),ROW(BW63:BW259),"")))</f>
        <v>13.5</v>
      </c>
      <c r="BY63" s="12">
        <f>IF('Données projet'!$A$114&gt;35,BY62+BX63-CG62,IF(A63&lt;'Données projet'!$A$114,$BV$205^A63,IF(A63='Données projet'!$A$114,'Données projet'!$B$114,BY62+BX63-CG62)))</f>
        <v>402.99999999999989</v>
      </c>
      <c r="BZ63" s="13">
        <f>BY63*VLOOKUP('Données projet'!$B$12,Paramètres!$A$1:$I$89,3,0)*VLOOKUP('Données projet'!$B$12,Paramètres!$A$1:$I$89,5,0)</f>
        <v>188.60399999999996</v>
      </c>
      <c r="CA63" s="13">
        <f t="shared" si="39"/>
        <v>47.231184731814224</v>
      </c>
      <c r="CB63" s="20">
        <f t="shared" si="10"/>
        <v>410.74628007457636</v>
      </c>
      <c r="CC63" s="59">
        <f t="shared" si="11"/>
        <v>704.07961340790962</v>
      </c>
      <c r="CD63" s="59">
        <f ca="1">AVERAGE(OFFSET($CC$3,0,0,'Données projet'!$E$12+1,1))-AVERAGE(OFFSET($H$3,0,0,'Données projet'!$E$12+1,1))</f>
        <v>259.87681411271632</v>
      </c>
      <c r="CE63" s="59">
        <f t="shared" si="40"/>
        <v>191.8684235641158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81</v>
      </c>
      <c r="CH63" s="16">
        <f>IF(ISNA(VLOOKUP(A63,'Données projet'!$A$113:$I$133,5,0)),0%,VLOOKUP(A63,'Données projet'!$A$113:$I$133,5,0)*VLOOKUP('Données projet'!$B$12,Paramètres!$A$1:$I$89,7,0))</f>
        <v>0.22000000000000003</v>
      </c>
      <c r="CI63" s="16">
        <f>IF(ISNA(VLOOKUP(A63,'Données projet'!$A$113:$I$133,6,0)),0%,VLOOKUP(A63,'Données projet'!$A$113:$I$133,6,0)*VLOOKUP('Données projet'!$B$12,Paramètres!$A$1:$I$89,7,0))</f>
        <v>0.33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20.050460019938932</v>
      </c>
      <c r="CL63" s="21">
        <f>EXP(-LN(2)/25)*CL62+(1-EXP(-LN(2)/25))/(LN(2)/25)*Calculateur!CG63*Calculateur!CI63*VLOOKUP('Données projet'!$B$12,Paramètres!$A$1:$I$89,3,0)*0.475*44/12</f>
        <v>46.666217456496881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66.716677476435819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233</v>
      </c>
      <c r="CR63" s="12">
        <f>VLOOKUP(A63,'Données projet'!$A$139:$I$159,9,0)</f>
        <v>5.4</v>
      </c>
      <c r="CS63" s="12">
        <f t="array" ref="CS63">INDEX(CR:CR,MIN(IF(ISNUMBER(CR63:CR259),ROW(CR63:CR259),"")))</f>
        <v>5.4</v>
      </c>
      <c r="CT63" s="12">
        <f>IF('Données projet'!$A$140&gt;35,CT62+CS63-DB62,IF(A63&lt;'Données projet'!$A$140,$CQ$205^A63,IF(A63='Données projet'!$A$140,'Données projet'!$B$140,CT62+CS63-DB62)))</f>
        <v>233.00000000000003</v>
      </c>
      <c r="CU63" s="17">
        <f>CT63*VLOOKUP('Données projet'!$B$13,Paramètres!$A$1:$I$89,3,0)*VLOOKUP('Données projet'!$B$13,Paramètres!$A$1:$I$89,5,0)</f>
        <v>185.37480000000002</v>
      </c>
      <c r="CV63" s="13">
        <f t="shared" si="41"/>
        <v>46.51592476241273</v>
      </c>
      <c r="CW63" s="20">
        <f t="shared" si="13"/>
        <v>403.87634562786889</v>
      </c>
      <c r="CX63" s="59">
        <f t="shared" si="14"/>
        <v>697.20967896120214</v>
      </c>
      <c r="CY63" s="59">
        <f ca="1">AVERAGE(OFFSET($CX$3,0,0,'Données projet'!$E$13+1,1))-AVERAGE(OFFSET($H$3,0,0,'Données projet'!$E$13+1,1))</f>
        <v>198.11534486400666</v>
      </c>
      <c r="CZ63" s="59">
        <f t="shared" si="42"/>
        <v>174.29856796517652</v>
      </c>
      <c r="DA63" s="15">
        <f>IF(ISNA(VLOOKUP(A63,'Données projet'!$A$139:$I$159,3,0)),0,VLOOKUP(A63,'Données projet'!$A$139:$I$159,3,0))</f>
        <v>9</v>
      </c>
      <c r="DB63" s="15">
        <f>IF(ISNA(VLOOKUP(A63,'Données projet'!$A$139:$I$159,4,0)),0,VLOOKUP(A63,'Données projet'!$A$139:$I$159,4,0))</f>
        <v>12</v>
      </c>
      <c r="DC63" s="16">
        <f>IF(ISNA(VLOOKUP(A63,'Données projet'!$A$139:$I$159,5,0)),0%,VLOOKUP(A63,'Données projet'!$A$139:$I$159,5,0)*VLOOKUP('Données projet'!$B$13,Paramètres!$A$1:$I$89,7,0))</f>
        <v>0.10600000000000001</v>
      </c>
      <c r="DD63" s="16">
        <f>IF(ISNA(VLOOKUP(A63,'Données projet'!$A$139:$I$159,6,0)),0%,VLOOKUP(A63,'Données projet'!$A$139:$I$159,6,0)*VLOOKUP('Données projet'!$B$13,Paramètres!$A$1:$I$89,7,0))</f>
        <v>0.159</v>
      </c>
      <c r="DE63" s="16">
        <f>IF(ISNA(VLOOKUP(A63,'Données projet'!$A$139:$I$159,7,0)),0%,VLOOKUP(A63,'Données projet'!$A$139:$I$159,7,0))</f>
        <v>0.3</v>
      </c>
      <c r="DF63" s="21">
        <f>EXP(-LN(2)/35)*DF62+(1-EXP(-LN(2)/35))/(LN(2)/35)*DB63*DC63*VLOOKUP('Données projet'!$B$13,Paramètres!$A$1:$I$89,3,0)*0.475*44/12</f>
        <v>1.1187395615925604</v>
      </c>
      <c r="DG63" s="21">
        <f>EXP(-LN(2)/25)*DG62+(1-EXP(-LN(2)/25))/(LN(2)/25)*Calculateur!DB63*Calculateur!DD63*VLOOKUP('Données projet'!$B$13,Paramètres!$A$1:$I$89,3,0)*0.475*44/12</f>
        <v>17.842083315527354</v>
      </c>
      <c r="DH63" s="21">
        <f>EXP(-LN(2)/2)*DH62+(1-EXP(-LN(2)/2))/(LN(2)/2)*DB63*DE63*VLOOKUP('Données projet'!$B$13,Paramètres!$A$1:$I$89,3,0)*0.475*44/12</f>
        <v>3.5981413671912428</v>
      </c>
      <c r="DI63" s="22">
        <f t="shared" si="15"/>
        <v>22.558964244311156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6.625</v>
      </c>
      <c r="DO63" s="12">
        <f>IF('Données projet'!$A$166&gt;35,DO62+DN63-DW62,IF(A63&lt;'Données projet'!$A$166,$DL$205^A63,IF(A63='Données projet'!$A$166,'Données projet'!$B$166,DO62+DN63-DW62)))</f>
        <v>128.5</v>
      </c>
      <c r="DP63" s="17">
        <f>DO63*VLOOKUP('Données projet'!$B$14,Paramètres!$A$1:$I$89,3,0)*VLOOKUP('Données projet'!$B$14,Paramètres!$A$1:$I$89,5,0)</f>
        <v>130.29900000000001</v>
      </c>
      <c r="DQ63" s="13">
        <f t="shared" si="43"/>
        <v>34.065440212996258</v>
      </c>
      <c r="DR63" s="20">
        <f t="shared" si="16"/>
        <v>286.26806670430182</v>
      </c>
      <c r="DS63" s="59">
        <f t="shared" si="17"/>
        <v>579.60140003763513</v>
      </c>
      <c r="DT63" s="59">
        <f ca="1">AVERAGE(OFFSET($DS$3,0,0,'Données projet'!$E$14+1,1))-AVERAGE(OFFSET($H$3,0,0,'Données projet'!$E$14+1,1))</f>
        <v>247.92503505485405</v>
      </c>
      <c r="DU63" s="59">
        <f t="shared" si="44"/>
        <v>148.26437652597514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0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6.625</v>
      </c>
      <c r="EJ63" s="12">
        <f>IF('Données projet'!$A$192&gt;35,EJ62+EI63-ER62,IF(A63&lt;'Données projet'!$A$192,$EG$205^A63,IF(A63='Données projet'!$A$192,'Données projet'!$B$192,EJ62+EI63-ER62)))</f>
        <v>128.5</v>
      </c>
      <c r="EK63" s="17">
        <f>EJ63*VLOOKUP('Données projet'!$B$15,Paramètres!$A$1:$I$89,3,0)*VLOOKUP('Données projet'!$B$15,Paramètres!$A$1:$I$89,5,0)</f>
        <v>124.2852</v>
      </c>
      <c r="EL63" s="13">
        <f t="shared" si="45"/>
        <v>32.672401732212208</v>
      </c>
      <c r="EM63" s="20">
        <f t="shared" si="19"/>
        <v>273.36782301693626</v>
      </c>
      <c r="EN63" s="59">
        <f t="shared" si="20"/>
        <v>566.70115635026957</v>
      </c>
      <c r="EO63" s="59">
        <f ca="1">AVERAGE(OFFSET($EN$3,0,0,'Données projet'!$E$15+1,1))-AVERAGE(OFFSET($H$3,0,0,'Données projet'!$E$15+1,1))</f>
        <v>232.99870507181964</v>
      </c>
      <c r="EP63" s="59">
        <f t="shared" si="46"/>
        <v>140.07662669226278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>
        <f>VLOOKUP(A63,'Données projet'!$A$217:$I$237,2,0)</f>
        <v>233</v>
      </c>
      <c r="FC63" s="12">
        <f>VLOOKUP(A63,'Données projet'!$A$217:$I$237,9,0)</f>
        <v>5.4</v>
      </c>
      <c r="FD63" s="12">
        <f t="array" ref="FD63">INDEX(FC:FC,MIN(IF(ISNUMBER(FC63:FC259),ROW(FC63:FC259),"")))</f>
        <v>5.4</v>
      </c>
      <c r="FE63" s="12">
        <f>IF('Données projet'!$A$218&gt;35,FE62+FD63-FM62,IF(A63&lt;'Données projet'!$A$218,$FB$205^A63,IF(A63='Données projet'!$A$218,'Données projet'!$B$218,FE62+FD63-FM62)))</f>
        <v>233.00000000000003</v>
      </c>
      <c r="FF63" s="17">
        <f>FE63*VLOOKUP('Données projet'!$B$16,Paramètres!$A$1:$I$89,3,0)*VLOOKUP('Données projet'!$B$16,Paramètres!$A$1:$I$89,5,0)</f>
        <v>181.74000000000004</v>
      </c>
      <c r="FG63" s="13">
        <f t="shared" si="47"/>
        <v>45.709087095891377</v>
      </c>
      <c r="FH63" s="20">
        <f t="shared" si="22"/>
        <v>396.14049335867753</v>
      </c>
      <c r="FI63" s="59">
        <f t="shared" si="23"/>
        <v>689.47382669201079</v>
      </c>
      <c r="FJ63" s="59">
        <f ca="1">AVERAGE(OFFSET($FI$3,0,0,'Données projet'!$E$16+1,1))-AVERAGE(OFFSET($H$3,0,0,'Données projet'!$E$16+1,1))</f>
        <v>193.47609744163839</v>
      </c>
      <c r="FK63" s="59">
        <f t="shared" si="48"/>
        <v>170.3221892406973</v>
      </c>
      <c r="FL63" s="15">
        <f>IF(ISNA(VLOOKUP(A63,'Données projet'!$A$217:$I$237,3,0)),0,VLOOKUP(A63,'Données projet'!$A$217:$I$237,3,0))</f>
        <v>9</v>
      </c>
      <c r="FM63" s="15">
        <f>IF(ISNA(VLOOKUP(A63,'Données projet'!$A$217:$I$237,4,0)),0,VLOOKUP(A63,'Données projet'!$A$217:$I$237,4,0))</f>
        <v>12</v>
      </c>
      <c r="FN63" s="16">
        <f>IF(ISNA(VLOOKUP(A63,'Données projet'!$A$217:$I$237,5,0)),0%,VLOOKUP(A63,'Données projet'!$A$217:$I$237,5,0)*VLOOKUP('Données projet'!$B$16,Paramètres!$A$1:$I$89,7,0))</f>
        <v>8.6000000000000007E-2</v>
      </c>
      <c r="FO63" s="16">
        <f>IF(ISNA(VLOOKUP(A63,'Données projet'!$A$217:$I$237,6,0)),0%,VLOOKUP(A63,'Données projet'!$A$217:$I$237,6,0)*VLOOKUP('Données projet'!$B$16,Paramètres!$A$1:$I$89,7,0))</f>
        <v>0.129</v>
      </c>
      <c r="FP63" s="16">
        <f>IF(ISNA(VLOOKUP(A63,'Données projet'!$A$217:$I$237,7,0)),0%,VLOOKUP(A63,'Données projet'!$A$217:$I$237,7,0))</f>
        <v>0.3</v>
      </c>
      <c r="FQ63" s="21">
        <f>EXP(-LN(2)/35)*FQ62+(1-EXP(-LN(2)/35))/(LN(2)/35)*FM63*FN63*VLOOKUP('Données projet'!$B$16,Paramètres!$A$1:$I$89,3,0)*0.475*44/12</f>
        <v>0.88985943670884371</v>
      </c>
      <c r="FR63" s="21">
        <f>EXP(-LN(2)/25)*FR62+(1-EXP(-LN(2)/25))/(LN(2)/25)*Calculateur!FM63*Calculateur!FO63*VLOOKUP('Données projet'!$B$16,Paramètres!$A$1:$I$89,3,0)*0.475*44/12</f>
        <v>14.19181617772246</v>
      </c>
      <c r="FS63" s="21">
        <f>EXP(-LN(2)/2)*FS62+(1-EXP(-LN(2)/2))/(LN(2)/2)*FM63*FP63*VLOOKUP('Données projet'!$B$16,Paramètres!$A$1:$I$89,3,0)*0.475*44/12</f>
        <v>3.5275895756776889</v>
      </c>
      <c r="FT63" s="22">
        <f t="shared" si="24"/>
        <v>18.609265190108992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304</v>
      </c>
      <c r="FX63" s="12">
        <f>VLOOKUP(A63,'Données projet'!$A$243:$I$263,9,0)</f>
        <v>9.75</v>
      </c>
      <c r="FY63" s="12">
        <f t="array" ref="FY63">INDEX(FX:FX,MIN(IF(ISNUMBER(FX63:FX259),ROW(FX63:FX259),"")))</f>
        <v>9.75</v>
      </c>
      <c r="FZ63" s="12">
        <f>IF('Données projet'!$A$244&gt;35,FZ62+FY63-GH62,IF(A63&lt;'Données projet'!$A$244,$FW$205^A63,IF(A63='Données projet'!$A$244,'Données projet'!$B$244,FZ62+FY63-GH62)))</f>
        <v>304</v>
      </c>
      <c r="GA63" s="17">
        <f>FZ63*VLOOKUP('Données projet'!$B$17,Paramètres!$A$1:$I$89,3,0)*VLOOKUP('Données projet'!$B$17,Paramètres!$A$1:$I$89,5,0)</f>
        <v>165.98400000000001</v>
      </c>
      <c r="GB63" s="13">
        <f t="shared" si="49"/>
        <v>42.189325525922243</v>
      </c>
      <c r="GC63" s="20">
        <f t="shared" si="25"/>
        <v>362.56854195764794</v>
      </c>
      <c r="GD63" s="59">
        <f t="shared" si="26"/>
        <v>655.90187529098125</v>
      </c>
      <c r="GE63" s="59">
        <f ca="1">AVERAGE(OFFSET($GD$3,0,0,'Données projet'!$E$17+1,1))-AVERAGE(OFFSET($H$3,0,0,'Données projet'!$E$17+1,1))</f>
        <v>153.43773674911449</v>
      </c>
      <c r="GF63" s="59">
        <f t="shared" si="50"/>
        <v>235.49395036616602</v>
      </c>
      <c r="GG63" s="15" t="str">
        <f>IF(ISNA(VLOOKUP(A63,'Données projet'!$A$243:$I$263,3,0)),0,VLOOKUP(A63,'Données projet'!$A$243:$I$263,3,0))</f>
        <v>CR</v>
      </c>
      <c r="GH63" s="15">
        <f>IF(ISNA(VLOOKUP(A63,'Données projet'!$A$243:$I$263,4,0)),0,VLOOKUP(A63,'Données projet'!$A$243:$I$263,4,0))</f>
        <v>304</v>
      </c>
      <c r="GI63" s="16">
        <f>IF(ISNA(VLOOKUP(A63,'Données projet'!$A$243:$I$263,5,0)),0%,VLOOKUP(A63,'Données projet'!$A$243:$I$263,5,0)*VLOOKUP('Données projet'!$B$17,Paramètres!$A$1:$I$89,7,0))</f>
        <v>0.42</v>
      </c>
      <c r="GJ63" s="16">
        <f>IF(ISNA(VLOOKUP(A63,'Données projet'!$A$243:$I$263,6,0)),0%,VLOOKUP(A63,'Données projet'!$A$243:$I$263,6,0)*VLOOKUP('Données projet'!$B$17,Paramètres!$A$1:$I$89,7,0))</f>
        <v>0.18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122.52137818882512</v>
      </c>
      <c r="GM63" s="21">
        <f>EXP(-LN(2)/25)*GM62+(1-EXP(-LN(2)/25))/(LN(2)/25)*Calculateur!GH63*Calculateur!GJ63*VLOOKUP('Données projet'!$B$17,Paramètres!$A$1:$I$89,3,0)*0.475*44/12</f>
        <v>85.884765162405699</v>
      </c>
      <c r="GN63" s="21">
        <f>EXP(-LN(2)/2)*GN62+(1-EXP(-LN(2)/2))/(LN(2)/2)*GH63*GK63*VLOOKUP('Données projet'!$B$17,Paramètres!$A$1:$I$89,3,0)*0.475*44/12</f>
        <v>0</v>
      </c>
      <c r="GO63" s="21">
        <f t="shared" si="27"/>
        <v>208.40614335123081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>
        <f>VLOOKUP(A63,'Données projet'!$A$269:$I$289,2,0)</f>
        <v>233</v>
      </c>
      <c r="GS63" s="12">
        <f>VLOOKUP(A63,'Données projet'!$A$269:$I$289,9,0)</f>
        <v>5.4</v>
      </c>
      <c r="GT63" s="12">
        <f t="array" ref="GT63">INDEX(GS:GS,MIN(IF(ISNUMBER(GS63:GS259),ROW(GS63:GS259),"")))</f>
        <v>5.4</v>
      </c>
      <c r="GU63" s="12">
        <f>IF('Données projet'!$A$270&gt;35,GU62+GT63-HC62,IF(A63&lt;'Données projet'!$A$270,$GR$205^A63,IF(A63='Données projet'!$A$270,'Données projet'!$B$270,GU62+GT63-HC62)))</f>
        <v>233.00000000000003</v>
      </c>
      <c r="GV63" s="17">
        <f>GU63*VLOOKUP('Données projet'!$B$18,Paramètres!$A$1:$I$89,3,0)*VLOOKUP('Données projet'!$B$18,Paramètres!$A$1:$I$89,5,0)</f>
        <v>185.37480000000002</v>
      </c>
      <c r="GW63" s="13">
        <f t="shared" si="51"/>
        <v>46.51592476241273</v>
      </c>
      <c r="GX63" s="20">
        <f t="shared" si="28"/>
        <v>403.87634562786889</v>
      </c>
      <c r="GY63" s="59">
        <f t="shared" si="29"/>
        <v>697.20967896120214</v>
      </c>
      <c r="GZ63" s="59">
        <f ca="1">AVERAGE(OFFSET($GY$3,0,0,'Données projet'!$E$18+1,1))-AVERAGE(OFFSET($H$3,0,0,'Données projet'!$E$18+1,1))</f>
        <v>198.11534486400666</v>
      </c>
      <c r="HA63" s="59">
        <f t="shared" si="52"/>
        <v>174.29856796517652</v>
      </c>
      <c r="HB63" s="15">
        <f>IF(ISNA(VLOOKUP(A63,'Données projet'!$A$269:$I$289,3,0)),0,VLOOKUP(A63,'Données projet'!$A$269:$I$289,3,0))</f>
        <v>9</v>
      </c>
      <c r="HC63" s="15">
        <f>IF(ISNA(VLOOKUP(A63,'Données projet'!$A$269:$I$289,4,0)),0,VLOOKUP(A63,'Données projet'!$A$269:$I$289,4,0))</f>
        <v>12</v>
      </c>
      <c r="HD63" s="16">
        <f>IF(ISNA(VLOOKUP(A63,'Données projet'!$A$269:$I$289,5,0)),0%,VLOOKUP(A63,'Données projet'!$A$269:$I$289,5,0)*VLOOKUP('Données projet'!$B$18,Paramètres!$A$1:$I$89,7,0))</f>
        <v>0.10600000000000001</v>
      </c>
      <c r="HE63" s="16">
        <f>IF(ISNA(VLOOKUP(A63,'Données projet'!$A$269:$I$289,6,0)),0%,VLOOKUP(A63,'Données projet'!$A$269:$I$289,6,0)*VLOOKUP('Données projet'!$B$18,Paramètres!$A$1:$I$89,7,0))</f>
        <v>0.159</v>
      </c>
      <c r="HF63" s="16">
        <f>IF(ISNA(VLOOKUP(A63,'Données projet'!$A$269:$I$289,7,0)),0%,VLOOKUP(A63,'Données projet'!$A$269:$I$289,7,0))</f>
        <v>0.3</v>
      </c>
      <c r="HG63" s="21">
        <f>EXP(-LN(2)/35)*HG62+(1-EXP(-LN(2)/35))/(LN(2)/35)*HC63*HD63*VLOOKUP('Données projet'!$B$18,Paramètres!$A$1:$I$89,3,0)*0.475*44/12</f>
        <v>1.1187395615925604</v>
      </c>
      <c r="HH63" s="21">
        <f>EXP(-LN(2)/25)*HH62+(1-EXP(-LN(2)/25))/(LN(2)/25)*Calculateur!HC63*Calculateur!HE63*VLOOKUP('Données projet'!$B$18,Paramètres!$A$1:$I$89,3,0)*0.475*44/12</f>
        <v>17.842083315527354</v>
      </c>
      <c r="HI63" s="21">
        <f>EXP(-LN(2)/2)*HI62+(1-EXP(-LN(2)/2))/(LN(2)/2)*HC63*HF63*VLOOKUP('Données projet'!$B$18,Paramètres!$A$1:$I$89,3,0)*0.475*44/12</f>
        <v>3.5981413671912428</v>
      </c>
      <c r="HJ63" s="22">
        <f t="shared" si="30"/>
        <v>22.558964244311156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7</v>
      </c>
      <c r="N64" s="13">
        <f>IF('Données projet'!$A$36&gt;35,N63+M64-V63,IF(A64&lt;'Données projet'!$A$36,$K$205^A64,IF(A64='Données projet'!$A$36,'Données projet'!$B$36,N63+M64-V63)))</f>
        <v>359.00000000000023</v>
      </c>
      <c r="O64" s="13">
        <f>N64*VLOOKUP('Données projet'!$B$9,Paramètres!$A$1:$I$89,3,0)*VLOOKUP('Données projet'!$B$9,Paramètres!$A$1:$I$89,5,0)</f>
        <v>214.68200000000013</v>
      </c>
      <c r="P64" s="13">
        <f t="shared" si="33"/>
        <v>52.957403780225121</v>
      </c>
      <c r="Q64" s="20">
        <f t="shared" si="53"/>
        <v>466.13862825055907</v>
      </c>
      <c r="R64" s="59">
        <f t="shared" si="0"/>
        <v>759.47196158389238</v>
      </c>
      <c r="S64" s="59">
        <f ca="1">AVERAGE(OFFSET($R$3,0,0,'Données projet'!$E$9+1,1))-AVERAGE(OFFSET($H$3,0,0,'Données projet'!$E$9+1,1))</f>
        <v>295.19075440119076</v>
      </c>
      <c r="T64" s="59">
        <f t="shared" si="34"/>
        <v>173.0182327988216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5.4913428387616721</v>
      </c>
      <c r="AA64" s="21">
        <f>EXP(-LN(2)/25)*AA63+(1-EXP(-LN(2)/25))/(LN(2)/25)*Calculateur!V64*Calculateur!X64*VLOOKUP('Données projet'!$B$9,Paramètres!$A$1:$I$89,3,0)*0.475*44/12</f>
        <v>16.741620871231916</v>
      </c>
      <c r="AB64" s="21">
        <f>EXP(-LN(2)/2)*AB63+(1-EXP(-LN(2)/2))/(LN(2)/2)*V64*Y64*VLOOKUP('Données projet'!$B$9,Paramètres!$A$1:$I$89,3,0)*0.475*44/12</f>
        <v>0</v>
      </c>
      <c r="AC64" s="22">
        <f t="shared" si="3"/>
        <v>22.232963709993587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16.625</v>
      </c>
      <c r="AI64" s="13">
        <f>IF('Données projet'!$A$62&gt;35,AI63+AH64-AQ63,IF(A64&lt;'Données projet'!$A$62,$AF$205^A64,IF(A64='Données projet'!$A$62,'Données projet'!$B$62,AI63+AH64-AQ63)))</f>
        <v>411.87500000000006</v>
      </c>
      <c r="AJ64" s="13">
        <f>AI64*VLOOKUP('Données projet'!$B$10,Paramètres!$A$1:$I$89,3,0)*VLOOKUP('Données projet'!$B$10,Paramètres!$A$1:$I$89,5,0)</f>
        <v>246.30125000000004</v>
      </c>
      <c r="AK64" s="13">
        <f t="shared" si="35"/>
        <v>59.793223430016909</v>
      </c>
      <c r="AL64" s="20">
        <f t="shared" si="4"/>
        <v>533.11454122394605</v>
      </c>
      <c r="AM64" s="59">
        <f t="shared" si="5"/>
        <v>826.44787455727942</v>
      </c>
      <c r="AN64" s="59">
        <f ca="1">AVERAGE(OFFSET($AM$3,0,0,'Données projet'!$E$10+1,1))-AVERAGE(OFFSET($H$3,0,0,'Données projet'!$E$10+1,1))</f>
        <v>294.45857786714919</v>
      </c>
      <c r="AO64" s="59">
        <f t="shared" si="36"/>
        <v>221.9773436301067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22.595886690027918</v>
      </c>
      <c r="AV64" s="21">
        <f>EXP(-LN(2)/25)*AV63+(1-EXP(-LN(2)/25))/(LN(2)/25)*Calculateur!AQ64*Calculateur!AS64*VLOOKUP('Données projet'!$B$10,Paramètres!$A$1:$I$89,3,0)*0.475*44/12</f>
        <v>48.379214775036225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70.975101465064142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179.44051550872138</v>
      </c>
      <c r="BJ64" s="59">
        <f t="shared" si="38"/>
        <v>272.9500808380069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137.27863850651875</v>
      </c>
      <c r="BQ64" s="21">
        <f>EXP(-LN(2)/25)*BQ63+(1-EXP(-LN(2)/25))/(LN(2)/25)*Calculateur!BL64*Calculateur!BN64*VLOOKUP('Données projet'!$B$11,Paramètres!$A$1:$I$89,3,0)*0.475*44/12</f>
        <v>95.469990562921382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232.74862906944014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15.5</v>
      </c>
      <c r="BY64" s="12">
        <f>IF('Données projet'!$A$114&gt;35,BY63+BX64-CG63,IF(A64&lt;'Données projet'!$A$114,$BV$205^A64,IF(A64='Données projet'!$A$114,'Données projet'!$B$114,BY63+BX64-CG63)))</f>
        <v>337.49999999999989</v>
      </c>
      <c r="BZ64" s="13">
        <f>BY64*VLOOKUP('Données projet'!$B$12,Paramètres!$A$1:$I$89,3,0)*VLOOKUP('Données projet'!$B$12,Paramètres!$A$1:$I$89,5,0)</f>
        <v>157.94999999999996</v>
      </c>
      <c r="CA64" s="13">
        <f t="shared" si="39"/>
        <v>40.379785735878301</v>
      </c>
      <c r="CB64" s="20">
        <f t="shared" si="10"/>
        <v>345.42437682332121</v>
      </c>
      <c r="CC64" s="59">
        <f t="shared" si="11"/>
        <v>638.75771015665453</v>
      </c>
      <c r="CD64" s="59">
        <f ca="1">AVERAGE(OFFSET($CC$3,0,0,'Données projet'!$E$12+1,1))-AVERAGE(OFFSET($H$3,0,0,'Données projet'!$E$12+1,1))</f>
        <v>259.87681411271632</v>
      </c>
      <c r="CE64" s="59">
        <f t="shared" si="40"/>
        <v>191.8684235641158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19.657282728520972</v>
      </c>
      <c r="CL64" s="21">
        <f>EXP(-LN(2)/25)*CL63+(1-EXP(-LN(2)/25))/(LN(2)/25)*Calculateur!CG64*Calculateur!CI64*VLOOKUP('Données projet'!$B$12,Paramètres!$A$1:$I$89,3,0)*0.475*44/12</f>
        <v>45.390127286079256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65.047410014600231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4.5999999999999996</v>
      </c>
      <c r="CT64" s="12">
        <f>IF('Données projet'!$A$140&gt;35,CT63+CS64-DB63,IF(A64&lt;'Données projet'!$A$140,$CQ$205^A64,IF(A64='Données projet'!$A$140,'Données projet'!$B$140,CT63+CS64-DB63)))</f>
        <v>225.60000000000002</v>
      </c>
      <c r="CU64" s="17">
        <f>CT64*VLOOKUP('Données projet'!$B$13,Paramètres!$A$1:$I$89,3,0)*VLOOKUP('Données projet'!$B$13,Paramètres!$A$1:$I$89,5,0)</f>
        <v>179.48736000000002</v>
      </c>
      <c r="CV64" s="13">
        <f t="shared" si="41"/>
        <v>45.208114286641568</v>
      </c>
      <c r="CW64" s="20">
        <f t="shared" si="13"/>
        <v>391.34461771590077</v>
      </c>
      <c r="CX64" s="59">
        <f t="shared" si="14"/>
        <v>684.67795104923403</v>
      </c>
      <c r="CY64" s="59">
        <f ca="1">AVERAGE(OFFSET($CX$3,0,0,'Données projet'!$E$13+1,1))-AVERAGE(OFFSET($H$3,0,0,'Données projet'!$E$13+1,1))</f>
        <v>198.11534486400666</v>
      </c>
      <c r="CZ64" s="59">
        <f t="shared" si="42"/>
        <v>174.29856796517652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1.096801761153485</v>
      </c>
      <c r="DG64" s="21">
        <f>EXP(-LN(2)/25)*DG63+(1-EXP(-LN(2)/25))/(LN(2)/25)*Calculateur!DB64*Calculateur!DD64*VLOOKUP('Données projet'!$B$13,Paramètres!$A$1:$I$89,3,0)*0.475*44/12</f>
        <v>17.354190608989875</v>
      </c>
      <c r="DH64" s="21">
        <f>EXP(-LN(2)/2)*DH63+(1-EXP(-LN(2)/2))/(LN(2)/2)*DB64*DE64*VLOOKUP('Données projet'!$B$13,Paramètres!$A$1:$I$89,3,0)*0.475*44/12</f>
        <v>2.5442701604087632</v>
      </c>
      <c r="DI64" s="22">
        <f t="shared" si="15"/>
        <v>20.995262530552125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6.625</v>
      </c>
      <c r="DO64" s="12">
        <f>IF('Données projet'!$A$166&gt;35,DO63+DN64-DW63,IF(A64&lt;'Données projet'!$A$166,$DL$205^A64,IF(A64='Données projet'!$A$166,'Données projet'!$B$166,DO63+DN64-DW63)))</f>
        <v>135.125</v>
      </c>
      <c r="DP64" s="17">
        <f>DO64*VLOOKUP('Données projet'!$B$14,Paramètres!$A$1:$I$89,3,0)*VLOOKUP('Données projet'!$B$14,Paramètres!$A$1:$I$89,5,0)</f>
        <v>137.01675</v>
      </c>
      <c r="DQ64" s="13">
        <f t="shared" si="43"/>
        <v>35.61273044998083</v>
      </c>
      <c r="DR64" s="20">
        <f t="shared" si="16"/>
        <v>300.66301178371663</v>
      </c>
      <c r="DS64" s="59">
        <f t="shared" si="17"/>
        <v>593.99634511704994</v>
      </c>
      <c r="DT64" s="59">
        <f ca="1">AVERAGE(OFFSET($DS$3,0,0,'Données projet'!$E$14+1,1))-AVERAGE(OFFSET($H$3,0,0,'Données projet'!$E$14+1,1))</f>
        <v>247.92503505485405</v>
      </c>
      <c r="DU64" s="59">
        <f t="shared" si="44"/>
        <v>148.26437652597514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0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6.625</v>
      </c>
      <c r="EJ64" s="12">
        <f>IF('Données projet'!$A$192&gt;35,EJ63+EI64-ER63,IF(A64&lt;'Données projet'!$A$192,$EG$205^A64,IF(A64='Données projet'!$A$192,'Données projet'!$B$192,EJ63+EI64-ER63)))</f>
        <v>135.125</v>
      </c>
      <c r="EK64" s="17">
        <f>EJ64*VLOOKUP('Données projet'!$B$15,Paramètres!$A$1:$I$89,3,0)*VLOOKUP('Données projet'!$B$15,Paramètres!$A$1:$I$89,5,0)</f>
        <v>130.69290000000001</v>
      </c>
      <c r="EL64" s="13">
        <f t="shared" si="45"/>
        <v>34.156418609816015</v>
      </c>
      <c r="EM64" s="20">
        <f t="shared" si="19"/>
        <v>287.11256324542956</v>
      </c>
      <c r="EN64" s="59">
        <f t="shared" si="20"/>
        <v>580.44589657876281</v>
      </c>
      <c r="EO64" s="59">
        <f ca="1">AVERAGE(OFFSET($EN$3,0,0,'Données projet'!$E$15+1,1))-AVERAGE(OFFSET($H$3,0,0,'Données projet'!$E$15+1,1))</f>
        <v>232.99870507181964</v>
      </c>
      <c r="EP64" s="59">
        <f t="shared" si="46"/>
        <v>140.07662669226278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4.5999999999999996</v>
      </c>
      <c r="FE64" s="12">
        <f>IF('Données projet'!$A$218&gt;35,FE63+FD64-FM63,IF(A64&lt;'Données projet'!$A$218,$FB$205^A64,IF(A64='Données projet'!$A$218,'Données projet'!$B$218,FE63+FD64-FM63)))</f>
        <v>225.60000000000002</v>
      </c>
      <c r="FF64" s="17">
        <f>FE64*VLOOKUP('Données projet'!$B$16,Paramètres!$A$1:$I$89,3,0)*VLOOKUP('Données projet'!$B$16,Paramètres!$A$1:$I$89,5,0)</f>
        <v>175.96800000000002</v>
      </c>
      <c r="FG64" s="13">
        <f t="shared" si="47"/>
        <v>44.423961125650585</v>
      </c>
      <c r="FH64" s="20">
        <f t="shared" si="22"/>
        <v>383.84933229384143</v>
      </c>
      <c r="FI64" s="59">
        <f t="shared" si="23"/>
        <v>677.18266562717474</v>
      </c>
      <c r="FJ64" s="59">
        <f ca="1">AVERAGE(OFFSET($FI$3,0,0,'Données projet'!$E$16+1,1))-AVERAGE(OFFSET($H$3,0,0,'Données projet'!$E$16+1,1))</f>
        <v>193.47609744163839</v>
      </c>
      <c r="FK64" s="59">
        <f t="shared" si="48"/>
        <v>170.3221892406973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0.87240983591564647</v>
      </c>
      <c r="FR64" s="21">
        <f>EXP(-LN(2)/25)*FR63+(1-EXP(-LN(2)/25))/(LN(2)/25)*Calculateur!FM64*Calculateur!FO64*VLOOKUP('Données projet'!$B$16,Paramètres!$A$1:$I$89,3,0)*0.475*44/12</f>
        <v>13.803740218027462</v>
      </c>
      <c r="FS64" s="21">
        <f>EXP(-LN(2)/2)*FS63+(1-EXP(-LN(2)/2))/(LN(2)/2)*FM64*FP64*VLOOKUP('Données projet'!$B$16,Paramètres!$A$1:$I$89,3,0)*0.475*44/12</f>
        <v>2.4943825102046699</v>
      </c>
      <c r="FT64" s="22">
        <f t="shared" si="24"/>
        <v>17.170532564147781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>
        <f>FZ64*VLOOKUP('Données projet'!$B$17,Paramètres!$A$1:$I$89,3,0)*VLOOKUP('Données projet'!$B$17,Paramètres!$A$1:$I$89,5,0)</f>
        <v>0</v>
      </c>
      <c r="GB64" s="13" t="e">
        <f t="shared" si="49"/>
        <v>#NUM!</v>
      </c>
      <c r="GC64" s="20" t="e">
        <f t="shared" si="25"/>
        <v>#NUM!</v>
      </c>
      <c r="GD64" s="59" t="e">
        <f t="shared" si="26"/>
        <v>#NUM!</v>
      </c>
      <c r="GE64" s="59">
        <f ca="1">AVERAGE(OFFSET($GD$3,0,0,'Données projet'!$E$17+1,1))-AVERAGE(OFFSET($H$3,0,0,'Données projet'!$E$17+1,1))</f>
        <v>153.43773674911449</v>
      </c>
      <c r="GF64" s="59">
        <f t="shared" si="50"/>
        <v>235.49395036616602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120.11880869320392</v>
      </c>
      <c r="GM64" s="21">
        <f>EXP(-LN(2)/25)*GM63+(1-EXP(-LN(2)/25))/(LN(2)/25)*Calculateur!GH64*Calculateur!GJ64*VLOOKUP('Données projet'!$B$17,Paramètres!$A$1:$I$89,3,0)*0.475*44/12</f>
        <v>83.536241742556214</v>
      </c>
      <c r="GN64" s="21">
        <f>EXP(-LN(2)/2)*GN63+(1-EXP(-LN(2)/2))/(LN(2)/2)*GH64*GK64*VLOOKUP('Données projet'!$B$17,Paramètres!$A$1:$I$89,3,0)*0.475*44/12</f>
        <v>0</v>
      </c>
      <c r="GO64" s="21">
        <f t="shared" si="27"/>
        <v>203.65505043576013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4.5999999999999996</v>
      </c>
      <c r="GU64" s="12">
        <f>IF('Données projet'!$A$270&gt;35,GU63+GT64-HC63,IF(A64&lt;'Données projet'!$A$270,$GR$205^A64,IF(A64='Données projet'!$A$270,'Données projet'!$B$270,GU63+GT64-HC63)))</f>
        <v>225.60000000000002</v>
      </c>
      <c r="GV64" s="17">
        <f>GU64*VLOOKUP('Données projet'!$B$18,Paramètres!$A$1:$I$89,3,0)*VLOOKUP('Données projet'!$B$18,Paramètres!$A$1:$I$89,5,0)</f>
        <v>179.48736000000002</v>
      </c>
      <c r="GW64" s="13">
        <f t="shared" si="51"/>
        <v>45.208114286641568</v>
      </c>
      <c r="GX64" s="20">
        <f t="shared" si="28"/>
        <v>391.34461771590077</v>
      </c>
      <c r="GY64" s="59">
        <f t="shared" si="29"/>
        <v>684.67795104923403</v>
      </c>
      <c r="GZ64" s="59">
        <f ca="1">AVERAGE(OFFSET($GY$3,0,0,'Données projet'!$E$18+1,1))-AVERAGE(OFFSET($H$3,0,0,'Données projet'!$E$18+1,1))</f>
        <v>198.11534486400666</v>
      </c>
      <c r="HA64" s="59">
        <f t="shared" si="52"/>
        <v>174.29856796517652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>
        <f>EXP(-LN(2)/35)*HG63+(1-EXP(-LN(2)/35))/(LN(2)/35)*HC64*HD64*VLOOKUP('Données projet'!$B$18,Paramètres!$A$1:$I$89,3,0)*0.475*44/12</f>
        <v>1.096801761153485</v>
      </c>
      <c r="HH64" s="21">
        <f>EXP(-LN(2)/25)*HH63+(1-EXP(-LN(2)/25))/(LN(2)/25)*Calculateur!HC64*Calculateur!HE64*VLOOKUP('Données projet'!$B$18,Paramètres!$A$1:$I$89,3,0)*0.475*44/12</f>
        <v>17.354190608989875</v>
      </c>
      <c r="HI64" s="21">
        <f>EXP(-LN(2)/2)*HI63+(1-EXP(-LN(2)/2))/(LN(2)/2)*HC64*HF64*VLOOKUP('Données projet'!$B$18,Paramètres!$A$1:$I$89,3,0)*0.475*44/12</f>
        <v>2.5442701604087632</v>
      </c>
      <c r="HJ64" s="22">
        <f t="shared" si="30"/>
        <v>20.995262530552125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</v>
      </c>
      <c r="N65" s="13">
        <f>IF('Données projet'!$A$36&gt;35,N64+M65-V64,IF(A65&lt;'Données projet'!$A$36,$K$205^A65,IF(A65='Données projet'!$A$36,'Données projet'!$B$36,N64+M65-V64)))</f>
        <v>366.00000000000023</v>
      </c>
      <c r="O65" s="13">
        <f>N65*VLOOKUP('Données projet'!$B$9,Paramètres!$A$1:$I$89,3,0)*VLOOKUP('Données projet'!$B$9,Paramètres!$A$1:$I$89,5,0)</f>
        <v>218.86800000000014</v>
      </c>
      <c r="P65" s="13">
        <f t="shared" si="33"/>
        <v>53.868777293257544</v>
      </c>
      <c r="Q65" s="20">
        <f t="shared" si="53"/>
        <v>475.01655378575714</v>
      </c>
      <c r="R65" s="59">
        <f t="shared" si="0"/>
        <v>768.34988711909045</v>
      </c>
      <c r="S65" s="59">
        <f ca="1">AVERAGE(OFFSET($R$3,0,0,'Données projet'!$E$9+1,1))-AVERAGE(OFFSET($H$3,0,0,'Données projet'!$E$9+1,1))</f>
        <v>295.19075440119076</v>
      </c>
      <c r="T65" s="59">
        <f t="shared" si="34"/>
        <v>173.0182327988216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5.3836609550819627</v>
      </c>
      <c r="AA65" s="21">
        <f>EXP(-LN(2)/25)*AA64+(1-EXP(-LN(2)/25))/(LN(2)/25)*Calculateur!V65*Calculateur!X65*VLOOKUP('Données projet'!$B$9,Paramètres!$A$1:$I$89,3,0)*0.475*44/12</f>
        <v>16.2838203681045</v>
      </c>
      <c r="AB65" s="21">
        <f>EXP(-LN(2)/2)*AB64+(1-EXP(-LN(2)/2))/(LN(2)/2)*V65*Y65*VLOOKUP('Données projet'!$B$9,Paramètres!$A$1:$I$89,3,0)*0.475*44/12</f>
        <v>0</v>
      </c>
      <c r="AC65" s="22">
        <f t="shared" si="3"/>
        <v>21.667481323186465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16.625</v>
      </c>
      <c r="AI65" s="13">
        <f>IF('Données projet'!$A$62&gt;35,AI64+AH65-AQ64,IF(A65&lt;'Données projet'!$A$62,$AF$205^A65,IF(A65='Données projet'!$A$62,'Données projet'!$B$62,AI64+AH65-AQ64)))</f>
        <v>428.50000000000006</v>
      </c>
      <c r="AJ65" s="13">
        <f>AI65*VLOOKUP('Données projet'!$B$10,Paramètres!$A$1:$I$89,3,0)*VLOOKUP('Données projet'!$B$10,Paramètres!$A$1:$I$89,5,0)</f>
        <v>256.24300000000005</v>
      </c>
      <c r="AK65" s="13">
        <f t="shared" si="35"/>
        <v>61.920860231490025</v>
      </c>
      <c r="AL65" s="20">
        <f t="shared" si="4"/>
        <v>554.13538990317852</v>
      </c>
      <c r="AM65" s="59">
        <f t="shared" si="5"/>
        <v>847.46872323651178</v>
      </c>
      <c r="AN65" s="59">
        <f ca="1">AVERAGE(OFFSET($AM$3,0,0,'Données projet'!$E$10+1,1))-AVERAGE(OFFSET($H$3,0,0,'Données projet'!$E$10+1,1))</f>
        <v>294.45857786714919</v>
      </c>
      <c r="AO65" s="59">
        <f t="shared" si="36"/>
        <v>221.9773436301067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22.152795134166478</v>
      </c>
      <c r="AV65" s="21">
        <f>EXP(-LN(2)/25)*AV64+(1-EXP(-LN(2)/25))/(LN(2)/25)*Calculateur!AQ65*Calculateur!AS65*VLOOKUP('Données projet'!$B$10,Paramètres!$A$1:$I$89,3,0)*0.475*44/12</f>
        <v>47.056282602860527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69.209077737027002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179.44051550872138</v>
      </c>
      <c r="BJ65" s="59">
        <f t="shared" si="38"/>
        <v>272.9500808380069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134.58668813710759</v>
      </c>
      <c r="BQ65" s="21">
        <f>EXP(-LN(2)/25)*BQ64+(1-EXP(-LN(2)/25))/(LN(2)/25)*Calculateur!BL65*Calculateur!BN65*VLOOKUP('Données projet'!$B$11,Paramètres!$A$1:$I$89,3,0)*0.475*44/12</f>
        <v>92.859358650429698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227.44604678753728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15.5</v>
      </c>
      <c r="BY65" s="12">
        <f>IF('Données projet'!$A$114&gt;35,BY64+BX65-CG64,IF(A65&lt;'Données projet'!$A$114,$BV$205^A65,IF(A65='Données projet'!$A$114,'Données projet'!$B$114,BY64+BX65-CG64)))</f>
        <v>352.99999999999989</v>
      </c>
      <c r="BZ65" s="13">
        <f>BY65*VLOOKUP('Données projet'!$B$12,Paramètres!$A$1:$I$89,3,0)*VLOOKUP('Données projet'!$B$12,Paramètres!$A$1:$I$89,5,0)</f>
        <v>165.20399999999995</v>
      </c>
      <c r="CA65" s="13">
        <f t="shared" si="39"/>
        <v>42.014096665795854</v>
      </c>
      <c r="CB65" s="20">
        <f t="shared" si="10"/>
        <v>360.90485169292765</v>
      </c>
      <c r="CC65" s="59">
        <f t="shared" si="11"/>
        <v>654.23818502626091</v>
      </c>
      <c r="CD65" s="59">
        <f ca="1">AVERAGE(OFFSET($CC$3,0,0,'Données projet'!$E$12+1,1))-AVERAGE(OFFSET($H$3,0,0,'Données projet'!$E$12+1,1))</f>
        <v>259.87681411271632</v>
      </c>
      <c r="CE65" s="59">
        <f t="shared" si="40"/>
        <v>191.8684235641158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19.27181540397325</v>
      </c>
      <c r="CL65" s="21">
        <f>EXP(-LN(2)/25)*CL64+(1-EXP(-LN(2)/25))/(LN(2)/25)*Calculateur!CG65*Calculateur!CI65*VLOOKUP('Données projet'!$B$12,Paramètres!$A$1:$I$89,3,0)*0.475*44/12</f>
        <v>44.148931868478364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63.420747272451614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4.5999999999999996</v>
      </c>
      <c r="CT65" s="12">
        <f>IF('Données projet'!$A$140&gt;35,CT64+CS65-DB64,IF(A65&lt;'Données projet'!$A$140,$CQ$205^A65,IF(A65='Données projet'!$A$140,'Données projet'!$B$140,CT64+CS65-DB64)))</f>
        <v>230.20000000000002</v>
      </c>
      <c r="CU65" s="17">
        <f>CT65*VLOOKUP('Données projet'!$B$13,Paramètres!$A$1:$I$89,3,0)*VLOOKUP('Données projet'!$B$13,Paramètres!$A$1:$I$89,5,0)</f>
        <v>183.14712000000003</v>
      </c>
      <c r="CV65" s="13">
        <f t="shared" si="41"/>
        <v>46.021654500071783</v>
      </c>
      <c r="CW65" s="20">
        <f t="shared" si="13"/>
        <v>399.13561558762507</v>
      </c>
      <c r="CX65" s="59">
        <f t="shared" si="14"/>
        <v>692.46894892095838</v>
      </c>
      <c r="CY65" s="59">
        <f ca="1">AVERAGE(OFFSET($CX$3,0,0,'Données projet'!$E$13+1,1))-AVERAGE(OFFSET($H$3,0,0,'Données projet'!$E$13+1,1))</f>
        <v>198.11534486400666</v>
      </c>
      <c r="CZ65" s="59">
        <f t="shared" si="42"/>
        <v>174.29856796517652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1.0752941476002829</v>
      </c>
      <c r="DG65" s="21">
        <f>EXP(-LN(2)/25)*DG64+(1-EXP(-LN(2)/25))/(LN(2)/25)*Calculateur!DB65*Calculateur!DD65*VLOOKUP('Données projet'!$B$13,Paramètres!$A$1:$I$89,3,0)*0.475*44/12</f>
        <v>16.879639354169825</v>
      </c>
      <c r="DH65" s="21">
        <f>EXP(-LN(2)/2)*DH64+(1-EXP(-LN(2)/2))/(LN(2)/2)*DB65*DE65*VLOOKUP('Données projet'!$B$13,Paramètres!$A$1:$I$89,3,0)*0.475*44/12</f>
        <v>1.7990706835956216</v>
      </c>
      <c r="DI65" s="22">
        <f t="shared" si="15"/>
        <v>19.75400418536573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6.625</v>
      </c>
      <c r="DO65" s="12">
        <f>IF('Données projet'!$A$166&gt;35,DO64+DN65-DW64,IF(A65&lt;'Données projet'!$A$166,$DL$205^A65,IF(A65='Données projet'!$A$166,'Données projet'!$B$166,DO64+DN65-DW64)))</f>
        <v>141.75</v>
      </c>
      <c r="DP65" s="17">
        <f>DO65*VLOOKUP('Données projet'!$B$14,Paramètres!$A$1:$I$89,3,0)*VLOOKUP('Données projet'!$B$14,Paramètres!$A$1:$I$89,5,0)</f>
        <v>143.7345</v>
      </c>
      <c r="DQ65" s="13">
        <f t="shared" si="43"/>
        <v>37.151211820512735</v>
      </c>
      <c r="DR65" s="20">
        <f t="shared" si="16"/>
        <v>315.04261475405968</v>
      </c>
      <c r="DS65" s="59">
        <f t="shared" si="17"/>
        <v>608.375948087393</v>
      </c>
      <c r="DT65" s="59">
        <f ca="1">AVERAGE(OFFSET($DS$3,0,0,'Données projet'!$E$14+1,1))-AVERAGE(OFFSET($H$3,0,0,'Données projet'!$E$14+1,1))</f>
        <v>247.92503505485405</v>
      </c>
      <c r="DU65" s="59">
        <f t="shared" si="44"/>
        <v>148.26437652597514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0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6.625</v>
      </c>
      <c r="EJ65" s="12">
        <f>IF('Données projet'!$A$192&gt;35,EJ64+EI65-ER64,IF(A65&lt;'Données projet'!$A$192,$EG$205^A65,IF(A65='Données projet'!$A$192,'Données projet'!$B$192,EJ64+EI65-ER64)))</f>
        <v>141.75</v>
      </c>
      <c r="EK65" s="17">
        <f>EJ65*VLOOKUP('Données projet'!$B$15,Paramètres!$A$1:$I$89,3,0)*VLOOKUP('Données projet'!$B$15,Paramètres!$A$1:$I$89,5,0)</f>
        <v>137.10060000000001</v>
      </c>
      <c r="EL65" s="13">
        <f t="shared" si="45"/>
        <v>35.631986842055269</v>
      </c>
      <c r="EM65" s="20">
        <f t="shared" si="19"/>
        <v>300.84258874991298</v>
      </c>
      <c r="EN65" s="59">
        <f t="shared" si="20"/>
        <v>594.17592208324629</v>
      </c>
      <c r="EO65" s="59">
        <f ca="1">AVERAGE(OFFSET($EN$3,0,0,'Données projet'!$E$15+1,1))-AVERAGE(OFFSET($H$3,0,0,'Données projet'!$E$15+1,1))</f>
        <v>232.99870507181964</v>
      </c>
      <c r="EP65" s="59">
        <f t="shared" si="46"/>
        <v>140.07662669226278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4.5999999999999996</v>
      </c>
      <c r="FE65" s="12">
        <f>IF('Données projet'!$A$218&gt;35,FE64+FD65-FM64,IF(A65&lt;'Données projet'!$A$218,$FB$205^A65,IF(A65='Données projet'!$A$218,'Données projet'!$B$218,FE64+FD65-FM64)))</f>
        <v>230.20000000000002</v>
      </c>
      <c r="FF65" s="17">
        <f>FE65*VLOOKUP('Données projet'!$B$16,Paramètres!$A$1:$I$89,3,0)*VLOOKUP('Données projet'!$B$16,Paramètres!$A$1:$I$89,5,0)</f>
        <v>179.55600000000001</v>
      </c>
      <c r="FG65" s="13">
        <f t="shared" si="47"/>
        <v>45.223390152626322</v>
      </c>
      <c r="FH65" s="20">
        <f t="shared" si="22"/>
        <v>391.49077118249079</v>
      </c>
      <c r="FI65" s="59">
        <f t="shared" si="23"/>
        <v>684.82410451582405</v>
      </c>
      <c r="FJ65" s="59">
        <f ca="1">AVERAGE(OFFSET($FI$3,0,0,'Données projet'!$E$16+1,1))-AVERAGE(OFFSET($H$3,0,0,'Données projet'!$E$16+1,1))</f>
        <v>193.47609744163839</v>
      </c>
      <c r="FK65" s="59">
        <f t="shared" si="48"/>
        <v>170.3221892406973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0.8553024111507983</v>
      </c>
      <c r="FR65" s="21">
        <f>EXP(-LN(2)/25)*FR64+(1-EXP(-LN(2)/25))/(LN(2)/25)*Calculateur!FM65*Calculateur!FO65*VLOOKUP('Données projet'!$B$16,Paramètres!$A$1:$I$89,3,0)*0.475*44/12</f>
        <v>13.426276215858351</v>
      </c>
      <c r="FS65" s="21">
        <f>EXP(-LN(2)/2)*FS64+(1-EXP(-LN(2)/2))/(LN(2)/2)*FM65*FP65*VLOOKUP('Données projet'!$B$16,Paramètres!$A$1:$I$89,3,0)*0.475*44/12</f>
        <v>1.7637947878388449</v>
      </c>
      <c r="FT65" s="22">
        <f t="shared" si="24"/>
        <v>16.045373414847994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>
        <f>FZ65*VLOOKUP('Données projet'!$B$17,Paramètres!$A$1:$I$89,3,0)*VLOOKUP('Données projet'!$B$17,Paramètres!$A$1:$I$89,5,0)</f>
        <v>0</v>
      </c>
      <c r="GB65" s="13" t="e">
        <f t="shared" si="49"/>
        <v>#NUM!</v>
      </c>
      <c r="GC65" s="20" t="e">
        <f t="shared" si="25"/>
        <v>#NUM!</v>
      </c>
      <c r="GD65" s="59" t="e">
        <f t="shared" si="26"/>
        <v>#NUM!</v>
      </c>
      <c r="GE65" s="59">
        <f ca="1">AVERAGE(OFFSET($GD$3,0,0,'Données projet'!$E$17+1,1))-AVERAGE(OFFSET($H$3,0,0,'Données projet'!$E$17+1,1))</f>
        <v>153.43773674911449</v>
      </c>
      <c r="GF65" s="59">
        <f t="shared" si="50"/>
        <v>235.49395036616602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117.76335211996916</v>
      </c>
      <c r="GM65" s="21">
        <f>EXP(-LN(2)/25)*GM64+(1-EXP(-LN(2)/25))/(LN(2)/25)*Calculateur!GH65*Calculateur!GJ65*VLOOKUP('Données projet'!$B$17,Paramètres!$A$1:$I$89,3,0)*0.475*44/12</f>
        <v>81.251938819125982</v>
      </c>
      <c r="GN65" s="21">
        <f>EXP(-LN(2)/2)*GN64+(1-EXP(-LN(2)/2))/(LN(2)/2)*GH65*GK65*VLOOKUP('Données projet'!$B$17,Paramètres!$A$1:$I$89,3,0)*0.475*44/12</f>
        <v>0</v>
      </c>
      <c r="GO65" s="21">
        <f t="shared" si="27"/>
        <v>199.01529093909514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4.5999999999999996</v>
      </c>
      <c r="GU65" s="12">
        <f>IF('Données projet'!$A$270&gt;35,GU64+GT65-HC64,IF(A65&lt;'Données projet'!$A$270,$GR$205^A65,IF(A65='Données projet'!$A$270,'Données projet'!$B$270,GU64+GT65-HC64)))</f>
        <v>230.20000000000002</v>
      </c>
      <c r="GV65" s="17">
        <f>GU65*VLOOKUP('Données projet'!$B$18,Paramètres!$A$1:$I$89,3,0)*VLOOKUP('Données projet'!$B$18,Paramètres!$A$1:$I$89,5,0)</f>
        <v>183.14712000000003</v>
      </c>
      <c r="GW65" s="13">
        <f t="shared" si="51"/>
        <v>46.021654500071783</v>
      </c>
      <c r="GX65" s="20">
        <f t="shared" si="28"/>
        <v>399.13561558762507</v>
      </c>
      <c r="GY65" s="59">
        <f t="shared" si="29"/>
        <v>692.46894892095838</v>
      </c>
      <c r="GZ65" s="59">
        <f ca="1">AVERAGE(OFFSET($GY$3,0,0,'Données projet'!$E$18+1,1))-AVERAGE(OFFSET($H$3,0,0,'Données projet'!$E$18+1,1))</f>
        <v>198.11534486400666</v>
      </c>
      <c r="HA65" s="59">
        <f t="shared" si="52"/>
        <v>174.29856796517652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>
        <f>EXP(-LN(2)/35)*HG64+(1-EXP(-LN(2)/35))/(LN(2)/35)*HC65*HD65*VLOOKUP('Données projet'!$B$18,Paramètres!$A$1:$I$89,3,0)*0.475*44/12</f>
        <v>1.0752941476002829</v>
      </c>
      <c r="HH65" s="21">
        <f>EXP(-LN(2)/25)*HH64+(1-EXP(-LN(2)/25))/(LN(2)/25)*Calculateur!HC65*Calculateur!HE65*VLOOKUP('Données projet'!$B$18,Paramètres!$A$1:$I$89,3,0)*0.475*44/12</f>
        <v>16.879639354169825</v>
      </c>
      <c r="HI65" s="21">
        <f>EXP(-LN(2)/2)*HI64+(1-EXP(-LN(2)/2))/(LN(2)/2)*HC65*HF65*VLOOKUP('Données projet'!$B$18,Paramètres!$A$1:$I$89,3,0)*0.475*44/12</f>
        <v>1.7990706835956216</v>
      </c>
      <c r="HJ65" s="22">
        <f t="shared" si="30"/>
        <v>19.75400418536573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</v>
      </c>
      <c r="N66" s="13">
        <f>IF('Données projet'!$A$36&gt;35,N65+M66-V65,IF(A66&lt;'Données projet'!$A$36,$K$205^A66,IF(A66='Données projet'!$A$36,'Données projet'!$B$36,N65+M66-V65)))</f>
        <v>373.00000000000023</v>
      </c>
      <c r="O66" s="13">
        <f>N66*VLOOKUP('Données projet'!$B$9,Paramètres!$A$1:$I$89,3,0)*VLOOKUP('Données projet'!$B$9,Paramètres!$A$1:$I$89,5,0)</f>
        <v>223.05400000000017</v>
      </c>
      <c r="P66" s="13">
        <f t="shared" si="33"/>
        <v>54.778124005813432</v>
      </c>
      <c r="Q66" s="20">
        <f t="shared" si="53"/>
        <v>483.89094931012534</v>
      </c>
      <c r="R66" s="59">
        <f t="shared" si="0"/>
        <v>777.22428264345865</v>
      </c>
      <c r="S66" s="59">
        <f ca="1">AVERAGE(OFFSET($R$3,0,0,'Données projet'!$E$9+1,1))-AVERAGE(OFFSET($H$3,0,0,'Données projet'!$E$9+1,1))</f>
        <v>295.19075440119076</v>
      </c>
      <c r="T66" s="59">
        <f t="shared" si="34"/>
        <v>173.0182327988216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5.2780906474617488</v>
      </c>
      <c r="AA66" s="21">
        <f>EXP(-LN(2)/25)*AA65+(1-EXP(-LN(2)/25))/(LN(2)/25)*Calculateur!V66*Calculateur!X66*VLOOKUP('Données projet'!$B$9,Paramètres!$A$1:$I$89,3,0)*0.475*44/12</f>
        <v>15.838538443809787</v>
      </c>
      <c r="AB66" s="21">
        <f>EXP(-LN(2)/2)*AB65+(1-EXP(-LN(2)/2))/(LN(2)/2)*V66*Y66*VLOOKUP('Données projet'!$B$9,Paramètres!$A$1:$I$89,3,0)*0.475*44/12</f>
        <v>0</v>
      </c>
      <c r="AC66" s="22">
        <f t="shared" si="3"/>
        <v>21.116629091271534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16.625</v>
      </c>
      <c r="AI66" s="13">
        <f>IF('Données projet'!$A$62&gt;35,AI65+AH66-AQ65,IF(A66&lt;'Données projet'!$A$62,$AF$205^A66,IF(A66='Données projet'!$A$62,'Données projet'!$B$62,AI65+AH66-AQ65)))</f>
        <v>445.12500000000006</v>
      </c>
      <c r="AJ66" s="13">
        <f>AI66*VLOOKUP('Données projet'!$B$10,Paramètres!$A$1:$I$89,3,0)*VLOOKUP('Données projet'!$B$10,Paramètres!$A$1:$I$89,5,0)</f>
        <v>266.18475000000007</v>
      </c>
      <c r="AK66" s="13">
        <f t="shared" si="35"/>
        <v>64.038907529798962</v>
      </c>
      <c r="AL66" s="20">
        <f t="shared" si="4"/>
        <v>575.13953686439993</v>
      </c>
      <c r="AM66" s="59">
        <f t="shared" si="5"/>
        <v>868.4728701977333</v>
      </c>
      <c r="AN66" s="59">
        <f ca="1">AVERAGE(OFFSET($AM$3,0,0,'Données projet'!$E$10+1,1))-AVERAGE(OFFSET($H$3,0,0,'Données projet'!$E$10+1,1))</f>
        <v>294.45857786714919</v>
      </c>
      <c r="AO66" s="59">
        <f t="shared" si="36"/>
        <v>221.9773436301067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21.718392333456318</v>
      </c>
      <c r="AV66" s="21">
        <f>EXP(-LN(2)/25)*AV65+(1-EXP(-LN(2)/25))/(LN(2)/25)*Calculateur!AQ66*Calculateur!AS66*VLOOKUP('Données projet'!$B$10,Paramètres!$A$1:$I$89,3,0)*0.475*44/12</f>
        <v>45.769526080502949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67.487918413959264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179.44051550872138</v>
      </c>
      <c r="BJ66" s="59">
        <f t="shared" si="38"/>
        <v>272.9500808380069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131.94752527251299</v>
      </c>
      <c r="BQ66" s="21">
        <f>EXP(-LN(2)/25)*BQ65+(1-EXP(-LN(2)/25))/(LN(2)/25)*Calculateur!BL66*Calculateur!BN66*VLOOKUP('Données projet'!$B$11,Paramètres!$A$1:$I$89,3,0)*0.475*44/12</f>
        <v>90.320114604872259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222.26763987738525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15.5</v>
      </c>
      <c r="BY66" s="12">
        <f>IF('Données projet'!$A$114&gt;35,BY65+BX66-CG65,IF(A66&lt;'Données projet'!$A$114,$BV$205^A66,IF(A66='Données projet'!$A$114,'Données projet'!$B$114,BY65+BX66-CG65)))</f>
        <v>368.49999999999989</v>
      </c>
      <c r="BZ66" s="13">
        <f>BY66*VLOOKUP('Données projet'!$B$12,Paramètres!$A$1:$I$89,3,0)*VLOOKUP('Données projet'!$B$12,Paramètres!$A$1:$I$89,5,0)</f>
        <v>172.45799999999997</v>
      </c>
      <c r="CA66" s="13">
        <f t="shared" si="39"/>
        <v>43.640073035750248</v>
      </c>
      <c r="CB66" s="20">
        <f t="shared" si="10"/>
        <v>376.37081053726496</v>
      </c>
      <c r="CC66" s="59">
        <f t="shared" si="11"/>
        <v>669.70414387059827</v>
      </c>
      <c r="CD66" s="59">
        <f ca="1">AVERAGE(OFFSET($CC$3,0,0,'Données projet'!$E$12+1,1))-AVERAGE(OFFSET($H$3,0,0,'Données projet'!$E$12+1,1))</f>
        <v>259.87681411271632</v>
      </c>
      <c r="CE66" s="59">
        <f t="shared" si="40"/>
        <v>191.8684235641158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18.893906858548057</v>
      </c>
      <c r="CL66" s="21">
        <f>EXP(-LN(2)/25)*CL65+(1-EXP(-LN(2)/25))/(LN(2)/25)*Calculateur!CG66*Calculateur!CI66*VLOOKUP('Données projet'!$B$12,Paramètres!$A$1:$I$89,3,0)*0.475*44/12</f>
        <v>42.941677004843399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61.835583863391456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4.5999999999999996</v>
      </c>
      <c r="CT66" s="12">
        <f>IF('Données projet'!$A$140&gt;35,CT65+CS66-DB65,IF(A66&lt;'Données projet'!$A$140,$CQ$205^A66,IF(A66='Données projet'!$A$140,'Données projet'!$B$140,CT65+CS66-DB65)))</f>
        <v>234.8</v>
      </c>
      <c r="CU66" s="17">
        <f>CT66*VLOOKUP('Données projet'!$B$13,Paramètres!$A$1:$I$89,3,0)*VLOOKUP('Données projet'!$B$13,Paramètres!$A$1:$I$89,5,0)</f>
        <v>186.80688000000001</v>
      </c>
      <c r="CV66" s="13">
        <f t="shared" si="41"/>
        <v>46.833304503358612</v>
      </c>
      <c r="CW66" s="20">
        <f t="shared" si="13"/>
        <v>406.92332134334953</v>
      </c>
      <c r="CX66" s="59">
        <f t="shared" si="14"/>
        <v>700.25665467668284</v>
      </c>
      <c r="CY66" s="59">
        <f ca="1">AVERAGE(OFFSET($CX$3,0,0,'Données projet'!$E$13+1,1))-AVERAGE(OFFSET($H$3,0,0,'Données projet'!$E$13+1,1))</f>
        <v>198.11534486400666</v>
      </c>
      <c r="CZ66" s="59">
        <f t="shared" si="42"/>
        <v>174.29856796517652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1.0542082852305101</v>
      </c>
      <c r="DG66" s="21">
        <f>EXP(-LN(2)/25)*DG65+(1-EXP(-LN(2)/25))/(LN(2)/25)*Calculateur!DB66*Calculateur!DD66*VLOOKUP('Données projet'!$B$13,Paramètres!$A$1:$I$89,3,0)*0.475*44/12</f>
        <v>16.418064728368396</v>
      </c>
      <c r="DH66" s="21">
        <f>EXP(-LN(2)/2)*DH65+(1-EXP(-LN(2)/2))/(LN(2)/2)*DB66*DE66*VLOOKUP('Données projet'!$B$13,Paramètres!$A$1:$I$89,3,0)*0.475*44/12</f>
        <v>1.2721350802043818</v>
      </c>
      <c r="DI66" s="22">
        <f t="shared" si="15"/>
        <v>18.744408093803287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6.625</v>
      </c>
      <c r="DO66" s="12">
        <f>IF('Données projet'!$A$166&gt;35,DO65+DN66-DW65,IF(A66&lt;'Données projet'!$A$166,$DL$205^A66,IF(A66='Données projet'!$A$166,'Données projet'!$B$166,DO65+DN66-DW65)))</f>
        <v>148.375</v>
      </c>
      <c r="DP66" s="17">
        <f>DO66*VLOOKUP('Données projet'!$B$14,Paramètres!$A$1:$I$89,3,0)*VLOOKUP('Données projet'!$B$14,Paramètres!$A$1:$I$89,5,0)</f>
        <v>150.45225000000002</v>
      </c>
      <c r="DQ66" s="13">
        <f t="shared" si="43"/>
        <v>38.681343042079284</v>
      </c>
      <c r="DR66" s="20">
        <f t="shared" si="16"/>
        <v>329.40767454828807</v>
      </c>
      <c r="DS66" s="59">
        <f t="shared" si="17"/>
        <v>622.74100788162139</v>
      </c>
      <c r="DT66" s="59">
        <f ca="1">AVERAGE(OFFSET($DS$3,0,0,'Données projet'!$E$14+1,1))-AVERAGE(OFFSET($H$3,0,0,'Données projet'!$E$14+1,1))</f>
        <v>247.92503505485405</v>
      </c>
      <c r="DU66" s="59">
        <f t="shared" si="44"/>
        <v>148.26437652597514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0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6.625</v>
      </c>
      <c r="EJ66" s="12">
        <f>IF('Données projet'!$A$192&gt;35,EJ65+EI66-ER65,IF(A66&lt;'Données projet'!$A$192,$EG$205^A66,IF(A66='Données projet'!$A$192,'Données projet'!$B$192,EJ65+EI66-ER65)))</f>
        <v>148.375</v>
      </c>
      <c r="EK66" s="17">
        <f>EJ66*VLOOKUP('Données projet'!$B$15,Paramètres!$A$1:$I$89,3,0)*VLOOKUP('Données projet'!$B$15,Paramètres!$A$1:$I$89,5,0)</f>
        <v>143.50829999999999</v>
      </c>
      <c r="EL66" s="13">
        <f t="shared" si="45"/>
        <v>37.099546388077194</v>
      </c>
      <c r="EM66" s="20">
        <f t="shared" si="19"/>
        <v>314.55866579256775</v>
      </c>
      <c r="EN66" s="59">
        <f t="shared" si="20"/>
        <v>607.89199912590107</v>
      </c>
      <c r="EO66" s="59">
        <f ca="1">AVERAGE(OFFSET($EN$3,0,0,'Données projet'!$E$15+1,1))-AVERAGE(OFFSET($H$3,0,0,'Données projet'!$E$15+1,1))</f>
        <v>232.99870507181964</v>
      </c>
      <c r="EP66" s="59">
        <f t="shared" si="46"/>
        <v>140.07662669226278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4.5999999999999996</v>
      </c>
      <c r="FE66" s="12">
        <f>IF('Données projet'!$A$218&gt;35,FE65+FD66-FM65,IF(A66&lt;'Données projet'!$A$218,$FB$205^A66,IF(A66='Données projet'!$A$218,'Données projet'!$B$218,FE65+FD66-FM65)))</f>
        <v>234.8</v>
      </c>
      <c r="FF66" s="17">
        <f>FE66*VLOOKUP('Données projet'!$B$16,Paramètres!$A$1:$I$89,3,0)*VLOOKUP('Données projet'!$B$16,Paramètres!$A$1:$I$89,5,0)</f>
        <v>183.14400000000001</v>
      </c>
      <c r="FG66" s="13">
        <f t="shared" si="47"/>
        <v>46.020961755923707</v>
      </c>
      <c r="FH66" s="20">
        <f t="shared" si="22"/>
        <v>399.12897505823383</v>
      </c>
      <c r="FI66" s="59">
        <f t="shared" si="23"/>
        <v>692.46230839156715</v>
      </c>
      <c r="FJ66" s="59">
        <f ca="1">AVERAGE(OFFSET($FI$3,0,0,'Données projet'!$E$16+1,1))-AVERAGE(OFFSET($H$3,0,0,'Données projet'!$E$16+1,1))</f>
        <v>193.47609744163839</v>
      </c>
      <c r="FK66" s="59">
        <f t="shared" si="48"/>
        <v>170.3221892406973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0.83853045255109004</v>
      </c>
      <c r="FR66" s="21">
        <f>EXP(-LN(2)/25)*FR65+(1-EXP(-LN(2)/25))/(LN(2)/25)*Calculateur!FM66*Calculateur!FO66*VLOOKUP('Données projet'!$B$16,Paramètres!$A$1:$I$89,3,0)*0.475*44/12</f>
        <v>13.059133986678525</v>
      </c>
      <c r="FS66" s="21">
        <f>EXP(-LN(2)/2)*FS65+(1-EXP(-LN(2)/2))/(LN(2)/2)*FM66*FP66*VLOOKUP('Données projet'!$B$16,Paramètres!$A$1:$I$89,3,0)*0.475*44/12</f>
        <v>1.2471912551023352</v>
      </c>
      <c r="FT66" s="22">
        <f t="shared" si="24"/>
        <v>15.14485569433195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>
        <f>FZ66*VLOOKUP('Données projet'!$B$17,Paramètres!$A$1:$I$89,3,0)*VLOOKUP('Données projet'!$B$17,Paramètres!$A$1:$I$89,5,0)</f>
        <v>0</v>
      </c>
      <c r="GB66" s="13" t="e">
        <f t="shared" si="49"/>
        <v>#NUM!</v>
      </c>
      <c r="GC66" s="20" t="e">
        <f t="shared" si="25"/>
        <v>#NUM!</v>
      </c>
      <c r="GD66" s="59" t="e">
        <f t="shared" si="26"/>
        <v>#NUM!</v>
      </c>
      <c r="GE66" s="59">
        <f ca="1">AVERAGE(OFFSET($GD$3,0,0,'Données projet'!$E$17+1,1))-AVERAGE(OFFSET($H$3,0,0,'Données projet'!$E$17+1,1))</f>
        <v>153.43773674911449</v>
      </c>
      <c r="GF66" s="59">
        <f t="shared" si="50"/>
        <v>235.49395036616602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115.45408461344887</v>
      </c>
      <c r="GM66" s="21">
        <f>EXP(-LN(2)/25)*GM65+(1-EXP(-LN(2)/25))/(LN(2)/25)*Calculateur!GH66*Calculateur!GJ66*VLOOKUP('Données projet'!$B$17,Paramètres!$A$1:$I$89,3,0)*0.475*44/12</f>
        <v>79.030100279263223</v>
      </c>
      <c r="GN66" s="21">
        <f>EXP(-LN(2)/2)*GN65+(1-EXP(-LN(2)/2))/(LN(2)/2)*GH66*GK66*VLOOKUP('Données projet'!$B$17,Paramètres!$A$1:$I$89,3,0)*0.475*44/12</f>
        <v>0</v>
      </c>
      <c r="GO66" s="21">
        <f t="shared" si="27"/>
        <v>194.48418489271211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4.5999999999999996</v>
      </c>
      <c r="GU66" s="12">
        <f>IF('Données projet'!$A$270&gt;35,GU65+GT66-HC65,IF(A66&lt;'Données projet'!$A$270,$GR$205^A66,IF(A66='Données projet'!$A$270,'Données projet'!$B$270,GU65+GT66-HC65)))</f>
        <v>234.8</v>
      </c>
      <c r="GV66" s="17">
        <f>GU66*VLOOKUP('Données projet'!$B$18,Paramètres!$A$1:$I$89,3,0)*VLOOKUP('Données projet'!$B$18,Paramètres!$A$1:$I$89,5,0)</f>
        <v>186.80688000000001</v>
      </c>
      <c r="GW66" s="13">
        <f t="shared" si="51"/>
        <v>46.833304503358612</v>
      </c>
      <c r="GX66" s="20">
        <f t="shared" si="28"/>
        <v>406.92332134334953</v>
      </c>
      <c r="GY66" s="59">
        <f t="shared" si="29"/>
        <v>700.25665467668284</v>
      </c>
      <c r="GZ66" s="59">
        <f ca="1">AVERAGE(OFFSET($GY$3,0,0,'Données projet'!$E$18+1,1))-AVERAGE(OFFSET($H$3,0,0,'Données projet'!$E$18+1,1))</f>
        <v>198.11534486400666</v>
      </c>
      <c r="HA66" s="59">
        <f t="shared" si="52"/>
        <v>174.29856796517652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>
        <f>EXP(-LN(2)/35)*HG65+(1-EXP(-LN(2)/35))/(LN(2)/35)*HC66*HD66*VLOOKUP('Données projet'!$B$18,Paramètres!$A$1:$I$89,3,0)*0.475*44/12</f>
        <v>1.0542082852305101</v>
      </c>
      <c r="HH66" s="21">
        <f>EXP(-LN(2)/25)*HH65+(1-EXP(-LN(2)/25))/(LN(2)/25)*Calculateur!HC66*Calculateur!HE66*VLOOKUP('Données projet'!$B$18,Paramètres!$A$1:$I$89,3,0)*0.475*44/12</f>
        <v>16.418064728368396</v>
      </c>
      <c r="HI66" s="21">
        <f>EXP(-LN(2)/2)*HI65+(1-EXP(-LN(2)/2))/(LN(2)/2)*HC66*HF66*VLOOKUP('Données projet'!$B$18,Paramètres!$A$1:$I$89,3,0)*0.475*44/12</f>
        <v>1.2721350802043818</v>
      </c>
      <c r="HJ66" s="22">
        <f t="shared" si="30"/>
        <v>18.744408093803287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</v>
      </c>
      <c r="N67" s="13">
        <f>IF('Données projet'!$A$36&gt;35,N66+M67-V66,IF(A67&lt;'Données projet'!$A$36,$K$205^A67,IF(A67='Données projet'!$A$36,'Données projet'!$B$36,N66+M67-V66)))</f>
        <v>380.00000000000023</v>
      </c>
      <c r="O67" s="13">
        <f>N67*VLOOKUP('Données projet'!$B$9,Paramètres!$A$1:$I$89,3,0)*VLOOKUP('Données projet'!$B$9,Paramètres!$A$1:$I$89,5,0)</f>
        <v>227.24000000000018</v>
      </c>
      <c r="P67" s="13">
        <f t="shared" si="33"/>
        <v>55.685486340484253</v>
      </c>
      <c r="Q67" s="20">
        <f t="shared" ref="Q67:Q98" si="54">(O67+P67)*0.475*44/12</f>
        <v>492.76188870967707</v>
      </c>
      <c r="R67" s="59">
        <f t="shared" ref="R67:R130" si="55">Q67+(I67+J67)*44/12</f>
        <v>786.09522204301038</v>
      </c>
      <c r="S67" s="59">
        <f ca="1">AVERAGE(OFFSET($R$3,0,0,'Données projet'!$E$9+1,1))-AVERAGE(OFFSET($H$3,0,0,'Données projet'!$E$9+1,1))</f>
        <v>295.19075440119076</v>
      </c>
      <c r="T67" s="59">
        <f t="shared" si="34"/>
        <v>173.0182327988216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5.1745905091824378</v>
      </c>
      <c r="AA67" s="21">
        <f>EXP(-LN(2)/25)*AA66+(1-EXP(-LN(2)/25))/(LN(2)/25)*Calculateur!V67*Calculateur!X67*VLOOKUP('Données projet'!$B$9,Paramètres!$A$1:$I$89,3,0)*0.475*44/12</f>
        <v>15.405432777151271</v>
      </c>
      <c r="AB67" s="21">
        <f>EXP(-LN(2)/2)*AB66+(1-EXP(-LN(2)/2))/(LN(2)/2)*V67*Y67*VLOOKUP('Données projet'!$B$9,Paramètres!$A$1:$I$89,3,0)*0.475*44/12</f>
        <v>0</v>
      </c>
      <c r="AC67" s="22">
        <f t="shared" si="3"/>
        <v>20.580023286333709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16.625</v>
      </c>
      <c r="AI67" s="13">
        <f>IF('Données projet'!$A$62&gt;35,AI66+AH67-AQ66,IF(A67&lt;'Données projet'!$A$62,$AF$205^A67,IF(A67='Données projet'!$A$62,'Données projet'!$B$62,AI66+AH67-AQ66)))</f>
        <v>461.75000000000006</v>
      </c>
      <c r="AJ67" s="13">
        <f>AI67*VLOOKUP('Données projet'!$B$10,Paramètres!$A$1:$I$89,3,0)*VLOOKUP('Données projet'!$B$10,Paramètres!$A$1:$I$89,5,0)</f>
        <v>276.12650000000002</v>
      </c>
      <c r="AK67" s="13">
        <f t="shared" si="35"/>
        <v>66.147764494536631</v>
      </c>
      <c r="AL67" s="20">
        <f t="shared" si="4"/>
        <v>596.12767732798454</v>
      </c>
      <c r="AM67" s="59">
        <f t="shared" si="5"/>
        <v>889.46101066131791</v>
      </c>
      <c r="AN67" s="59">
        <f ca="1">AVERAGE(OFFSET($AM$3,0,0,'Données projet'!$E$10+1,1))-AVERAGE(OFFSET($H$3,0,0,'Données projet'!$E$10+1,1))</f>
        <v>294.45857786714919</v>
      </c>
      <c r="AO67" s="59">
        <f t="shared" si="36"/>
        <v>221.9773436301067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21.29250790670854</v>
      </c>
      <c r="AV67" s="21">
        <f>EXP(-LN(2)/25)*AV66+(1-EXP(-LN(2)/25))/(LN(2)/25)*Calculateur!AQ67*Calculateur!AS67*VLOOKUP('Données projet'!$B$10,Paramètres!$A$1:$I$89,3,0)*0.475*44/12</f>
        <v>44.517955982916824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65.810463889625368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179.44051550872138</v>
      </c>
      <c r="BJ67" s="59">
        <f t="shared" si="38"/>
        <v>272.9500808380069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129.36011478196269</v>
      </c>
      <c r="BQ67" s="21">
        <f>EXP(-LN(2)/25)*BQ66+(1-EXP(-LN(2)/25))/(LN(2)/25)*Calculateur!BL67*Calculateur!BN67*VLOOKUP('Données projet'!$B$11,Paramètres!$A$1:$I$89,3,0)*0.475*44/12</f>
        <v>87.850306321273635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217.21042110323634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15.5</v>
      </c>
      <c r="BY67" s="12">
        <f>IF('Données projet'!$A$114&gt;35,BY66+BX67-CG66,IF(A67&lt;'Données projet'!$A$114,$BV$205^A67,IF(A67='Données projet'!$A$114,'Données projet'!$B$114,BY66+BX67-CG66)))</f>
        <v>383.99999999999989</v>
      </c>
      <c r="BZ67" s="13">
        <f>BY67*VLOOKUP('Données projet'!$B$12,Paramètres!$A$1:$I$89,3,0)*VLOOKUP('Données projet'!$B$12,Paramètres!$A$1:$I$89,5,0)</f>
        <v>179.71199999999993</v>
      </c>
      <c r="CA67" s="13">
        <f t="shared" si="39"/>
        <v>45.258105502458051</v>
      </c>
      <c r="CB67" s="20">
        <f t="shared" si="10"/>
        <v>391.82293375011432</v>
      </c>
      <c r="CC67" s="59">
        <f t="shared" si="11"/>
        <v>685.15626708344757</v>
      </c>
      <c r="CD67" s="59">
        <f ca="1">AVERAGE(OFFSET($CC$3,0,0,'Données projet'!$E$12+1,1))-AVERAGE(OFFSET($H$3,0,0,'Données projet'!$E$12+1,1))</f>
        <v>259.87681411271632</v>
      </c>
      <c r="CE67" s="59">
        <f t="shared" si="40"/>
        <v>191.8684235641158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18.523408869197198</v>
      </c>
      <c r="CL67" s="21">
        <f>EXP(-LN(2)/25)*CL66+(1-EXP(-LN(2)/25))/(LN(2)/25)*Calculateur!CG67*Calculateur!CI67*VLOOKUP('Données projet'!$B$12,Paramètres!$A$1:$I$89,3,0)*0.475*44/12</f>
        <v>41.767434588941306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60.290843458138504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4.5999999999999996</v>
      </c>
      <c r="CT67" s="12">
        <f>IF('Données projet'!$A$140&gt;35,CT66+CS67-DB66,IF(A67&lt;'Données projet'!$A$140,$CQ$205^A67,IF(A67='Données projet'!$A$140,'Données projet'!$B$140,CT66+CS67-DB66)))</f>
        <v>239.4</v>
      </c>
      <c r="CU67" s="17">
        <f>CT67*VLOOKUP('Données projet'!$B$13,Paramètres!$A$1:$I$89,3,0)*VLOOKUP('Données projet'!$B$13,Paramètres!$A$1:$I$89,5,0)</f>
        <v>190.46664000000001</v>
      </c>
      <c r="CV67" s="13">
        <f t="shared" si="41"/>
        <v>47.643105596557</v>
      </c>
      <c r="CW67" s="20">
        <f t="shared" si="13"/>
        <v>414.70780691400341</v>
      </c>
      <c r="CX67" s="59">
        <f t="shared" si="14"/>
        <v>708.04114024733667</v>
      </c>
      <c r="CY67" s="59">
        <f ca="1">AVERAGE(OFFSET($CX$3,0,0,'Données projet'!$E$13+1,1))-AVERAGE(OFFSET($H$3,0,0,'Données projet'!$E$13+1,1))</f>
        <v>198.11534486400666</v>
      </c>
      <c r="CZ67" s="59">
        <f t="shared" si="42"/>
        <v>174.29856796517652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1.0335359037607026</v>
      </c>
      <c r="DG67" s="21">
        <f>EXP(-LN(2)/25)*DG66+(1-EXP(-LN(2)/25))/(LN(2)/25)*Calculateur!DB67*Calculateur!DD67*VLOOKUP('Données projet'!$B$13,Paramètres!$A$1:$I$89,3,0)*0.475*44/12</f>
        <v>15.969111884982663</v>
      </c>
      <c r="DH67" s="21">
        <f>EXP(-LN(2)/2)*DH66+(1-EXP(-LN(2)/2))/(LN(2)/2)*DB67*DE67*VLOOKUP('Données projet'!$B$13,Paramètres!$A$1:$I$89,3,0)*0.475*44/12</f>
        <v>0.89953534179781092</v>
      </c>
      <c r="DI67" s="22">
        <f t="shared" si="15"/>
        <v>17.902183130541179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>
        <f>VLOOKUP(A67,'Données projet'!$A$165:$I$185,2,0)</f>
        <v>155</v>
      </c>
      <c r="DM67" s="12">
        <f>VLOOKUP(A67,'Données projet'!$A$165:$I$185,9,0)</f>
        <v>6.625</v>
      </c>
      <c r="DN67" s="12">
        <f t="array" ref="DN67">INDEX(DM:DM,MIN(IF(ISNUMBER(DM67:DM263),ROW(DM67:DM263),"")))</f>
        <v>6.625</v>
      </c>
      <c r="DO67" s="12">
        <f>IF('Données projet'!$A$166&gt;35,DO66+DN67-DW66,IF(A67&lt;'Données projet'!$A$166,$DL$205^A67,IF(A67='Données projet'!$A$166,'Données projet'!$B$166,DO66+DN67-DW66)))</f>
        <v>155</v>
      </c>
      <c r="DP67" s="17">
        <f>DO67*VLOOKUP('Données projet'!$B$14,Paramètres!$A$1:$I$89,3,0)*VLOOKUP('Données projet'!$B$14,Paramètres!$A$1:$I$89,5,0)</f>
        <v>157.17000000000002</v>
      </c>
      <c r="DQ67" s="13">
        <f t="shared" si="43"/>
        <v>40.203539552443232</v>
      </c>
      <c r="DR67" s="20">
        <f t="shared" si="16"/>
        <v>343.75891472050535</v>
      </c>
      <c r="DS67" s="59">
        <f t="shared" si="17"/>
        <v>637.0922480538386</v>
      </c>
      <c r="DT67" s="59">
        <f ca="1">AVERAGE(OFFSET($DS$3,0,0,'Données projet'!$E$14+1,1))-AVERAGE(OFFSET($H$3,0,0,'Données projet'!$E$14+1,1))</f>
        <v>247.92503505485405</v>
      </c>
      <c r="DU67" s="59">
        <f t="shared" si="44"/>
        <v>148.26437652597514</v>
      </c>
      <c r="DV67" s="15">
        <f>IF(ISNA(VLOOKUP(A67,'Données projet'!$A$165:$I$185,3,0)),0,VLOOKUP(A67,'Données projet'!$A$165:$I$185,3,0))</f>
        <v>4</v>
      </c>
      <c r="DW67" s="15">
        <f>IF(ISNA(VLOOKUP(A67,'Données projet'!$A$165:$I$185,4,0)),0,VLOOKUP(A67,'Données projet'!$A$165:$I$185,4,0))</f>
        <v>41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0.30099999999999999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13.779138313388641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13.779138313388641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>
        <f>VLOOKUP(A67,'Données projet'!$A$191:$I$211,2,0)</f>
        <v>155</v>
      </c>
      <c r="EH67" s="12">
        <f>VLOOKUP(A67,'Données projet'!$A$191:$I$211,9,0)</f>
        <v>6.625</v>
      </c>
      <c r="EI67" s="12">
        <f t="array" ref="EI67">INDEX(EH:EH,MIN(IF(ISNUMBER(EH67:EH263),ROW(EH67:EH263),"")))</f>
        <v>6.625</v>
      </c>
      <c r="EJ67" s="12">
        <f>IF('Données projet'!$A$192&gt;35,EJ66+EI67-ER66,IF(A67&lt;'Données projet'!$A$192,$EG$205^A67,IF(A67='Données projet'!$A$192,'Données projet'!$B$192,EJ66+EI67-ER66)))</f>
        <v>155</v>
      </c>
      <c r="EK67" s="17">
        <f>EJ67*VLOOKUP('Données projet'!$B$15,Paramètres!$A$1:$I$89,3,0)*VLOOKUP('Données projet'!$B$15,Paramètres!$A$1:$I$89,5,0)</f>
        <v>149.916</v>
      </c>
      <c r="EL67" s="13">
        <f t="shared" si="45"/>
        <v>38.559495697142914</v>
      </c>
      <c r="EM67" s="20">
        <f t="shared" si="19"/>
        <v>328.26148833919052</v>
      </c>
      <c r="EN67" s="59">
        <f t="shared" si="20"/>
        <v>621.59482167252384</v>
      </c>
      <c r="EO67" s="59">
        <f ca="1">AVERAGE(OFFSET($EN$3,0,0,'Données projet'!$E$15+1,1))-AVERAGE(OFFSET($H$3,0,0,'Données projet'!$E$15+1,1))</f>
        <v>232.99870507181964</v>
      </c>
      <c r="EP67" s="59">
        <f t="shared" si="46"/>
        <v>140.07662669226278</v>
      </c>
      <c r="EQ67" s="15">
        <f>IF(ISNA(VLOOKUP(A67,'Données projet'!$A$191:$I$211,3,0)),0,VLOOKUP(A67,'Données projet'!$A$191:$I$211,3,0))</f>
        <v>4</v>
      </c>
      <c r="ER67" s="15">
        <f>IF(ISNA(VLOOKUP(A67,'Données projet'!$A$191:$I$211,4,0)),0,VLOOKUP(A67,'Données projet'!$A$191:$I$211,4,0))</f>
        <v>41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0.30099999999999999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13.143178083539931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13.143178083539931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4.5999999999999996</v>
      </c>
      <c r="FE67" s="12">
        <f>IF('Données projet'!$A$218&gt;35,FE66+FD67-FM66,IF(A67&lt;'Données projet'!$A$218,$FB$205^A67,IF(A67='Données projet'!$A$218,'Données projet'!$B$218,FE66+FD67-FM66)))</f>
        <v>239.4</v>
      </c>
      <c r="FF67" s="17">
        <f>FE67*VLOOKUP('Données projet'!$B$16,Paramètres!$A$1:$I$89,3,0)*VLOOKUP('Données projet'!$B$16,Paramètres!$A$1:$I$89,5,0)</f>
        <v>186.732</v>
      </c>
      <c r="FG67" s="13">
        <f t="shared" si="47"/>
        <v>46.81671651923142</v>
      </c>
      <c r="FH67" s="20">
        <f t="shared" si="22"/>
        <v>406.764014604328</v>
      </c>
      <c r="FI67" s="59">
        <f t="shared" si="23"/>
        <v>700.09734793766131</v>
      </c>
      <c r="FJ67" s="59">
        <f ca="1">AVERAGE(OFFSET($FI$3,0,0,'Données projet'!$E$16+1,1))-AVERAGE(OFFSET($H$3,0,0,'Données projet'!$E$16+1,1))</f>
        <v>193.47609744163839</v>
      </c>
      <c r="FK67" s="59">
        <f t="shared" si="48"/>
        <v>170.3221892406973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0.82208738182963748</v>
      </c>
      <c r="FR67" s="21">
        <f>EXP(-LN(2)/25)*FR66+(1-EXP(-LN(2)/25))/(LN(2)/25)*Calculateur!FM67*Calculateur!FO67*VLOOKUP('Données projet'!$B$16,Paramètres!$A$1:$I$89,3,0)*0.475*44/12</f>
        <v>12.702031281062791</v>
      </c>
      <c r="FS67" s="21">
        <f>EXP(-LN(2)/2)*FS66+(1-EXP(-LN(2)/2))/(LN(2)/2)*FM67*FP67*VLOOKUP('Données projet'!$B$16,Paramètres!$A$1:$I$89,3,0)*0.475*44/12</f>
        <v>0.88189739391942257</v>
      </c>
      <c r="FT67" s="22">
        <f t="shared" si="24"/>
        <v>14.40601605681185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>
        <f>FZ67*VLOOKUP('Données projet'!$B$17,Paramètres!$A$1:$I$89,3,0)*VLOOKUP('Données projet'!$B$17,Paramètres!$A$1:$I$89,5,0)</f>
        <v>0</v>
      </c>
      <c r="GB67" s="13" t="e">
        <f t="shared" si="49"/>
        <v>#NUM!</v>
      </c>
      <c r="GC67" s="20" t="e">
        <f t="shared" si="25"/>
        <v>#NUM!</v>
      </c>
      <c r="GD67" s="59" t="e">
        <f t="shared" si="26"/>
        <v>#NUM!</v>
      </c>
      <c r="GE67" s="59">
        <f ca="1">AVERAGE(OFFSET($GD$3,0,0,'Données projet'!$E$17+1,1))-AVERAGE(OFFSET($H$3,0,0,'Données projet'!$E$17+1,1))</f>
        <v>153.43773674911449</v>
      </c>
      <c r="GF67" s="59">
        <f t="shared" si="50"/>
        <v>235.49395036616602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113.19010043421736</v>
      </c>
      <c r="GM67" s="21">
        <f>EXP(-LN(2)/25)*GM66+(1-EXP(-LN(2)/25))/(LN(2)/25)*Calculateur!GH67*Calculateur!GJ67*VLOOKUP('Données projet'!$B$17,Paramètres!$A$1:$I$89,3,0)*0.475*44/12</f>
        <v>76.869018031114422</v>
      </c>
      <c r="GN67" s="21">
        <f>EXP(-LN(2)/2)*GN66+(1-EXP(-LN(2)/2))/(LN(2)/2)*GH67*GK67*VLOOKUP('Données projet'!$B$17,Paramètres!$A$1:$I$89,3,0)*0.475*44/12</f>
        <v>0</v>
      </c>
      <c r="GO67" s="21">
        <f t="shared" si="27"/>
        <v>190.05911846533178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4.5999999999999996</v>
      </c>
      <c r="GU67" s="12">
        <f>IF('Données projet'!$A$270&gt;35,GU66+GT67-HC66,IF(A67&lt;'Données projet'!$A$270,$GR$205^A67,IF(A67='Données projet'!$A$270,'Données projet'!$B$270,GU66+GT67-HC66)))</f>
        <v>239.4</v>
      </c>
      <c r="GV67" s="17">
        <f>GU67*VLOOKUP('Données projet'!$B$18,Paramètres!$A$1:$I$89,3,0)*VLOOKUP('Données projet'!$B$18,Paramètres!$A$1:$I$89,5,0)</f>
        <v>190.46664000000001</v>
      </c>
      <c r="GW67" s="13">
        <f t="shared" si="51"/>
        <v>47.643105596557</v>
      </c>
      <c r="GX67" s="20">
        <f t="shared" si="28"/>
        <v>414.70780691400341</v>
      </c>
      <c r="GY67" s="59">
        <f t="shared" si="29"/>
        <v>708.04114024733667</v>
      </c>
      <c r="GZ67" s="59">
        <f ca="1">AVERAGE(OFFSET($GY$3,0,0,'Données projet'!$E$18+1,1))-AVERAGE(OFFSET($H$3,0,0,'Données projet'!$E$18+1,1))</f>
        <v>198.11534486400666</v>
      </c>
      <c r="HA67" s="59">
        <f t="shared" si="52"/>
        <v>174.29856796517652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>
        <f>EXP(-LN(2)/35)*HG66+(1-EXP(-LN(2)/35))/(LN(2)/35)*HC67*HD67*VLOOKUP('Données projet'!$B$18,Paramètres!$A$1:$I$89,3,0)*0.475*44/12</f>
        <v>1.0335359037607026</v>
      </c>
      <c r="HH67" s="21">
        <f>EXP(-LN(2)/25)*HH66+(1-EXP(-LN(2)/25))/(LN(2)/25)*Calculateur!HC67*Calculateur!HE67*VLOOKUP('Données projet'!$B$18,Paramètres!$A$1:$I$89,3,0)*0.475*44/12</f>
        <v>15.969111884982663</v>
      </c>
      <c r="HI67" s="21">
        <f>EXP(-LN(2)/2)*HI66+(1-EXP(-LN(2)/2))/(LN(2)/2)*HC67*HF67*VLOOKUP('Données projet'!$B$18,Paramètres!$A$1:$I$89,3,0)*0.475*44/12</f>
        <v>0.89953534179781092</v>
      </c>
      <c r="HJ67" s="22">
        <f t="shared" si="30"/>
        <v>17.902183130541179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</v>
      </c>
      <c r="N68" s="13">
        <f>IF('Données projet'!$A$36&gt;35,N67+M68-V67,IF(A68&lt;'Données projet'!$A$36,$K$205^A68,IF(A68='Données projet'!$A$36,'Données projet'!$B$36,N67+M68-V67)))</f>
        <v>387.00000000000023</v>
      </c>
      <c r="O68" s="13">
        <f>N68*VLOOKUP('Données projet'!$B$9,Paramètres!$A$1:$I$89,3,0)*VLOOKUP('Données projet'!$B$9,Paramètres!$A$1:$I$89,5,0)</f>
        <v>231.42600000000016</v>
      </c>
      <c r="P68" s="13">
        <f t="shared" si="33"/>
        <v>56.590905067453271</v>
      </c>
      <c r="Q68" s="20">
        <f t="shared" si="54"/>
        <v>501.62944299248142</v>
      </c>
      <c r="R68" s="59">
        <f t="shared" si="55"/>
        <v>794.96277632581473</v>
      </c>
      <c r="S68" s="59">
        <f ca="1">AVERAGE(OFFSET($R$3,0,0,'Données projet'!$E$9+1,1))-AVERAGE(OFFSET($H$3,0,0,'Données projet'!$E$9+1,1))</f>
        <v>295.19075440119076</v>
      </c>
      <c r="T68" s="59">
        <f t="shared" si="34"/>
        <v>173.0182327988216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5.0731199454859333</v>
      </c>
      <c r="AA68" s="21">
        <f>EXP(-LN(2)/25)*AA67+(1-EXP(-LN(2)/25))/(LN(2)/25)*Calculateur!V68*Calculateur!X68*VLOOKUP('Données projet'!$B$9,Paramètres!$A$1:$I$89,3,0)*0.475*44/12</f>
        <v>14.984170407723569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20.057290353209503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16.625</v>
      </c>
      <c r="AI68" s="13">
        <f>IF('Données projet'!$A$62&gt;35,AI67+AH68-AQ67,IF(A68&lt;'Données projet'!$A$62,$AF$205^A68,IF(A68='Données projet'!$A$62,'Données projet'!$B$62,AI67+AH68-AQ67)))</f>
        <v>478.37500000000006</v>
      </c>
      <c r="AJ68" s="13">
        <f>AI68*VLOOKUP('Données projet'!$B$10,Paramètres!$A$1:$I$89,3,0)*VLOOKUP('Données projet'!$B$10,Paramètres!$A$1:$I$89,5,0)</f>
        <v>286.06825000000003</v>
      </c>
      <c r="AK68" s="13">
        <f t="shared" si="35"/>
        <v>68.247799922382825</v>
      </c>
      <c r="AL68" s="20">
        <f t="shared" ref="AL68:AL131" si="58">(AJ68+AK68)*0.475*44/12</f>
        <v>617.10045361481673</v>
      </c>
      <c r="AM68" s="59">
        <f t="shared" ref="AM68:AM131" si="59">AL68+(AD68+AE68)*44/12</f>
        <v>910.4337869481501</v>
      </c>
      <c r="AN68" s="59">
        <f ca="1">AVERAGE(OFFSET($AM$3,0,0,'Données projet'!$E$10+1,1))-AVERAGE(OFFSET($H$3,0,0,'Données projet'!$E$10+1,1))</f>
        <v>294.45857786714919</v>
      </c>
      <c r="AO68" s="59">
        <f t="shared" si="36"/>
        <v>221.9773436301067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20.874974813805434</v>
      </c>
      <c r="AV68" s="21">
        <f>EXP(-LN(2)/25)*AV67+(1-EXP(-LN(2)/25))/(LN(2)/25)*Calculateur!AQ68*Calculateur!AS68*VLOOKUP('Données projet'!$B$10,Paramètres!$A$1:$I$89,3,0)*0.475*44/12</f>
        <v>43.300610135466407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64.175584949271837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179.44051550872138</v>
      </c>
      <c r="BJ68" s="59">
        <f t="shared" si="38"/>
        <v>272.9500808380069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126.8234418329675</v>
      </c>
      <c r="BQ68" s="21">
        <f>EXP(-LN(2)/25)*BQ67+(1-EXP(-LN(2)/25))/(LN(2)/25)*Calculateur!BL68*Calculateur!BN68*VLOOKUP('Données projet'!$B$11,Paramètres!$A$1:$I$89,3,0)*0.475*44/12</f>
        <v>85.448035075071587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212.27147690803909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15.5</v>
      </c>
      <c r="BY68" s="12">
        <f>IF('Données projet'!$A$114&gt;35,BY67+BX68-CG67,IF(A68&lt;'Données projet'!$A$114,$BV$205^A68,IF(A68='Données projet'!$A$114,'Données projet'!$B$114,BY67+BX68-CG67)))</f>
        <v>399.49999999999989</v>
      </c>
      <c r="BZ68" s="13">
        <f>BY68*VLOOKUP('Données projet'!$B$12,Paramètres!$A$1:$I$89,3,0)*VLOOKUP('Données projet'!$B$12,Paramètres!$A$1:$I$89,5,0)</f>
        <v>186.96599999999995</v>
      </c>
      <c r="CA68" s="13">
        <f t="shared" si="39"/>
        <v>46.868551400324606</v>
      </c>
      <c r="CB68" s="20">
        <f t="shared" ref="CB68:CB131" si="64">(BZ68+CA68)*0.475*44/12</f>
        <v>407.26184368889858</v>
      </c>
      <c r="CC68" s="59">
        <f t="shared" ref="CC68:CC131" si="65">CB68+(BT68+BU68)*44/12</f>
        <v>700.59517702223184</v>
      </c>
      <c r="CD68" s="59">
        <f ca="1">AVERAGE(OFFSET($CC$3,0,0,'Données projet'!$E$12+1,1))-AVERAGE(OFFSET($H$3,0,0,'Données projet'!$E$12+1,1))</f>
        <v>259.87681411271632</v>
      </c>
      <c r="CE68" s="59">
        <f t="shared" si="40"/>
        <v>191.8684235641158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18.160176119436048</v>
      </c>
      <c r="CL68" s="21">
        <f>EXP(-LN(2)/25)*CL67+(1-EXP(-LN(2)/25))/(LN(2)/25)*Calculateur!CG68*Calculateur!CI68*VLOOKUP('Données projet'!$B$12,Paramètres!$A$1:$I$89,3,0)*0.475*44/12</f>
        <v>40.625301893652782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58.785478013088834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>
        <f>VLOOKUP(A68,'Données projet'!$A$139:$I$159,2,0)</f>
        <v>244</v>
      </c>
      <c r="CR68" s="12">
        <f>VLOOKUP(A68,'Données projet'!$A$139:$I$159,9,0)</f>
        <v>4.5999999999999996</v>
      </c>
      <c r="CS68" s="12">
        <f t="array" ref="CS68">INDEX(CR:CR,MIN(IF(ISNUMBER(CR68:CR264),ROW(CR68:CR264),"")))</f>
        <v>4.5999999999999996</v>
      </c>
      <c r="CT68" s="12">
        <f>IF('Données projet'!$A$140&gt;35,CT67+CS68-DB67,IF(A68&lt;'Données projet'!$A$140,$CQ$205^A68,IF(A68='Données projet'!$A$140,'Données projet'!$B$140,CT67+CS68-DB67)))</f>
        <v>244</v>
      </c>
      <c r="CU68" s="17">
        <f>CT68*VLOOKUP('Données projet'!$B$13,Paramètres!$A$1:$I$89,3,0)*VLOOKUP('Données projet'!$B$13,Paramètres!$A$1:$I$89,5,0)</f>
        <v>194.12639999999999</v>
      </c>
      <c r="CV68" s="13">
        <f t="shared" si="41"/>
        <v>48.451097401781084</v>
      </c>
      <c r="CW68" s="20">
        <f t="shared" ref="CW68:CW131" si="67">(CU68+CV68)*0.475*44/12</f>
        <v>422.48914130810198</v>
      </c>
      <c r="CX68" s="59">
        <f t="shared" ref="CX68:CX131" si="68">CW68+(CO68+CP68)*44/12</f>
        <v>715.82247464143529</v>
      </c>
      <c r="CY68" s="59">
        <f ca="1">AVERAGE(OFFSET($CX$3,0,0,'Données projet'!$E$13+1,1))-AVERAGE(OFFSET($H$3,0,0,'Données projet'!$E$13+1,1))</f>
        <v>198.11534486400666</v>
      </c>
      <c r="CZ68" s="59">
        <f t="shared" si="42"/>
        <v>174.29856796517652</v>
      </c>
      <c r="DA68" s="15">
        <f>IF(ISNA(VLOOKUP(A68,'Données projet'!$A$139:$I$159,3,0)),0,VLOOKUP(A68,'Données projet'!$A$139:$I$159,3,0))</f>
        <v>10</v>
      </c>
      <c r="DB68" s="15">
        <f>IF(ISNA(VLOOKUP(A68,'Données projet'!$A$139:$I$159,4,0)),0,VLOOKUP(A68,'Données projet'!$A$139:$I$159,4,0))</f>
        <v>11</v>
      </c>
      <c r="DC68" s="16">
        <f>IF(ISNA(VLOOKUP(A68,'Données projet'!$A$139:$I$159,5,0)),0%,VLOOKUP(A68,'Données projet'!$A$139:$I$159,5,0)*VLOOKUP('Données projet'!$B$13,Paramètres!$A$1:$I$89,7,0))</f>
        <v>0.10600000000000001</v>
      </c>
      <c r="DD68" s="16">
        <f>IF(ISNA(VLOOKUP(A68,'Données projet'!$A$139:$I$159,6,0)),0%,VLOOKUP(A68,'Données projet'!$A$139:$I$159,6,0)*VLOOKUP('Données projet'!$B$13,Paramètres!$A$1:$I$89,7,0))</f>
        <v>0.159</v>
      </c>
      <c r="DE68" s="16">
        <f>IF(ISNA(VLOOKUP(A68,'Données projet'!$A$139:$I$159,7,0)),0%,VLOOKUP(A68,'Données projet'!$A$139:$I$159,7,0))</f>
        <v>0.3</v>
      </c>
      <c r="DF68" s="21">
        <f>EXP(-LN(2)/35)*DF67+(1-EXP(-LN(2)/35))/(LN(2)/35)*DB68*DC68*VLOOKUP('Données projet'!$B$13,Paramètres!$A$1:$I$89,3,0)*0.475*44/12</f>
        <v>2.0387801598757904</v>
      </c>
      <c r="DG68" s="21">
        <f>EXP(-LN(2)/25)*DG67+(1-EXP(-LN(2)/25))/(LN(2)/25)*Calculateur!DB68*Calculateur!DD68*VLOOKUP('Données projet'!$B$13,Paramètres!$A$1:$I$89,3,0)*0.475*44/12</f>
        <v>17.064645834998611</v>
      </c>
      <c r="DH68" s="21">
        <f>EXP(-LN(2)/2)*DH67+(1-EXP(-LN(2)/2))/(LN(2)/2)*DB68*DE68*VLOOKUP('Données projet'!$B$13,Paramètres!$A$1:$I$89,3,0)*0.475*44/12</f>
        <v>3.1132785838603461</v>
      </c>
      <c r="DI68" s="22">
        <f t="shared" ref="DI68:DI131" si="69">SUM(DF68:DH68)</f>
        <v>22.216704578734749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5.75</v>
      </c>
      <c r="DO68" s="12">
        <f>IF('Données projet'!$A$166&gt;35,DO67+DN68-DW67,IF(A68&lt;'Données projet'!$A$166,$DL$205^A68,IF(A68='Données projet'!$A$166,'Données projet'!$B$166,DO67+DN68-DW67)))</f>
        <v>119.75</v>
      </c>
      <c r="DP68" s="17">
        <f>DO68*VLOOKUP('Données projet'!$B$14,Paramètres!$A$1:$I$89,3,0)*VLOOKUP('Données projet'!$B$14,Paramètres!$A$1:$I$89,5,0)</f>
        <v>121.42650000000002</v>
      </c>
      <c r="DQ68" s="13">
        <f t="shared" si="43"/>
        <v>32.007477820598567</v>
      </c>
      <c r="DR68" s="20">
        <f t="shared" ref="DR68:DR131" si="70">(DP68+DQ68)*0.475*44/12</f>
        <v>267.23084470420918</v>
      </c>
      <c r="DS68" s="59">
        <f t="shared" ref="DS68:DS131" si="71">DR68+(DJ68+DK68)*44/12</f>
        <v>560.56417803754243</v>
      </c>
      <c r="DT68" s="59">
        <f ca="1">AVERAGE(OFFSET($DS$3,0,0,'Données projet'!$E$14+1,1))-AVERAGE(OFFSET($H$3,0,0,'Données projet'!$E$14+1,1))</f>
        <v>247.92503505485405</v>
      </c>
      <c r="DU68" s="59">
        <f t="shared" si="44"/>
        <v>148.26437652597514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13.402347051595637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13.402347051595637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5.75</v>
      </c>
      <c r="EJ68" s="12">
        <f>IF('Données projet'!$A$192&gt;35,EJ67+EI68-ER67,IF(A68&lt;'Données projet'!$A$192,$EG$205^A68,IF(A68='Données projet'!$A$192,'Données projet'!$B$192,EJ67+EI68-ER67)))</f>
        <v>119.75</v>
      </c>
      <c r="EK68" s="17">
        <f>EJ68*VLOOKUP('Données projet'!$B$15,Paramètres!$A$1:$I$89,3,0)*VLOOKUP('Données projet'!$B$15,Paramètres!$A$1:$I$89,5,0)</f>
        <v>115.82220000000001</v>
      </c>
      <c r="EL68" s="13">
        <f t="shared" si="45"/>
        <v>30.698595622154933</v>
      </c>
      <c r="EM68" s="20">
        <f t="shared" ref="EM68:EM131" si="73">(EK68+EL68)*0.475*44/12</f>
        <v>255.19038570858649</v>
      </c>
      <c r="EN68" s="59">
        <f t="shared" ref="EN68:EN131" si="74">EM68+(EE68+EF68)*44/12</f>
        <v>548.52371904191978</v>
      </c>
      <c r="EO68" s="59">
        <f ca="1">AVERAGE(OFFSET($EN$3,0,0,'Données projet'!$E$15+1,1))-AVERAGE(OFFSET($H$3,0,0,'Données projet'!$E$15+1,1))</f>
        <v>232.99870507181964</v>
      </c>
      <c r="EP68" s="59">
        <f t="shared" si="46"/>
        <v>140.07662669226278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12.783777187675836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12.783777187675836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>
        <f>VLOOKUP(A68,'Données projet'!$A$217:$I$237,2,0)</f>
        <v>244</v>
      </c>
      <c r="FC68" s="12">
        <f>VLOOKUP(A68,'Données projet'!$A$217:$I$237,9,0)</f>
        <v>4.5999999999999996</v>
      </c>
      <c r="FD68" s="12">
        <f t="array" ref="FD68">INDEX(FC:FC,MIN(IF(ISNUMBER(FC68:FC264),ROW(FC68:FC264),"")))</f>
        <v>4.5999999999999996</v>
      </c>
      <c r="FE68" s="12">
        <f>IF('Données projet'!$A$218&gt;35,FE67+FD68-FM67,IF(A68&lt;'Données projet'!$A$218,$FB$205^A68,IF(A68='Données projet'!$A$218,'Données projet'!$B$218,FE67+FD68-FM67)))</f>
        <v>244</v>
      </c>
      <c r="FF68" s="17">
        <f>FE68*VLOOKUP('Données projet'!$B$16,Paramètres!$A$1:$I$89,3,0)*VLOOKUP('Données projet'!$B$16,Paramètres!$A$1:$I$89,5,0)</f>
        <v>190.32</v>
      </c>
      <c r="FG68" s="13">
        <f t="shared" si="47"/>
        <v>47.61069337740188</v>
      </c>
      <c r="FH68" s="20">
        <f t="shared" ref="FH68:FH131" si="76">(FF68+FG68)*0.475*44/12</f>
        <v>414.39595763230818</v>
      </c>
      <c r="FI68" s="59">
        <f t="shared" ref="FI68:FI131" si="77">FH68+(EZ68+FA68)*44/12</f>
        <v>707.72929096564144</v>
      </c>
      <c r="FJ68" s="59">
        <f ca="1">AVERAGE(OFFSET($FI$3,0,0,'Données projet'!$E$16+1,1))-AVERAGE(OFFSET($H$3,0,0,'Données projet'!$E$16+1,1))</f>
        <v>193.47609744163839</v>
      </c>
      <c r="FK68" s="59">
        <f t="shared" si="48"/>
        <v>170.3221892406973</v>
      </c>
      <c r="FL68" s="15">
        <f>IF(ISNA(VLOOKUP(A68,'Données projet'!$A$217:$I$237,3,0)),0,VLOOKUP(A68,'Données projet'!$A$217:$I$237,3,0))</f>
        <v>10</v>
      </c>
      <c r="FM68" s="15">
        <f>IF(ISNA(VLOOKUP(A68,'Données projet'!$A$217:$I$237,4,0)),0,VLOOKUP(A68,'Données projet'!$A$217:$I$237,4,0))</f>
        <v>11</v>
      </c>
      <c r="FN68" s="16">
        <f>IF(ISNA(VLOOKUP(A68,'Données projet'!$A$217:$I$237,5,0)),0%,VLOOKUP(A68,'Données projet'!$A$217:$I$237,5,0)*VLOOKUP('Données projet'!$B$16,Paramètres!$A$1:$I$89,7,0))</f>
        <v>8.6000000000000007E-2</v>
      </c>
      <c r="FO68" s="16">
        <f>IF(ISNA(VLOOKUP(A68,'Données projet'!$A$217:$I$237,6,0)),0%,VLOOKUP(A68,'Données projet'!$A$217:$I$237,6,0)*VLOOKUP('Données projet'!$B$16,Paramètres!$A$1:$I$89,7,0))</f>
        <v>0.129</v>
      </c>
      <c r="FP68" s="16">
        <f>IF(ISNA(VLOOKUP(A68,'Données projet'!$A$217:$I$237,7,0)),0%,VLOOKUP(A68,'Données projet'!$A$217:$I$237,7,0))</f>
        <v>0.3</v>
      </c>
      <c r="FQ68" s="21">
        <f>EXP(-LN(2)/35)*FQ67+(1-EXP(-LN(2)/35))/(LN(2)/35)*FM68*FN68*VLOOKUP('Données projet'!$B$16,Paramètres!$A$1:$I$89,3,0)*0.475*44/12</f>
        <v>1.621671233345523</v>
      </c>
      <c r="FR68" s="21">
        <f>EXP(-LN(2)/25)*FR67+(1-EXP(-LN(2)/25))/(LN(2)/25)*Calculateur!FM68*Calculateur!FO68*VLOOKUP('Données projet'!$B$16,Paramètres!$A$1:$I$89,3,0)*0.475*44/12</f>
        <v>13.573432684146137</v>
      </c>
      <c r="FS68" s="21">
        <f>EXP(-LN(2)/2)*FS67+(1-EXP(-LN(2)/2))/(LN(2)/2)*FM68*FP68*VLOOKUP('Données projet'!$B$16,Paramètres!$A$1:$I$89,3,0)*0.475*44/12</f>
        <v>3.0522339057454371</v>
      </c>
      <c r="FT68" s="22">
        <f t="shared" ref="FT68:FT131" si="78">SUM(FQ68:FS68)</f>
        <v>18.247337823237096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>
        <f>FZ68*VLOOKUP('Données projet'!$B$17,Paramètres!$A$1:$I$89,3,0)*VLOOKUP('Données projet'!$B$17,Paramètres!$A$1:$I$89,5,0)</f>
        <v>0</v>
      </c>
      <c r="GB68" s="13" t="e">
        <f t="shared" si="49"/>
        <v>#NUM!</v>
      </c>
      <c r="GC68" s="20" t="e">
        <f t="shared" ref="GC68:GC131" si="79">(GA68+GB68)*0.475*44/12</f>
        <v>#NUM!</v>
      </c>
      <c r="GD68" s="59" t="e">
        <f t="shared" ref="GD68:GD131" si="80">GC68+(FU68+FV68)*44/12</f>
        <v>#NUM!</v>
      </c>
      <c r="GE68" s="59">
        <f ca="1">AVERAGE(OFFSET($GD$3,0,0,'Données projet'!$E$17+1,1))-AVERAGE(OFFSET($H$3,0,0,'Données projet'!$E$17+1,1))</f>
        <v>153.43773674911449</v>
      </c>
      <c r="GF68" s="59">
        <f t="shared" si="50"/>
        <v>235.49395036616602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110.97051160384657</v>
      </c>
      <c r="GM68" s="21">
        <f>EXP(-LN(2)/25)*GM67+(1-EXP(-LN(2)/25))/(LN(2)/25)*Calculateur!GH68*Calculateur!GJ68*VLOOKUP('Données projet'!$B$17,Paramètres!$A$1:$I$89,3,0)*0.475*44/12</f>
        <v>74.767030690687619</v>
      </c>
      <c r="GN68" s="21">
        <f>EXP(-LN(2)/2)*GN67+(1-EXP(-LN(2)/2))/(LN(2)/2)*GH68*GK68*VLOOKUP('Données projet'!$B$17,Paramètres!$A$1:$I$89,3,0)*0.475*44/12</f>
        <v>0</v>
      </c>
      <c r="GO68" s="21">
        <f t="shared" ref="GO68:GO131" si="81">SUM(GL68:GN68)</f>
        <v>185.73754229453419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>
        <f>VLOOKUP(A68,'Données projet'!$A$269:$I$289,2,0)</f>
        <v>244</v>
      </c>
      <c r="GS68" s="12">
        <f>VLOOKUP(A68,'Données projet'!$A$269:$I$289,9,0)</f>
        <v>4.5999999999999996</v>
      </c>
      <c r="GT68" s="12">
        <f t="array" ref="GT68">INDEX(GS:GS,MIN(IF(ISNUMBER(GS68:GS264),ROW(GS68:GS264),"")))</f>
        <v>4.5999999999999996</v>
      </c>
      <c r="GU68" s="12">
        <f>IF('Données projet'!$A$270&gt;35,GU67+GT68-HC67,IF(A68&lt;'Données projet'!$A$270,$GR$205^A68,IF(A68='Données projet'!$A$270,'Données projet'!$B$270,GU67+GT68-HC67)))</f>
        <v>244</v>
      </c>
      <c r="GV68" s="17">
        <f>GU68*VLOOKUP('Données projet'!$B$18,Paramètres!$A$1:$I$89,3,0)*VLOOKUP('Données projet'!$B$18,Paramètres!$A$1:$I$89,5,0)</f>
        <v>194.12639999999999</v>
      </c>
      <c r="GW68" s="13">
        <f t="shared" si="51"/>
        <v>48.451097401781084</v>
      </c>
      <c r="GX68" s="20">
        <f t="shared" ref="GX68:GX131" si="82">(GV68+GW68)*0.475*44/12</f>
        <v>422.48914130810198</v>
      </c>
      <c r="GY68" s="59">
        <f t="shared" ref="GY68:GY131" si="83">GX68+(GP68+GQ68)*44/12</f>
        <v>715.82247464143529</v>
      </c>
      <c r="GZ68" s="59">
        <f ca="1">AVERAGE(OFFSET($GY$3,0,0,'Données projet'!$E$18+1,1))-AVERAGE(OFFSET($H$3,0,0,'Données projet'!$E$18+1,1))</f>
        <v>198.11534486400666</v>
      </c>
      <c r="HA68" s="59">
        <f t="shared" si="52"/>
        <v>174.29856796517652</v>
      </c>
      <c r="HB68" s="15">
        <f>IF(ISNA(VLOOKUP(A68,'Données projet'!$A$269:$I$289,3,0)),0,VLOOKUP(A68,'Données projet'!$A$269:$I$289,3,0))</f>
        <v>10</v>
      </c>
      <c r="HC68" s="15">
        <f>IF(ISNA(VLOOKUP(A68,'Données projet'!$A$269:$I$289,4,0)),0,VLOOKUP(A68,'Données projet'!$A$269:$I$289,4,0))</f>
        <v>11</v>
      </c>
      <c r="HD68" s="16">
        <f>IF(ISNA(VLOOKUP(A68,'Données projet'!$A$269:$I$289,5,0)),0%,VLOOKUP(A68,'Données projet'!$A$269:$I$289,5,0)*VLOOKUP('Données projet'!$B$18,Paramètres!$A$1:$I$89,7,0))</f>
        <v>0.10600000000000001</v>
      </c>
      <c r="HE68" s="16">
        <f>IF(ISNA(VLOOKUP(A68,'Données projet'!$A$269:$I$289,6,0)),0%,VLOOKUP(A68,'Données projet'!$A$269:$I$289,6,0)*VLOOKUP('Données projet'!$B$18,Paramètres!$A$1:$I$89,7,0))</f>
        <v>0.159</v>
      </c>
      <c r="HF68" s="16">
        <f>IF(ISNA(VLOOKUP(A68,'Données projet'!$A$269:$I$289,7,0)),0%,VLOOKUP(A68,'Données projet'!$A$269:$I$289,7,0))</f>
        <v>0.3</v>
      </c>
      <c r="HG68" s="21">
        <f>EXP(-LN(2)/35)*HG67+(1-EXP(-LN(2)/35))/(LN(2)/35)*HC68*HD68*VLOOKUP('Données projet'!$B$18,Paramètres!$A$1:$I$89,3,0)*0.475*44/12</f>
        <v>2.0387801598757904</v>
      </c>
      <c r="HH68" s="21">
        <f>EXP(-LN(2)/25)*HH67+(1-EXP(-LN(2)/25))/(LN(2)/25)*Calculateur!HC68*Calculateur!HE68*VLOOKUP('Données projet'!$B$18,Paramètres!$A$1:$I$89,3,0)*0.475*44/12</f>
        <v>17.064645834998611</v>
      </c>
      <c r="HI68" s="21">
        <f>EXP(-LN(2)/2)*HI67+(1-EXP(-LN(2)/2))/(LN(2)/2)*HC68*HF68*VLOOKUP('Données projet'!$B$18,Paramètres!$A$1:$I$89,3,0)*0.475*44/12</f>
        <v>3.1132785838603461</v>
      </c>
      <c r="HJ68" s="22">
        <f t="shared" ref="HJ68:HJ131" si="84">SUM(HG68:HI68)</f>
        <v>22.216704578734749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</v>
      </c>
      <c r="N69" s="13">
        <f>IF('Données projet'!$A$36&gt;35,N68+M69-V68,IF(A69&lt;'Données projet'!$A$36,$K$205^A69,IF(A69='Données projet'!$A$36,'Données projet'!$B$36,N68+M69-V68)))</f>
        <v>394.00000000000023</v>
      </c>
      <c r="O69" s="13">
        <f>N69*VLOOKUP('Données projet'!$B$9,Paramètres!$A$1:$I$89,3,0)*VLOOKUP('Données projet'!$B$9,Paramètres!$A$1:$I$89,5,0)</f>
        <v>235.61200000000017</v>
      </c>
      <c r="P69" s="13">
        <f t="shared" ref="P69:P132" si="87">EXP(-1.0587+0.8836*LN(O69)+0.284)</f>
        <v>57.494419397561742</v>
      </c>
      <c r="Q69" s="20">
        <f t="shared" si="54"/>
        <v>510.49368045075363</v>
      </c>
      <c r="R69" s="59">
        <f t="shared" si="55"/>
        <v>803.82701378408694</v>
      </c>
      <c r="S69" s="59">
        <f ca="1">AVERAGE(OFFSET($R$3,0,0,'Données projet'!$E$9+1,1))-AVERAGE(OFFSET($H$3,0,0,'Données projet'!$E$9+1,1))</f>
        <v>295.19075440119076</v>
      </c>
      <c r="T69" s="59">
        <f t="shared" ref="T69:T132" si="88">$T$3</f>
        <v>173.0182327988216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4.9736391576525847</v>
      </c>
      <c r="AA69" s="21">
        <f>EXP(-LN(2)/25)*AA68+(1-EXP(-LN(2)/25))/(LN(2)/25)*Calculateur!V69*Calculateur!X69*VLOOKUP('Données projet'!$B$9,Paramètres!$A$1:$I$89,3,0)*0.475*44/12</f>
        <v>14.574427479941093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19.548066637593678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495</v>
      </c>
      <c r="AG69" s="12">
        <f>VLOOKUP(A69,'Données projet'!$A$61:$I$81,9,0)</f>
        <v>16.625</v>
      </c>
      <c r="AH69" s="12">
        <f t="array" ref="AH69">INDEX(AG:AG,MIN(IF(ISNUMBER(AG69:AG265),ROW(AG69:AG265),"")))</f>
        <v>16.625</v>
      </c>
      <c r="AI69" s="13">
        <f>IF('Données projet'!$A$62&gt;35,AI68+AH69-AQ68,IF(A69&lt;'Données projet'!$A$62,$AF$205^A69,IF(A69='Données projet'!$A$62,'Données projet'!$B$62,AI68+AH69-AQ68)))</f>
        <v>495.00000000000006</v>
      </c>
      <c r="AJ69" s="13">
        <f>AI69*VLOOKUP('Données projet'!$B$10,Paramètres!$A$1:$I$89,3,0)*VLOOKUP('Données projet'!$B$10,Paramètres!$A$1:$I$89,5,0)</f>
        <v>296.01000000000005</v>
      </c>
      <c r="AK69" s="13">
        <f t="shared" ref="AK69:AK132" si="89">EXP(-1.0587+0.8836*LN(AJ69)+0.284)</f>
        <v>70.339355522692159</v>
      </c>
      <c r="AL69" s="20">
        <f t="shared" si="58"/>
        <v>638.05846086868894</v>
      </c>
      <c r="AM69" s="59">
        <f t="shared" si="59"/>
        <v>931.39179420202231</v>
      </c>
      <c r="AN69" s="59">
        <f ca="1">AVERAGE(OFFSET($AM$3,0,0,'Données projet'!$E$10+1,1))-AVERAGE(OFFSET($H$3,0,0,'Données projet'!$E$10+1,1))</f>
        <v>294.45857786714919</v>
      </c>
      <c r="AO69" s="59">
        <f t="shared" ref="AO69:AO132" si="90">$AO$3</f>
        <v>221.9773436301067</v>
      </c>
      <c r="AP69" s="15">
        <f>IF(ISNA(VLOOKUP(A69,'Données projet'!$A$61:$I$81,3,0)),0,VLOOKUP(A69,'Données projet'!$A$61:$I$81,3,0))</f>
        <v>9</v>
      </c>
      <c r="AQ69" s="15">
        <f>IF(ISNA(VLOOKUP(A69,'Données projet'!$A$61:$I$81,4,0)),0,VLOOKUP(A69,'Données projet'!$A$61:$I$81,4,0))</f>
        <v>65</v>
      </c>
      <c r="AR69" s="16">
        <f>IF(ISNA(VLOOKUP(A69,'Données projet'!$A$61:$I$81,5,0)),0%,VLOOKUP(A69,'Données projet'!$A$61:$I$81,5,0)*VLOOKUP('Données projet'!$B$10,Paramètres!$A$1:$I$89,7,0))</f>
        <v>0.315</v>
      </c>
      <c r="AS69" s="16">
        <f>IF(ISNA(VLOOKUP(A69,'Données projet'!$A$61:$I$81,6,0)),0%,VLOOKUP(A69,'Données projet'!$A$61:$I$81,6,0)*VLOOKUP('Données projet'!$B$10,Paramètres!$A$1:$I$89,7,0))</f>
        <v>0.13500000000000001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36.708150810808625</v>
      </c>
      <c r="AV69" s="21">
        <f>EXP(-LN(2)/25)*AV68+(1-EXP(-LN(2)/25))/(LN(2)/25)*Calculateur!AQ69*Calculateur!AS69*VLOOKUP('Données projet'!$B$10,Paramètres!$A$1:$I$89,3,0)*0.475*44/12</f>
        <v>49.050224899022773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85.758375709831398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179.44051550872138</v>
      </c>
      <c r="BJ69" s="59">
        <f t="shared" ref="BJ69:BJ132" si="92">$BJ$3</f>
        <v>272.9500808380069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124.33651149328439</v>
      </c>
      <c r="BQ69" s="21">
        <f>EXP(-LN(2)/25)*BQ68+(1-EXP(-LN(2)/25))/(LN(2)/25)*Calculateur!BL69*Calculateur!BN69*VLOOKUP('Données projet'!$B$11,Paramètres!$A$1:$I$89,3,0)*0.475*44/12</f>
        <v>83.111454062426887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207.44796555571128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15.5</v>
      </c>
      <c r="BY69" s="12">
        <f>IF('Données projet'!$A$114&gt;35,BY68+BX69-CG68,IF(A69&lt;'Données projet'!$A$114,$BV$205^A69,IF(A69='Données projet'!$A$114,'Données projet'!$B$114,BY68+BX69-CG68)))</f>
        <v>414.99999999999989</v>
      </c>
      <c r="BZ69" s="13">
        <f>BY69*VLOOKUP('Données projet'!$B$12,Paramètres!$A$1:$I$89,3,0)*VLOOKUP('Données projet'!$B$12,Paramètres!$A$1:$I$89,5,0)</f>
        <v>194.21999999999994</v>
      </c>
      <c r="CA69" s="13">
        <f t="shared" ref="CA69:CA132" si="93">EXP(-1.0587+0.8836*LN(BZ69)+0.284)</f>
        <v>48.471738765579786</v>
      </c>
      <c r="CB69" s="20">
        <f t="shared" si="64"/>
        <v>422.68811168338465</v>
      </c>
      <c r="CC69" s="59">
        <f t="shared" si="65"/>
        <v>716.02144501671796</v>
      </c>
      <c r="CD69" s="59">
        <f ca="1">AVERAGE(OFFSET($CC$3,0,0,'Données projet'!$E$12+1,1))-AVERAGE(OFFSET($H$3,0,0,'Données projet'!$E$12+1,1))</f>
        <v>259.87681411271632</v>
      </c>
      <c r="CE69" s="59">
        <f t="shared" ref="CE69:CE132" si="94">$CE$3</f>
        <v>191.8684235641158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17.804066142347615</v>
      </c>
      <c r="CL69" s="21">
        <f>EXP(-LN(2)/25)*CL68+(1-EXP(-LN(2)/25))/(LN(2)/25)*Calculateur!CG69*Calculateur!CI69*VLOOKUP('Données projet'!$B$12,Paramètres!$A$1:$I$89,3,0)*0.475*44/12</f>
        <v>39.514400876979067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57.318467019326683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4</v>
      </c>
      <c r="CT69" s="12">
        <f>IF('Données projet'!$A$140&gt;35,CT68+CS69-DB68,IF(A69&lt;'Données projet'!$A$140,$CQ$205^A69,IF(A69='Données projet'!$A$140,'Données projet'!$B$140,CT68+CS69-DB68)))</f>
        <v>237</v>
      </c>
      <c r="CU69" s="17">
        <f>CT69*VLOOKUP('Données projet'!$B$13,Paramètres!$A$1:$I$89,3,0)*VLOOKUP('Données projet'!$B$13,Paramètres!$A$1:$I$89,5,0)</f>
        <v>188.55720000000002</v>
      </c>
      <c r="CV69" s="13">
        <f t="shared" ref="CV69:CV132" si="95">EXP(-1.0587+0.8836*LN(CU69)+0.284)</f>
        <v>47.220828881296455</v>
      </c>
      <c r="CW69" s="20">
        <f t="shared" si="67"/>
        <v>410.64673363492466</v>
      </c>
      <c r="CX69" s="59">
        <f t="shared" si="68"/>
        <v>703.98006696825792</v>
      </c>
      <c r="CY69" s="59">
        <f ca="1">AVERAGE(OFFSET($CX$3,0,0,'Données projet'!$E$13+1,1))-AVERAGE(OFFSET($H$3,0,0,'Données projet'!$E$13+1,1))</f>
        <v>198.11534486400666</v>
      </c>
      <c r="CZ69" s="59">
        <f t="shared" ref="CZ69:CZ132" si="96">$CZ$3</f>
        <v>174.29856796517652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1.998800924473735</v>
      </c>
      <c r="DG69" s="21">
        <f>EXP(-LN(2)/25)*DG68+(1-EXP(-LN(2)/25))/(LN(2)/25)*Calculateur!DB69*Calculateur!DD69*VLOOKUP('Données projet'!$B$13,Paramètres!$A$1:$I$89,3,0)*0.475*44/12</f>
        <v>16.598012197249851</v>
      </c>
      <c r="DH69" s="21">
        <f>EXP(-LN(2)/2)*DH68+(1-EXP(-LN(2)/2))/(LN(2)/2)*DB69*DE69*VLOOKUP('Données projet'!$B$13,Paramètres!$A$1:$I$89,3,0)*0.475*44/12</f>
        <v>2.2014203983705025</v>
      </c>
      <c r="DI69" s="22">
        <f t="shared" si="69"/>
        <v>20.798233520094087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5.75</v>
      </c>
      <c r="DO69" s="12">
        <f>IF('Données projet'!$A$166&gt;35,DO68+DN69-DW68,IF(A69&lt;'Données projet'!$A$166,$DL$205^A69,IF(A69='Données projet'!$A$166,'Données projet'!$B$166,DO68+DN69-DW68)))</f>
        <v>125.5</v>
      </c>
      <c r="DP69" s="17">
        <f>DO69*VLOOKUP('Données projet'!$B$14,Paramètres!$A$1:$I$89,3,0)*VLOOKUP('Données projet'!$B$14,Paramètres!$A$1:$I$89,5,0)</f>
        <v>127.25700000000001</v>
      </c>
      <c r="DQ69" s="13">
        <f t="shared" ref="DQ69:DQ132" si="97">EXP(-1.0587+0.8836*LN(DP69)+0.284)</f>
        <v>33.36174803609903</v>
      </c>
      <c r="DR69" s="20">
        <f t="shared" si="70"/>
        <v>279.74431949620583</v>
      </c>
      <c r="DS69" s="59">
        <f t="shared" si="71"/>
        <v>573.07765282953915</v>
      </c>
      <c r="DT69" s="59">
        <f ca="1">AVERAGE(OFFSET($DS$3,0,0,'Données projet'!$E$14+1,1))-AVERAGE(OFFSET($H$3,0,0,'Données projet'!$E$14+1,1))</f>
        <v>247.92503505485405</v>
      </c>
      <c r="DU69" s="59">
        <f t="shared" ref="DU69:DU132" si="98">$DU$3</f>
        <v>148.26437652597514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13.035859166670955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13.035859166670955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5.75</v>
      </c>
      <c r="EJ69" s="12">
        <f>IF('Données projet'!$A$192&gt;35,EJ68+EI69-ER68,IF(A69&lt;'Données projet'!$A$192,$EG$205^A69,IF(A69='Données projet'!$A$192,'Données projet'!$B$192,EJ68+EI69-ER68)))</f>
        <v>125.5</v>
      </c>
      <c r="EK69" s="17">
        <f>EJ69*VLOOKUP('Données projet'!$B$15,Paramètres!$A$1:$I$89,3,0)*VLOOKUP('Données projet'!$B$15,Paramètres!$A$1:$I$89,5,0)</f>
        <v>121.3836</v>
      </c>
      <c r="EL69" s="13">
        <f t="shared" ref="EL69:EL132" si="99">EXP(-1.0587+0.8836*LN(EK69)+0.284)</f>
        <v>31.997485648473166</v>
      </c>
      <c r="EM69" s="20">
        <f t="shared" si="73"/>
        <v>267.13872417109076</v>
      </c>
      <c r="EN69" s="59">
        <f t="shared" si="74"/>
        <v>560.47205750442413</v>
      </c>
      <c r="EO69" s="59">
        <f ca="1">AVERAGE(OFFSET($EN$3,0,0,'Données projet'!$E$15+1,1))-AVERAGE(OFFSET($H$3,0,0,'Données projet'!$E$15+1,1))</f>
        <v>232.99870507181964</v>
      </c>
      <c r="EP69" s="59">
        <f t="shared" ref="EP69:EP132" si="100">$EP$3</f>
        <v>140.07662669226278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12.434204128209217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12.434204128209217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4</v>
      </c>
      <c r="FE69" s="12">
        <f>IF('Données projet'!$A$218&gt;35,FE68+FD69-FM68,IF(A69&lt;'Données projet'!$A$218,$FB$205^A69,IF(A69='Données projet'!$A$218,'Données projet'!$B$218,FE68+FD69-FM68)))</f>
        <v>237</v>
      </c>
      <c r="FF69" s="17">
        <f>FE69*VLOOKUP('Données projet'!$B$16,Paramètres!$A$1:$I$89,3,0)*VLOOKUP('Données projet'!$B$16,Paramètres!$A$1:$I$89,5,0)</f>
        <v>184.86</v>
      </c>
      <c r="FG69" s="13">
        <f t="shared" ref="FG69:FG132" si="101">EXP(-1.0587+0.8836*LN(FF69)+0.284)</f>
        <v>46.401764365641085</v>
      </c>
      <c r="FH69" s="20">
        <f t="shared" si="76"/>
        <v>402.78090627015825</v>
      </c>
      <c r="FI69" s="59">
        <f t="shared" si="77"/>
        <v>696.11423960349157</v>
      </c>
      <c r="FJ69" s="59">
        <f ca="1">AVERAGE(OFFSET($FI$3,0,0,'Données projet'!$E$16+1,1))-AVERAGE(OFFSET($H$3,0,0,'Données projet'!$E$16+1,1))</f>
        <v>193.47609744163839</v>
      </c>
      <c r="FK69" s="59">
        <f t="shared" ref="FK69:FK132" si="102">$FK$3</f>
        <v>170.3221892406973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1.589871249581402</v>
      </c>
      <c r="FR69" s="21">
        <f>EXP(-LN(2)/25)*FR68+(1-EXP(-LN(2)/25))/(LN(2)/25)*Calculateur!FM69*Calculateur!FO69*VLOOKUP('Données projet'!$B$16,Paramètres!$A$1:$I$89,3,0)*0.475*44/12</f>
        <v>13.202266453602359</v>
      </c>
      <c r="FS69" s="21">
        <f>EXP(-LN(2)/2)*FS68+(1-EXP(-LN(2)/2))/(LN(2)/2)*FM69*FP69*VLOOKUP('Données projet'!$B$16,Paramètres!$A$1:$I$89,3,0)*0.475*44/12</f>
        <v>2.1582552925201002</v>
      </c>
      <c r="FT69" s="22">
        <f t="shared" si="78"/>
        <v>16.950392995703861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>
        <f>FZ69*VLOOKUP('Données projet'!$B$17,Paramètres!$A$1:$I$89,3,0)*VLOOKUP('Données projet'!$B$17,Paramètres!$A$1:$I$89,5,0)</f>
        <v>0</v>
      </c>
      <c r="GB69" s="13" t="e">
        <f t="shared" ref="GB69:GB132" si="103">EXP(-1.0587+0.8836*LN(GA69)+0.284)</f>
        <v>#NUM!</v>
      </c>
      <c r="GC69" s="20" t="e">
        <f t="shared" si="79"/>
        <v>#NUM!</v>
      </c>
      <c r="GD69" s="59" t="e">
        <f t="shared" si="80"/>
        <v>#NUM!</v>
      </c>
      <c r="GE69" s="59">
        <f ca="1">AVERAGE(OFFSET($GD$3,0,0,'Données projet'!$E$17+1,1))-AVERAGE(OFFSET($H$3,0,0,'Données projet'!$E$17+1,1))</f>
        <v>153.43773674911449</v>
      </c>
      <c r="GF69" s="59">
        <f t="shared" ref="GF69:GF132" si="104">$GF$3</f>
        <v>235.49395036616602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108.79444755662385</v>
      </c>
      <c r="GM69" s="21">
        <f>EXP(-LN(2)/25)*GM68+(1-EXP(-LN(2)/25))/(LN(2)/25)*Calculateur!GH69*Calculateur!GJ69*VLOOKUP('Données projet'!$B$17,Paramètres!$A$1:$I$89,3,0)*0.475*44/12</f>
        <v>72.72252230462351</v>
      </c>
      <c r="GN69" s="21">
        <f>EXP(-LN(2)/2)*GN68+(1-EXP(-LN(2)/2))/(LN(2)/2)*GH69*GK69*VLOOKUP('Données projet'!$B$17,Paramètres!$A$1:$I$89,3,0)*0.475*44/12</f>
        <v>0</v>
      </c>
      <c r="GO69" s="21">
        <f t="shared" si="81"/>
        <v>181.51696986124736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4</v>
      </c>
      <c r="GU69" s="12">
        <f>IF('Données projet'!$A$270&gt;35,GU68+GT69-HC68,IF(A69&lt;'Données projet'!$A$270,$GR$205^A69,IF(A69='Données projet'!$A$270,'Données projet'!$B$270,GU68+GT69-HC68)))</f>
        <v>237</v>
      </c>
      <c r="GV69" s="17">
        <f>GU69*VLOOKUP('Données projet'!$B$18,Paramètres!$A$1:$I$89,3,0)*VLOOKUP('Données projet'!$B$18,Paramètres!$A$1:$I$89,5,0)</f>
        <v>188.55720000000002</v>
      </c>
      <c r="GW69" s="13">
        <f t="shared" ref="GW69:GW132" si="105">EXP(-1.0587+0.8836*LN(GV69)+0.284)</f>
        <v>47.220828881296455</v>
      </c>
      <c r="GX69" s="20">
        <f t="shared" si="82"/>
        <v>410.64673363492466</v>
      </c>
      <c r="GY69" s="59">
        <f t="shared" si="83"/>
        <v>703.98006696825792</v>
      </c>
      <c r="GZ69" s="59">
        <f ca="1">AVERAGE(OFFSET($GY$3,0,0,'Données projet'!$E$18+1,1))-AVERAGE(OFFSET($H$3,0,0,'Données projet'!$E$18+1,1))</f>
        <v>198.11534486400666</v>
      </c>
      <c r="HA69" s="59">
        <f t="shared" ref="HA69:HA132" si="106">$HA$3</f>
        <v>174.29856796517652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>
        <f>EXP(-LN(2)/35)*HG68+(1-EXP(-LN(2)/35))/(LN(2)/35)*HC69*HD69*VLOOKUP('Données projet'!$B$18,Paramètres!$A$1:$I$89,3,0)*0.475*44/12</f>
        <v>1.998800924473735</v>
      </c>
      <c r="HH69" s="21">
        <f>EXP(-LN(2)/25)*HH68+(1-EXP(-LN(2)/25))/(LN(2)/25)*Calculateur!HC69*Calculateur!HE69*VLOOKUP('Données projet'!$B$18,Paramètres!$A$1:$I$89,3,0)*0.475*44/12</f>
        <v>16.598012197249851</v>
      </c>
      <c r="HI69" s="21">
        <f>EXP(-LN(2)/2)*HI68+(1-EXP(-LN(2)/2))/(LN(2)/2)*HC69*HF69*VLOOKUP('Données projet'!$B$18,Paramètres!$A$1:$I$89,3,0)*0.475*44/12</f>
        <v>2.2014203983705025</v>
      </c>
      <c r="HJ69" s="22">
        <f t="shared" si="84"/>
        <v>20.798233520094087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</v>
      </c>
      <c r="N70" s="13">
        <f>IF('Données projet'!$A$36&gt;35,N69+M70-V69,IF(A70&lt;'Données projet'!$A$36,$K$205^A70,IF(A70='Données projet'!$A$36,'Données projet'!$B$36,N69+M70-V69)))</f>
        <v>401.00000000000023</v>
      </c>
      <c r="O70" s="13">
        <f>N70*VLOOKUP('Données projet'!$B$9,Paramètres!$A$1:$I$89,3,0)*VLOOKUP('Données projet'!$B$9,Paramètres!$A$1:$I$89,5,0)</f>
        <v>239.79800000000017</v>
      </c>
      <c r="P70" s="13">
        <f t="shared" si="87"/>
        <v>58.396067068575292</v>
      </c>
      <c r="Q70" s="20">
        <f t="shared" si="54"/>
        <v>519.35466681110222</v>
      </c>
      <c r="R70" s="59">
        <f t="shared" si="55"/>
        <v>812.68800014443559</v>
      </c>
      <c r="S70" s="59">
        <f ca="1">AVERAGE(OFFSET($R$3,0,0,'Données projet'!$E$9+1,1))-AVERAGE(OFFSET($H$3,0,0,'Données projet'!$E$9+1,1))</f>
        <v>295.19075440119076</v>
      </c>
      <c r="T70" s="59">
        <f t="shared" si="88"/>
        <v>173.0182327988216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4.8761091273913584</v>
      </c>
      <c r="AA70" s="21">
        <f>EXP(-LN(2)/25)*AA69+(1-EXP(-LN(2)/25))/(LN(2)/25)*Calculateur!V70*Calculateur!X70*VLOOKUP('Données projet'!$B$9,Paramètres!$A$1:$I$89,3,0)*0.475*44/12</f>
        <v>14.175888994066273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19.051998121457633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12.875</v>
      </c>
      <c r="AI70" s="13">
        <f>IF('Données projet'!$A$62&gt;35,AI69+AH70-AQ69,IF(A70&lt;'Données projet'!$A$62,$AF$205^A70,IF(A70='Données projet'!$A$62,'Données projet'!$B$62,AI69+AH70-AQ69)))</f>
        <v>442.87500000000006</v>
      </c>
      <c r="AJ70" s="13">
        <f>AI70*VLOOKUP('Données projet'!$B$10,Paramètres!$A$1:$I$89,3,0)*VLOOKUP('Données projet'!$B$10,Paramètres!$A$1:$I$89,5,0)</f>
        <v>264.83925000000005</v>
      </c>
      <c r="AK70" s="13">
        <f t="shared" si="89"/>
        <v>63.752800756768096</v>
      </c>
      <c r="AL70" s="20">
        <f t="shared" si="58"/>
        <v>572.29782173470437</v>
      </c>
      <c r="AM70" s="59">
        <f t="shared" si="59"/>
        <v>865.63115506803774</v>
      </c>
      <c r="AN70" s="59">
        <f ca="1">AVERAGE(OFFSET($AM$3,0,0,'Données projet'!$E$10+1,1))-AVERAGE(OFFSET($H$3,0,0,'Données projet'!$E$10+1,1))</f>
        <v>294.45857786714919</v>
      </c>
      <c r="AO70" s="59">
        <f t="shared" si="90"/>
        <v>221.9773436301067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35.988326363169861</v>
      </c>
      <c r="AV70" s="21">
        <f>EXP(-LN(2)/25)*AV69+(1-EXP(-LN(2)/25))/(LN(2)/25)*Calculateur!AQ70*Calculateur!AS70*VLOOKUP('Données projet'!$B$10,Paramètres!$A$1:$I$89,3,0)*0.475*44/12</f>
        <v>47.708943919719772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83.697270282889633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179.44051550872138</v>
      </c>
      <c r="BJ70" s="59">
        <f t="shared" si="92"/>
        <v>272.9500808380069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121.89834834068473</v>
      </c>
      <c r="BQ70" s="21">
        <f>EXP(-LN(2)/25)*BQ69+(1-EXP(-LN(2)/25))/(LN(2)/25)*Calculateur!BL70*Calculateur!BN70*VLOOKUP('Données projet'!$B$11,Paramètres!$A$1:$I$89,3,0)*0.475*44/12</f>
        <v>80.838766980448412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202.73711532113316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15.5</v>
      </c>
      <c r="BY70" s="12">
        <f>IF('Données projet'!$A$114&gt;35,BY69+BX70-CG69,IF(A70&lt;'Données projet'!$A$114,$BV$205^A70,IF(A70='Données projet'!$A$114,'Données projet'!$B$114,BY69+BX70-CG69)))</f>
        <v>430.49999999999989</v>
      </c>
      <c r="BZ70" s="13">
        <f>BY70*VLOOKUP('Données projet'!$B$12,Paramètres!$A$1:$I$89,3,0)*VLOOKUP('Données projet'!$B$12,Paramètres!$A$1:$I$89,5,0)</f>
        <v>201.47399999999996</v>
      </c>
      <c r="CA70" s="13">
        <f t="shared" si="93"/>
        <v>50.067969742315327</v>
      </c>
      <c r="CB70" s="20">
        <f t="shared" si="64"/>
        <v>438.10226396786584</v>
      </c>
      <c r="CC70" s="59">
        <f t="shared" si="65"/>
        <v>731.4355973011991</v>
      </c>
      <c r="CD70" s="59">
        <f ca="1">AVERAGE(OFFSET($CC$3,0,0,'Données projet'!$E$12+1,1))-AVERAGE(OFFSET($H$3,0,0,'Données projet'!$E$12+1,1))</f>
        <v>259.87681411271632</v>
      </c>
      <c r="CE70" s="59">
        <f t="shared" si="94"/>
        <v>191.8684235641158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17.454939264704247</v>
      </c>
      <c r="CL70" s="21">
        <f>EXP(-LN(2)/25)*CL69+(1-EXP(-LN(2)/25))/(LN(2)/25)*Calculateur!CG70*Calculateur!CI70*VLOOKUP('Données projet'!$B$12,Paramètres!$A$1:$I$89,3,0)*0.475*44/12</f>
        <v>38.433877507026047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55.888816771730291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4</v>
      </c>
      <c r="CT70" s="12">
        <f>IF('Données projet'!$A$140&gt;35,CT69+CS70-DB69,IF(A70&lt;'Données projet'!$A$140,$CQ$205^A70,IF(A70='Données projet'!$A$140,'Données projet'!$B$140,CT69+CS70-DB69)))</f>
        <v>241</v>
      </c>
      <c r="CU70" s="17">
        <f>CT70*VLOOKUP('Données projet'!$B$13,Paramètres!$A$1:$I$89,3,0)*VLOOKUP('Données projet'!$B$13,Paramètres!$A$1:$I$89,5,0)</f>
        <v>191.7396</v>
      </c>
      <c r="CV70" s="13">
        <f t="shared" si="95"/>
        <v>47.924349465834943</v>
      </c>
      <c r="CW70" s="20">
        <f t="shared" si="67"/>
        <v>417.41471198632917</v>
      </c>
      <c r="CX70" s="59">
        <f t="shared" si="68"/>
        <v>710.74804531966242</v>
      </c>
      <c r="CY70" s="59">
        <f ca="1">AVERAGE(OFFSET($CX$3,0,0,'Données projet'!$E$13+1,1))-AVERAGE(OFFSET($H$3,0,0,'Données projet'!$E$13+1,1))</f>
        <v>198.11534486400666</v>
      </c>
      <c r="CZ70" s="59">
        <f t="shared" si="96"/>
        <v>174.29856796517652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1.9596056574929881</v>
      </c>
      <c r="DG70" s="21">
        <f>EXP(-LN(2)/25)*DG69+(1-EXP(-LN(2)/25))/(LN(2)/25)*Calculateur!DB70*Calculateur!DD70*VLOOKUP('Données projet'!$B$13,Paramètres!$A$1:$I$89,3,0)*0.475*44/12</f>
        <v>16.144138680864529</v>
      </c>
      <c r="DH70" s="21">
        <f>EXP(-LN(2)/2)*DH69+(1-EXP(-LN(2)/2))/(LN(2)/2)*DB70*DE70*VLOOKUP('Données projet'!$B$13,Paramètres!$A$1:$I$89,3,0)*0.475*44/12</f>
        <v>1.5566392919301733</v>
      </c>
      <c r="DI70" s="22">
        <f t="shared" si="69"/>
        <v>19.660383630287694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5.75</v>
      </c>
      <c r="DO70" s="12">
        <f>IF('Données projet'!$A$166&gt;35,DO69+DN70-DW69,IF(A70&lt;'Données projet'!$A$166,$DL$205^A70,IF(A70='Données projet'!$A$166,'Données projet'!$B$166,DO69+DN70-DW69)))</f>
        <v>131.25</v>
      </c>
      <c r="DP70" s="17">
        <f>DO70*VLOOKUP('Données projet'!$B$14,Paramètres!$A$1:$I$89,3,0)*VLOOKUP('Données projet'!$B$14,Paramètres!$A$1:$I$89,5,0)</f>
        <v>133.08750000000001</v>
      </c>
      <c r="DQ70" s="13">
        <f t="shared" si="97"/>
        <v>34.708812399411578</v>
      </c>
      <c r="DR70" s="20">
        <f t="shared" si="70"/>
        <v>292.24524409564179</v>
      </c>
      <c r="DS70" s="59">
        <f t="shared" si="71"/>
        <v>585.57857742897511</v>
      </c>
      <c r="DT70" s="59">
        <f ca="1">AVERAGE(OFFSET($DS$3,0,0,'Données projet'!$E$14+1,1))-AVERAGE(OFFSET($H$3,0,0,'Données projet'!$E$14+1,1))</f>
        <v>247.92503505485405</v>
      </c>
      <c r="DU70" s="59">
        <f t="shared" si="98"/>
        <v>148.26437652597514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12.679392912232299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12.679392912232299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5.75</v>
      </c>
      <c r="EJ70" s="12">
        <f>IF('Données projet'!$A$192&gt;35,EJ69+EI70-ER69,IF(A70&lt;'Données projet'!$A$192,$EG$205^A70,IF(A70='Données projet'!$A$192,'Données projet'!$B$192,EJ69+EI70-ER69)))</f>
        <v>131.25</v>
      </c>
      <c r="EK70" s="17">
        <f>EJ70*VLOOKUP('Données projet'!$B$15,Paramètres!$A$1:$I$89,3,0)*VLOOKUP('Données projet'!$B$15,Paramètres!$A$1:$I$89,5,0)</f>
        <v>126.94500000000001</v>
      </c>
      <c r="EL70" s="13">
        <f t="shared" si="99"/>
        <v>33.289464491608832</v>
      </c>
      <c r="EM70" s="20">
        <f t="shared" si="73"/>
        <v>279.07502565621871</v>
      </c>
      <c r="EN70" s="59">
        <f t="shared" si="74"/>
        <v>572.40835898955197</v>
      </c>
      <c r="EO70" s="59">
        <f ca="1">AVERAGE(OFFSET($EN$3,0,0,'Données projet'!$E$15+1,1))-AVERAGE(OFFSET($H$3,0,0,'Données projet'!$E$15+1,1))</f>
        <v>232.99870507181964</v>
      </c>
      <c r="EP70" s="59">
        <f t="shared" si="100"/>
        <v>140.07662669226278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12.094190162436959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12.094190162436959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4</v>
      </c>
      <c r="FE70" s="12">
        <f>IF('Données projet'!$A$218&gt;35,FE69+FD70-FM69,IF(A70&lt;'Données projet'!$A$218,$FB$205^A70,IF(A70='Données projet'!$A$218,'Données projet'!$B$218,FE69+FD70-FM69)))</f>
        <v>241</v>
      </c>
      <c r="FF70" s="17">
        <f>FE70*VLOOKUP('Données projet'!$B$16,Paramètres!$A$1:$I$89,3,0)*VLOOKUP('Données projet'!$B$16,Paramètres!$A$1:$I$89,5,0)</f>
        <v>187.98000000000002</v>
      </c>
      <c r="FG70" s="13">
        <f t="shared" si="101"/>
        <v>47.093082099012364</v>
      </c>
      <c r="FH70" s="20">
        <f t="shared" si="76"/>
        <v>409.4189513224465</v>
      </c>
      <c r="FI70" s="59">
        <f t="shared" si="77"/>
        <v>702.75228465577982</v>
      </c>
      <c r="FJ70" s="59">
        <f ca="1">AVERAGE(OFFSET($FI$3,0,0,'Données projet'!$E$16+1,1))-AVERAGE(OFFSET($H$3,0,0,'Données projet'!$E$16+1,1))</f>
        <v>193.47609744163839</v>
      </c>
      <c r="FK70" s="59">
        <f t="shared" si="102"/>
        <v>170.3221892406973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1.5586948441028206</v>
      </c>
      <c r="FR70" s="21">
        <f>EXP(-LN(2)/25)*FR69+(1-EXP(-LN(2)/25))/(LN(2)/25)*Calculateur!FM70*Calculateur!FO70*VLOOKUP('Données projet'!$B$16,Paramètres!$A$1:$I$89,3,0)*0.475*44/12</f>
        <v>12.841249783151584</v>
      </c>
      <c r="FS70" s="21">
        <f>EXP(-LN(2)/2)*FS69+(1-EXP(-LN(2)/2))/(LN(2)/2)*FM70*FP70*VLOOKUP('Données projet'!$B$16,Paramètres!$A$1:$I$89,3,0)*0.475*44/12</f>
        <v>1.5261169528727188</v>
      </c>
      <c r="FT70" s="22">
        <f t="shared" si="78"/>
        <v>15.926061580127124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>
        <f>FZ70*VLOOKUP('Données projet'!$B$17,Paramètres!$A$1:$I$89,3,0)*VLOOKUP('Données projet'!$B$17,Paramètres!$A$1:$I$89,5,0)</f>
        <v>0</v>
      </c>
      <c r="GB70" s="13" t="e">
        <f t="shared" si="103"/>
        <v>#NUM!</v>
      </c>
      <c r="GC70" s="20" t="e">
        <f t="shared" si="79"/>
        <v>#NUM!</v>
      </c>
      <c r="GD70" s="59" t="e">
        <f t="shared" si="80"/>
        <v>#NUM!</v>
      </c>
      <c r="GE70" s="59">
        <f ca="1">AVERAGE(OFFSET($GD$3,0,0,'Données projet'!$E$17+1,1))-AVERAGE(OFFSET($H$3,0,0,'Données projet'!$E$17+1,1))</f>
        <v>153.43773674911449</v>
      </c>
      <c r="GF70" s="59">
        <f t="shared" si="104"/>
        <v>235.49395036616602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106.66105479809916</v>
      </c>
      <c r="GM70" s="21">
        <f>EXP(-LN(2)/25)*GM69+(1-EXP(-LN(2)/25))/(LN(2)/25)*Calculateur!GH70*Calculateur!GJ70*VLOOKUP('Données projet'!$B$17,Paramètres!$A$1:$I$89,3,0)*0.475*44/12</f>
        <v>70.733921107892343</v>
      </c>
      <c r="GN70" s="21">
        <f>EXP(-LN(2)/2)*GN69+(1-EXP(-LN(2)/2))/(LN(2)/2)*GH70*GK70*VLOOKUP('Données projet'!$B$17,Paramètres!$A$1:$I$89,3,0)*0.475*44/12</f>
        <v>0</v>
      </c>
      <c r="GO70" s="21">
        <f t="shared" si="81"/>
        <v>177.39497590599149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4</v>
      </c>
      <c r="GU70" s="12">
        <f>IF('Données projet'!$A$270&gt;35,GU69+GT70-HC69,IF(A70&lt;'Données projet'!$A$270,$GR$205^A70,IF(A70='Données projet'!$A$270,'Données projet'!$B$270,GU69+GT70-HC69)))</f>
        <v>241</v>
      </c>
      <c r="GV70" s="17">
        <f>GU70*VLOOKUP('Données projet'!$B$18,Paramètres!$A$1:$I$89,3,0)*VLOOKUP('Données projet'!$B$18,Paramètres!$A$1:$I$89,5,0)</f>
        <v>191.7396</v>
      </c>
      <c r="GW70" s="13">
        <f t="shared" si="105"/>
        <v>47.924349465834943</v>
      </c>
      <c r="GX70" s="20">
        <f t="shared" si="82"/>
        <v>417.41471198632917</v>
      </c>
      <c r="GY70" s="59">
        <f t="shared" si="83"/>
        <v>710.74804531966242</v>
      </c>
      <c r="GZ70" s="59">
        <f ca="1">AVERAGE(OFFSET($GY$3,0,0,'Données projet'!$E$18+1,1))-AVERAGE(OFFSET($H$3,0,0,'Données projet'!$E$18+1,1))</f>
        <v>198.11534486400666</v>
      </c>
      <c r="HA70" s="59">
        <f t="shared" si="106"/>
        <v>174.29856796517652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>
        <f>EXP(-LN(2)/35)*HG69+(1-EXP(-LN(2)/35))/(LN(2)/35)*HC70*HD70*VLOOKUP('Données projet'!$B$18,Paramètres!$A$1:$I$89,3,0)*0.475*44/12</f>
        <v>1.9596056574929881</v>
      </c>
      <c r="HH70" s="21">
        <f>EXP(-LN(2)/25)*HH69+(1-EXP(-LN(2)/25))/(LN(2)/25)*Calculateur!HC70*Calculateur!HE70*VLOOKUP('Données projet'!$B$18,Paramètres!$A$1:$I$89,3,0)*0.475*44/12</f>
        <v>16.144138680864529</v>
      </c>
      <c r="HI70" s="21">
        <f>EXP(-LN(2)/2)*HI69+(1-EXP(-LN(2)/2))/(LN(2)/2)*HC70*HF70*VLOOKUP('Données projet'!$B$18,Paramètres!$A$1:$I$89,3,0)*0.475*44/12</f>
        <v>1.5566392919301733</v>
      </c>
      <c r="HJ70" s="22">
        <f t="shared" si="84"/>
        <v>19.660383630287694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</v>
      </c>
      <c r="N71" s="13">
        <f>IF('Données projet'!$A$36&gt;35,N70+M71-V70,IF(A71&lt;'Données projet'!$A$36,$K$205^A71,IF(A71='Données projet'!$A$36,'Données projet'!$B$36,N70+M71-V70)))</f>
        <v>408.00000000000023</v>
      </c>
      <c r="O71" s="13">
        <f>N71*VLOOKUP('Données projet'!$B$9,Paramètres!$A$1:$I$89,3,0)*VLOOKUP('Données projet'!$B$9,Paramètres!$A$1:$I$89,5,0)</f>
        <v>243.98400000000015</v>
      </c>
      <c r="P71" s="13">
        <f t="shared" si="87"/>
        <v>59.295884425255011</v>
      </c>
      <c r="Q71" s="20">
        <f t="shared" si="54"/>
        <v>528.21246537398599</v>
      </c>
      <c r="R71" s="59">
        <f t="shared" si="55"/>
        <v>821.54579870731936</v>
      </c>
      <c r="S71" s="59">
        <f ca="1">AVERAGE(OFFSET($R$3,0,0,'Données projet'!$E$9+1,1))-AVERAGE(OFFSET($H$3,0,0,'Données projet'!$E$9+1,1))</f>
        <v>295.19075440119076</v>
      </c>
      <c r="T71" s="59">
        <f t="shared" si="88"/>
        <v>173.0182327988216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4.7804916015361103</v>
      </c>
      <c r="AA71" s="21">
        <f>EXP(-LN(2)/25)*AA70+(1-EXP(-LN(2)/25))/(LN(2)/25)*Calculateur!V71*Calculateur!X71*VLOOKUP('Données projet'!$B$9,Paramètres!$A$1:$I$89,3,0)*0.475*44/12</f>
        <v>13.788248564045928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18.568740165582039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12.875</v>
      </c>
      <c r="AI71" s="13">
        <f>IF('Données projet'!$A$62&gt;35,AI70+AH71-AQ70,IF(A71&lt;'Données projet'!$A$62,$AF$205^A71,IF(A71='Données projet'!$A$62,'Données projet'!$B$62,AI70+AH71-AQ70)))</f>
        <v>455.75000000000006</v>
      </c>
      <c r="AJ71" s="13">
        <f>AI71*VLOOKUP('Données projet'!$B$10,Paramètres!$A$1:$I$89,3,0)*VLOOKUP('Données projet'!$B$10,Paramètres!$A$1:$I$89,5,0)</f>
        <v>272.53850000000006</v>
      </c>
      <c r="AK71" s="13">
        <f t="shared" si="89"/>
        <v>65.387709293034959</v>
      </c>
      <c r="AL71" s="20">
        <f t="shared" si="58"/>
        <v>588.55481451870264</v>
      </c>
      <c r="AM71" s="59">
        <f t="shared" si="59"/>
        <v>881.8881478520359</v>
      </c>
      <c r="AN71" s="59">
        <f ca="1">AVERAGE(OFFSET($AM$3,0,0,'Données projet'!$E$10+1,1))-AVERAGE(OFFSET($H$3,0,0,'Données projet'!$E$10+1,1))</f>
        <v>294.45857786714919</v>
      </c>
      <c r="AO71" s="59">
        <f t="shared" si="90"/>
        <v>221.9773436301067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35.282617233899728</v>
      </c>
      <c r="AV71" s="21">
        <f>EXP(-LN(2)/25)*AV70+(1-EXP(-LN(2)/25))/(LN(2)/25)*Calculateur!AQ71*Calculateur!AS71*VLOOKUP('Données projet'!$B$10,Paramètres!$A$1:$I$89,3,0)*0.475*44/12</f>
        <v>46.404340339330716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81.686957573230444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179.44051550872138</v>
      </c>
      <c r="BJ71" s="59">
        <f t="shared" si="92"/>
        <v>272.9500808380069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119.50799608037488</v>
      </c>
      <c r="BQ71" s="21">
        <f>EXP(-LN(2)/25)*BQ70+(1-EXP(-LN(2)/25))/(LN(2)/25)*Calculateur!BL71*Calculateur!BN71*VLOOKUP('Données projet'!$B$11,Paramètres!$A$1:$I$89,3,0)*0.475*44/12</f>
        <v>78.628226646242055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198.13622272661695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15.5</v>
      </c>
      <c r="BY71" s="12">
        <f>IF('Données projet'!$A$114&gt;35,BY70+BX71-CG70,IF(A71&lt;'Données projet'!$A$114,$BV$205^A71,IF(A71='Données projet'!$A$114,'Données projet'!$B$114,BY70+BX71-CG70)))</f>
        <v>445.99999999999989</v>
      </c>
      <c r="BZ71" s="13">
        <f>BY71*VLOOKUP('Données projet'!$B$12,Paramètres!$A$1:$I$89,3,0)*VLOOKUP('Données projet'!$B$12,Paramètres!$A$1:$I$89,5,0)</f>
        <v>208.72799999999992</v>
      </c>
      <c r="CA71" s="13">
        <f t="shared" si="93"/>
        <v>51.657523484203345</v>
      </c>
      <c r="CB71" s="20">
        <f t="shared" si="64"/>
        <v>453.50478673498725</v>
      </c>
      <c r="CC71" s="59">
        <f t="shared" si="65"/>
        <v>746.83812006832056</v>
      </c>
      <c r="CD71" s="59">
        <f ca="1">AVERAGE(OFFSET($CC$3,0,0,'Données projet'!$E$12+1,1))-AVERAGE(OFFSET($H$3,0,0,'Données projet'!$E$12+1,1))</f>
        <v>259.87681411271632</v>
      </c>
      <c r="CE71" s="59">
        <f t="shared" si="94"/>
        <v>191.8684235641158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17.112658552185099</v>
      </c>
      <c r="CL71" s="21">
        <f>EXP(-LN(2)/25)*CL70+(1-EXP(-LN(2)/25))/(LN(2)/25)*Calculateur!CG71*Calculateur!CI71*VLOOKUP('Données projet'!$B$12,Paramètres!$A$1:$I$89,3,0)*0.475*44/12</f>
        <v>37.382901105446642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54.495559657631745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4</v>
      </c>
      <c r="CT71" s="12">
        <f>IF('Données projet'!$A$140&gt;35,CT70+CS71-DB70,IF(A71&lt;'Données projet'!$A$140,$CQ$205^A71,IF(A71='Données projet'!$A$140,'Données projet'!$B$140,CT70+CS71-DB70)))</f>
        <v>245</v>
      </c>
      <c r="CU71" s="17">
        <f>CT71*VLOOKUP('Données projet'!$B$13,Paramètres!$A$1:$I$89,3,0)*VLOOKUP('Données projet'!$B$13,Paramètres!$A$1:$I$89,5,0)</f>
        <v>194.922</v>
      </c>
      <c r="CV71" s="13">
        <f t="shared" si="95"/>
        <v>48.626512129794968</v>
      </c>
      <c r="CW71" s="20">
        <f t="shared" si="67"/>
        <v>424.1803252927262</v>
      </c>
      <c r="CX71" s="59">
        <f t="shared" si="68"/>
        <v>717.51365862605951</v>
      </c>
      <c r="CY71" s="59">
        <f ca="1">AVERAGE(OFFSET($CX$3,0,0,'Données projet'!$E$13+1,1))-AVERAGE(OFFSET($H$3,0,0,'Données projet'!$E$13+1,1))</f>
        <v>198.11534486400666</v>
      </c>
      <c r="CZ71" s="59">
        <f t="shared" si="96"/>
        <v>174.29856796517652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1.9211789857909813</v>
      </c>
      <c r="DG71" s="21">
        <f>EXP(-LN(2)/25)*DG70+(1-EXP(-LN(2)/25))/(LN(2)/25)*Calculateur!DB71*Calculateur!DD71*VLOOKUP('Données projet'!$B$13,Paramètres!$A$1:$I$89,3,0)*0.475*44/12</f>
        <v>15.702676359652934</v>
      </c>
      <c r="DH71" s="21">
        <f>EXP(-LN(2)/2)*DH70+(1-EXP(-LN(2)/2))/(LN(2)/2)*DB71*DE71*VLOOKUP('Données projet'!$B$13,Paramètres!$A$1:$I$89,3,0)*0.475*44/12</f>
        <v>1.1007101991852513</v>
      </c>
      <c r="DI71" s="22">
        <f t="shared" si="69"/>
        <v>18.724565544629165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5.75</v>
      </c>
      <c r="DO71" s="12">
        <f>IF('Données projet'!$A$166&gt;35,DO70+DN71-DW70,IF(A71&lt;'Données projet'!$A$166,$DL$205^A71,IF(A71='Données projet'!$A$166,'Données projet'!$B$166,DO70+DN71-DW70)))</f>
        <v>137</v>
      </c>
      <c r="DP71" s="17">
        <f>DO71*VLOOKUP('Données projet'!$B$14,Paramètres!$A$1:$I$89,3,0)*VLOOKUP('Données projet'!$B$14,Paramètres!$A$1:$I$89,5,0)</f>
        <v>138.91800000000001</v>
      </c>
      <c r="DQ71" s="13">
        <f t="shared" si="97"/>
        <v>36.049022673886341</v>
      </c>
      <c r="DR71" s="20">
        <f t="shared" si="70"/>
        <v>304.73423115701871</v>
      </c>
      <c r="DS71" s="59">
        <f t="shared" si="71"/>
        <v>598.06756449035197</v>
      </c>
      <c r="DT71" s="59">
        <f ca="1">AVERAGE(OFFSET($DS$3,0,0,'Données projet'!$E$14+1,1))-AVERAGE(OFFSET($H$3,0,0,'Données projet'!$E$14+1,1))</f>
        <v>247.92503505485405</v>
      </c>
      <c r="DU71" s="59">
        <f t="shared" si="98"/>
        <v>148.26437652597514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12.332674246267013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12.332674246267013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5.75</v>
      </c>
      <c r="EJ71" s="12">
        <f>IF('Données projet'!$A$192&gt;35,EJ70+EI71-ER70,IF(A71&lt;'Données projet'!$A$192,$EG$205^A71,IF(A71='Données projet'!$A$192,'Données projet'!$B$192,EJ70+EI71-ER70)))</f>
        <v>137</v>
      </c>
      <c r="EK71" s="17">
        <f>EJ71*VLOOKUP('Données projet'!$B$15,Paramètres!$A$1:$I$89,3,0)*VLOOKUP('Données projet'!$B$15,Paramètres!$A$1:$I$89,5,0)</f>
        <v>132.50640000000001</v>
      </c>
      <c r="EL71" s="13">
        <f t="shared" si="99"/>
        <v>34.574869530248939</v>
      </c>
      <c r="EM71" s="20">
        <f t="shared" si="73"/>
        <v>290.99987776518356</v>
      </c>
      <c r="EN71" s="59">
        <f t="shared" si="74"/>
        <v>584.33321109851681</v>
      </c>
      <c r="EO71" s="59">
        <f ca="1">AVERAGE(OFFSET($EN$3,0,0,'Données projet'!$E$15+1,1))-AVERAGE(OFFSET($H$3,0,0,'Données projet'!$E$15+1,1))</f>
        <v>232.99870507181964</v>
      </c>
      <c r="EP71" s="59">
        <f t="shared" si="100"/>
        <v>140.07662669226278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11.763473896439301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11.763473896439301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4</v>
      </c>
      <c r="FE71" s="12">
        <f>IF('Données projet'!$A$218&gt;35,FE70+FD71-FM70,IF(A71&lt;'Données projet'!$A$218,$FB$205^A71,IF(A71='Données projet'!$A$218,'Données projet'!$B$218,FE70+FD71-FM70)))</f>
        <v>245</v>
      </c>
      <c r="FF71" s="17">
        <f>FE71*VLOOKUP('Données projet'!$B$16,Paramètres!$A$1:$I$89,3,0)*VLOOKUP('Données projet'!$B$16,Paramètres!$A$1:$I$89,5,0)</f>
        <v>191.1</v>
      </c>
      <c r="FG71" s="13">
        <f t="shared" si="101"/>
        <v>47.7830654654909</v>
      </c>
      <c r="FH71" s="20">
        <f t="shared" si="76"/>
        <v>416.05467235239661</v>
      </c>
      <c r="FI71" s="59">
        <f t="shared" si="77"/>
        <v>709.38800568572992</v>
      </c>
      <c r="FJ71" s="59">
        <f ca="1">AVERAGE(OFFSET($FI$3,0,0,'Données projet'!$E$16+1,1))-AVERAGE(OFFSET($H$3,0,0,'Données projet'!$E$16+1,1))</f>
        <v>193.47609744163839</v>
      </c>
      <c r="FK71" s="59">
        <f t="shared" si="102"/>
        <v>170.3221892406973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1.5281297889199443</v>
      </c>
      <c r="FR71" s="21">
        <f>EXP(-LN(2)/25)*FR70+(1-EXP(-LN(2)/25))/(LN(2)/25)*Calculateur!FM71*Calculateur!FO71*VLOOKUP('Données projet'!$B$16,Paramètres!$A$1:$I$89,3,0)*0.475*44/12</f>
        <v>12.490105132539327</v>
      </c>
      <c r="FS71" s="21">
        <f>EXP(-LN(2)/2)*FS70+(1-EXP(-LN(2)/2))/(LN(2)/2)*FM71*FP71*VLOOKUP('Données projet'!$B$16,Paramètres!$A$1:$I$89,3,0)*0.475*44/12</f>
        <v>1.0791276462600503</v>
      </c>
      <c r="FT71" s="22">
        <f t="shared" si="78"/>
        <v>15.097362567719321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>
        <f>FZ71*VLOOKUP('Données projet'!$B$17,Paramètres!$A$1:$I$89,3,0)*VLOOKUP('Données projet'!$B$17,Paramètres!$A$1:$I$89,5,0)</f>
        <v>0</v>
      </c>
      <c r="GB71" s="13" t="e">
        <f t="shared" si="103"/>
        <v>#NUM!</v>
      </c>
      <c r="GC71" s="20" t="e">
        <f t="shared" si="79"/>
        <v>#NUM!</v>
      </c>
      <c r="GD71" s="59" t="e">
        <f t="shared" si="80"/>
        <v>#NUM!</v>
      </c>
      <c r="GE71" s="59">
        <f ca="1">AVERAGE(OFFSET($GD$3,0,0,'Données projet'!$E$17+1,1))-AVERAGE(OFFSET($H$3,0,0,'Données projet'!$E$17+1,1))</f>
        <v>153.43773674911449</v>
      </c>
      <c r="GF71" s="59">
        <f t="shared" si="104"/>
        <v>235.49395036616602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104.56949657032803</v>
      </c>
      <c r="GM71" s="21">
        <f>EXP(-LN(2)/25)*GM70+(1-EXP(-LN(2)/25))/(LN(2)/25)*Calculateur!GH71*Calculateur!GJ71*VLOOKUP('Données projet'!$B$17,Paramètres!$A$1:$I$89,3,0)*0.475*44/12</f>
        <v>68.799698315461782</v>
      </c>
      <c r="GN71" s="21">
        <f>EXP(-LN(2)/2)*GN70+(1-EXP(-LN(2)/2))/(LN(2)/2)*GH71*GK71*VLOOKUP('Données projet'!$B$17,Paramètres!$A$1:$I$89,3,0)*0.475*44/12</f>
        <v>0</v>
      </c>
      <c r="GO71" s="21">
        <f t="shared" si="81"/>
        <v>173.3691948857898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4</v>
      </c>
      <c r="GU71" s="12">
        <f>IF('Données projet'!$A$270&gt;35,GU70+GT71-HC70,IF(A71&lt;'Données projet'!$A$270,$GR$205^A71,IF(A71='Données projet'!$A$270,'Données projet'!$B$270,GU70+GT71-HC70)))</f>
        <v>245</v>
      </c>
      <c r="GV71" s="17">
        <f>GU71*VLOOKUP('Données projet'!$B$18,Paramètres!$A$1:$I$89,3,0)*VLOOKUP('Données projet'!$B$18,Paramètres!$A$1:$I$89,5,0)</f>
        <v>194.922</v>
      </c>
      <c r="GW71" s="13">
        <f t="shared" si="105"/>
        <v>48.626512129794968</v>
      </c>
      <c r="GX71" s="20">
        <f t="shared" si="82"/>
        <v>424.1803252927262</v>
      </c>
      <c r="GY71" s="59">
        <f t="shared" si="83"/>
        <v>717.51365862605951</v>
      </c>
      <c r="GZ71" s="59">
        <f ca="1">AVERAGE(OFFSET($GY$3,0,0,'Données projet'!$E$18+1,1))-AVERAGE(OFFSET($H$3,0,0,'Données projet'!$E$18+1,1))</f>
        <v>198.11534486400666</v>
      </c>
      <c r="HA71" s="59">
        <f t="shared" si="106"/>
        <v>174.29856796517652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>
        <f>EXP(-LN(2)/35)*HG70+(1-EXP(-LN(2)/35))/(LN(2)/35)*HC71*HD71*VLOOKUP('Données projet'!$B$18,Paramètres!$A$1:$I$89,3,0)*0.475*44/12</f>
        <v>1.9211789857909813</v>
      </c>
      <c r="HH71" s="21">
        <f>EXP(-LN(2)/25)*HH70+(1-EXP(-LN(2)/25))/(LN(2)/25)*Calculateur!HC71*Calculateur!HE71*VLOOKUP('Données projet'!$B$18,Paramètres!$A$1:$I$89,3,0)*0.475*44/12</f>
        <v>15.702676359652934</v>
      </c>
      <c r="HI71" s="21">
        <f>EXP(-LN(2)/2)*HI70+(1-EXP(-LN(2)/2))/(LN(2)/2)*HC71*HF71*VLOOKUP('Données projet'!$B$18,Paramètres!$A$1:$I$89,3,0)*0.475*44/12</f>
        <v>1.1007101991852513</v>
      </c>
      <c r="HJ71" s="22">
        <f t="shared" si="84"/>
        <v>18.724565544629165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</v>
      </c>
      <c r="N72" s="13">
        <f>IF('Données projet'!$A$36&gt;35,N71+M72-V71,IF(A72&lt;'Données projet'!$A$36,$K$205^A72,IF(A72='Données projet'!$A$36,'Données projet'!$B$36,N71+M72-V71)))</f>
        <v>415.00000000000023</v>
      </c>
      <c r="O72" s="13">
        <f>N72*VLOOKUP('Données projet'!$B$9,Paramètres!$A$1:$I$89,3,0)*VLOOKUP('Données projet'!$B$9,Paramètres!$A$1:$I$89,5,0)</f>
        <v>248.17000000000016</v>
      </c>
      <c r="P72" s="13">
        <f t="shared" si="87"/>
        <v>60.193906493778854</v>
      </c>
      <c r="Q72" s="20">
        <f t="shared" si="54"/>
        <v>537.06713714333182</v>
      </c>
      <c r="R72" s="59">
        <f t="shared" si="55"/>
        <v>830.40047047666508</v>
      </c>
      <c r="S72" s="59">
        <f ca="1">AVERAGE(OFFSET($R$3,0,0,'Données projet'!$E$9+1,1))-AVERAGE(OFFSET($H$3,0,0,'Données projet'!$E$9+1,1))</f>
        <v>295.19075440119076</v>
      </c>
      <c r="T72" s="59">
        <f t="shared" si="88"/>
        <v>173.0182327988216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4.6867490770419513</v>
      </c>
      <c r="AA72" s="21">
        <f>EXP(-LN(2)/25)*AA71+(1-EXP(-LN(2)/25))/(LN(2)/25)*Calculateur!V72*Calculateur!X72*VLOOKUP('Données projet'!$B$9,Paramètres!$A$1:$I$89,3,0)*0.475*44/12</f>
        <v>13.411208181969613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18.097957259011565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12.875</v>
      </c>
      <c r="AI72" s="13">
        <f>IF('Données projet'!$A$62&gt;35,AI71+AH72-AQ71,IF(A72&lt;'Données projet'!$A$62,$AF$205^A72,IF(A72='Données projet'!$A$62,'Données projet'!$B$62,AI71+AH72-AQ71)))</f>
        <v>468.62500000000006</v>
      </c>
      <c r="AJ72" s="13">
        <f>AI72*VLOOKUP('Données projet'!$B$10,Paramètres!$A$1:$I$89,3,0)*VLOOKUP('Données projet'!$B$10,Paramètres!$A$1:$I$89,5,0)</f>
        <v>280.23775000000006</v>
      </c>
      <c r="AK72" s="13">
        <f t="shared" si="89"/>
        <v>67.017249808465209</v>
      </c>
      <c r="AL72" s="20">
        <f t="shared" si="58"/>
        <v>604.80245799974375</v>
      </c>
      <c r="AM72" s="59">
        <f t="shared" si="59"/>
        <v>898.13579133307712</v>
      </c>
      <c r="AN72" s="59">
        <f ca="1">AVERAGE(OFFSET($AM$3,0,0,'Données projet'!$E$10+1,1))-AVERAGE(OFFSET($H$3,0,0,'Données projet'!$E$10+1,1))</f>
        <v>294.45857786714919</v>
      </c>
      <c r="AO72" s="59">
        <f t="shared" si="90"/>
        <v>221.9773436301067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34.590746630214518</v>
      </c>
      <c r="AV72" s="21">
        <f>EXP(-LN(2)/25)*AV71+(1-EXP(-LN(2)/25))/(LN(2)/25)*Calculateur!AQ72*Calculateur!AS72*VLOOKUP('Données projet'!$B$10,Paramètres!$A$1:$I$89,3,0)*0.475*44/12</f>
        <v>45.135411212453519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79.726157842668044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179.44051550872138</v>
      </c>
      <c r="BJ72" s="59">
        <f t="shared" si="92"/>
        <v>272.9500808380069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117.16451716991878</v>
      </c>
      <c r="BQ72" s="21">
        <f>EXP(-LN(2)/25)*BQ71+(1-EXP(-LN(2)/25))/(LN(2)/25)*Calculateur!BL72*Calculateur!BN72*VLOOKUP('Données projet'!$B$11,Paramètres!$A$1:$I$89,3,0)*0.475*44/12</f>
        <v>76.478133653721841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193.64265082364062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15.5</v>
      </c>
      <c r="BY72" s="12">
        <f>IF('Données projet'!$A$114&gt;35,BY71+BX72-CG71,IF(A72&lt;'Données projet'!$A$114,$BV$205^A72,IF(A72='Données projet'!$A$114,'Données projet'!$B$114,BY71+BX72-CG71)))</f>
        <v>461.49999999999989</v>
      </c>
      <c r="BZ72" s="13">
        <f>BY72*VLOOKUP('Données projet'!$B$12,Paramètres!$A$1:$I$89,3,0)*VLOOKUP('Données projet'!$B$12,Paramètres!$A$1:$I$89,5,0)</f>
        <v>215.98199999999994</v>
      </c>
      <c r="CA72" s="13">
        <f t="shared" si="93"/>
        <v>53.240658641505036</v>
      </c>
      <c r="CB72" s="20">
        <f t="shared" si="64"/>
        <v>468.89613046728778</v>
      </c>
      <c r="CC72" s="59">
        <f t="shared" si="65"/>
        <v>762.22946380062103</v>
      </c>
      <c r="CD72" s="59">
        <f ca="1">AVERAGE(OFFSET($CC$3,0,0,'Données projet'!$E$12+1,1))-AVERAGE(OFFSET($H$3,0,0,'Données projet'!$E$12+1,1))</f>
        <v>259.87681411271632</v>
      </c>
      <c r="CE72" s="59">
        <f t="shared" si="94"/>
        <v>191.8684235641158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16.777089755667831</v>
      </c>
      <c r="CL72" s="21">
        <f>EXP(-LN(2)/25)*CL71+(1-EXP(-LN(2)/25))/(LN(2)/25)*Calculateur!CG72*Calculateur!CI72*VLOOKUP('Données projet'!$B$12,Paramètres!$A$1:$I$89,3,0)*0.475*44/12</f>
        <v>36.360663708836874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53.137753464504705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4</v>
      </c>
      <c r="CT72" s="12">
        <f>IF('Données projet'!$A$140&gt;35,CT71+CS72-DB71,IF(A72&lt;'Données projet'!$A$140,$CQ$205^A72,IF(A72='Données projet'!$A$140,'Données projet'!$B$140,CT71+CS72-DB71)))</f>
        <v>249</v>
      </c>
      <c r="CU72" s="17">
        <f>CT72*VLOOKUP('Données projet'!$B$13,Paramètres!$A$1:$I$89,3,0)*VLOOKUP('Données projet'!$B$13,Paramètres!$A$1:$I$89,5,0)</f>
        <v>198.10440000000003</v>
      </c>
      <c r="CV72" s="13">
        <f t="shared" si="95"/>
        <v>49.327341602622013</v>
      </c>
      <c r="CW72" s="20">
        <f t="shared" si="67"/>
        <v>430.94361662456663</v>
      </c>
      <c r="CX72" s="59">
        <f t="shared" si="68"/>
        <v>724.27694995789989</v>
      </c>
      <c r="CY72" s="59">
        <f ca="1">AVERAGE(OFFSET($CX$3,0,0,'Données projet'!$E$13+1,1))-AVERAGE(OFFSET($H$3,0,0,'Données projet'!$E$13+1,1))</f>
        <v>198.11534486400666</v>
      </c>
      <c r="CZ72" s="59">
        <f t="shared" si="96"/>
        <v>174.29856796517652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1.8835058376830955</v>
      </c>
      <c r="DG72" s="21">
        <f>EXP(-LN(2)/25)*DG71+(1-EXP(-LN(2)/25))/(LN(2)/25)*Calculateur!DB72*Calculateur!DD72*VLOOKUP('Données projet'!$B$13,Paramètres!$A$1:$I$89,3,0)*0.475*44/12</f>
        <v>15.273285848830364</v>
      </c>
      <c r="DH72" s="21">
        <f>EXP(-LN(2)/2)*DH71+(1-EXP(-LN(2)/2))/(LN(2)/2)*DB72*DE72*VLOOKUP('Données projet'!$B$13,Paramètres!$A$1:$I$89,3,0)*0.475*44/12</f>
        <v>0.77831964596508663</v>
      </c>
      <c r="DI72" s="22">
        <f t="shared" si="69"/>
        <v>17.935111332478545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5.75</v>
      </c>
      <c r="DO72" s="12">
        <f>IF('Données projet'!$A$166&gt;35,DO71+DN72-DW71,IF(A72&lt;'Données projet'!$A$166,$DL$205^A72,IF(A72='Données projet'!$A$166,'Données projet'!$B$166,DO71+DN72-DW71)))</f>
        <v>142.75</v>
      </c>
      <c r="DP72" s="17">
        <f>DO72*VLOOKUP('Données projet'!$B$14,Paramètres!$A$1:$I$89,3,0)*VLOOKUP('Données projet'!$B$14,Paramètres!$A$1:$I$89,5,0)</f>
        <v>144.74850000000001</v>
      </c>
      <c r="DQ72" s="13">
        <f t="shared" si="97"/>
        <v>37.38269942487895</v>
      </c>
      <c r="DR72" s="20">
        <f t="shared" si="70"/>
        <v>317.21183899833085</v>
      </c>
      <c r="DS72" s="59">
        <f t="shared" si="71"/>
        <v>610.54517233166416</v>
      </c>
      <c r="DT72" s="59">
        <f ca="1">AVERAGE(OFFSET($DS$3,0,0,'Données projet'!$E$14+1,1))-AVERAGE(OFFSET($H$3,0,0,'Données projet'!$E$14+1,1))</f>
        <v>247.92503505485405</v>
      </c>
      <c r="DU72" s="59">
        <f t="shared" si="98"/>
        <v>148.26437652597514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11.99543662045569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11.99543662045569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5.75</v>
      </c>
      <c r="EJ72" s="12">
        <f>IF('Données projet'!$A$192&gt;35,EJ71+EI72-ER71,IF(A72&lt;'Données projet'!$A$192,$EG$205^A72,IF(A72='Données projet'!$A$192,'Données projet'!$B$192,EJ71+EI72-ER71)))</f>
        <v>142.75</v>
      </c>
      <c r="EK72" s="17">
        <f>EJ72*VLOOKUP('Données projet'!$B$15,Paramètres!$A$1:$I$89,3,0)*VLOOKUP('Données projet'!$B$15,Paramètres!$A$1:$I$89,5,0)</f>
        <v>138.06780000000001</v>
      </c>
      <c r="EL72" s="13">
        <f t="shared" si="99"/>
        <v>35.854008220865929</v>
      </c>
      <c r="EM72" s="20">
        <f t="shared" si="73"/>
        <v>302.91381598467478</v>
      </c>
      <c r="EN72" s="59">
        <f t="shared" si="74"/>
        <v>596.24714931800804</v>
      </c>
      <c r="EO72" s="59">
        <f ca="1">AVERAGE(OFFSET($EN$3,0,0,'Données projet'!$E$15+1,1))-AVERAGE(OFFSET($H$3,0,0,'Données projet'!$E$15+1,1))</f>
        <v>232.99870507181964</v>
      </c>
      <c r="EP72" s="59">
        <f t="shared" si="100"/>
        <v>140.07662669226278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11.441801084126961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11.441801084126961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4</v>
      </c>
      <c r="FE72" s="12">
        <f>IF('Données projet'!$A$218&gt;35,FE71+FD72-FM71,IF(A72&lt;'Données projet'!$A$218,$FB$205^A72,IF(A72='Données projet'!$A$218,'Données projet'!$B$218,FE71+FD72-FM71)))</f>
        <v>249</v>
      </c>
      <c r="FF72" s="17">
        <f>FE72*VLOOKUP('Données projet'!$B$16,Paramètres!$A$1:$I$89,3,0)*VLOOKUP('Données projet'!$B$16,Paramètres!$A$1:$I$89,5,0)</f>
        <v>194.22</v>
      </c>
      <c r="FG72" s="13">
        <f t="shared" si="101"/>
        <v>48.471738765579829</v>
      </c>
      <c r="FH72" s="20">
        <f t="shared" si="76"/>
        <v>422.68811168338488</v>
      </c>
      <c r="FI72" s="59">
        <f t="shared" si="77"/>
        <v>716.02144501671819</v>
      </c>
      <c r="FJ72" s="59">
        <f ca="1">AVERAGE(OFFSET($FI$3,0,0,'Données projet'!$E$16+1,1))-AVERAGE(OFFSET($H$3,0,0,'Données projet'!$E$16+1,1))</f>
        <v>193.47609744163839</v>
      </c>
      <c r="FK72" s="59">
        <f t="shared" si="102"/>
        <v>170.3221892406973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1.4981640958263616</v>
      </c>
      <c r="FR72" s="21">
        <f>EXP(-LN(2)/25)*FR71+(1-EXP(-LN(2)/25))/(LN(2)/25)*Calculateur!FM72*Calculateur!FO72*VLOOKUP('Données projet'!$B$16,Paramètres!$A$1:$I$89,3,0)*0.475*44/12</f>
        <v>12.148562550863957</v>
      </c>
      <c r="FS72" s="21">
        <f>EXP(-LN(2)/2)*FS71+(1-EXP(-LN(2)/2))/(LN(2)/2)*FM72*FP72*VLOOKUP('Données projet'!$B$16,Paramètres!$A$1:$I$89,3,0)*0.475*44/12</f>
        <v>0.76305847643635949</v>
      </c>
      <c r="FT72" s="22">
        <f t="shared" si="78"/>
        <v>14.409785123126678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>
        <f>FZ72*VLOOKUP('Données projet'!$B$17,Paramètres!$A$1:$I$89,3,0)*VLOOKUP('Données projet'!$B$17,Paramètres!$A$1:$I$89,5,0)</f>
        <v>0</v>
      </c>
      <c r="GB72" s="13" t="e">
        <f t="shared" si="103"/>
        <v>#NUM!</v>
      </c>
      <c r="GC72" s="20" t="e">
        <f t="shared" si="79"/>
        <v>#NUM!</v>
      </c>
      <c r="GD72" s="59" t="e">
        <f t="shared" si="80"/>
        <v>#NUM!</v>
      </c>
      <c r="GE72" s="59">
        <f ca="1">AVERAGE(OFFSET($GD$3,0,0,'Données projet'!$E$17+1,1))-AVERAGE(OFFSET($H$3,0,0,'Données projet'!$E$17+1,1))</f>
        <v>153.43773674911449</v>
      </c>
      <c r="GF72" s="59">
        <f t="shared" si="104"/>
        <v>235.49395036616602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102.51895252367895</v>
      </c>
      <c r="GM72" s="21">
        <f>EXP(-LN(2)/25)*GM71+(1-EXP(-LN(2)/25))/(LN(2)/25)*Calculateur!GH72*Calculateur!GJ72*VLOOKUP('Données projet'!$B$17,Paramètres!$A$1:$I$89,3,0)*0.475*44/12</f>
        <v>66.918366947006589</v>
      </c>
      <c r="GN72" s="21">
        <f>EXP(-LN(2)/2)*GN71+(1-EXP(-LN(2)/2))/(LN(2)/2)*GH72*GK72*VLOOKUP('Données projet'!$B$17,Paramètres!$A$1:$I$89,3,0)*0.475*44/12</f>
        <v>0</v>
      </c>
      <c r="GO72" s="21">
        <f t="shared" si="81"/>
        <v>169.43731947068554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4</v>
      </c>
      <c r="GU72" s="12">
        <f>IF('Données projet'!$A$270&gt;35,GU71+GT72-HC71,IF(A72&lt;'Données projet'!$A$270,$GR$205^A72,IF(A72='Données projet'!$A$270,'Données projet'!$B$270,GU71+GT72-HC71)))</f>
        <v>249</v>
      </c>
      <c r="GV72" s="17">
        <f>GU72*VLOOKUP('Données projet'!$B$18,Paramètres!$A$1:$I$89,3,0)*VLOOKUP('Données projet'!$B$18,Paramètres!$A$1:$I$89,5,0)</f>
        <v>198.10440000000003</v>
      </c>
      <c r="GW72" s="13">
        <f t="shared" si="105"/>
        <v>49.327341602622013</v>
      </c>
      <c r="GX72" s="20">
        <f t="shared" si="82"/>
        <v>430.94361662456663</v>
      </c>
      <c r="GY72" s="59">
        <f t="shared" si="83"/>
        <v>724.27694995789989</v>
      </c>
      <c r="GZ72" s="59">
        <f ca="1">AVERAGE(OFFSET($GY$3,0,0,'Données projet'!$E$18+1,1))-AVERAGE(OFFSET($H$3,0,0,'Données projet'!$E$18+1,1))</f>
        <v>198.11534486400666</v>
      </c>
      <c r="HA72" s="59">
        <f t="shared" si="106"/>
        <v>174.29856796517652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>
        <f>EXP(-LN(2)/35)*HG71+(1-EXP(-LN(2)/35))/(LN(2)/35)*HC72*HD72*VLOOKUP('Données projet'!$B$18,Paramètres!$A$1:$I$89,3,0)*0.475*44/12</f>
        <v>1.8835058376830955</v>
      </c>
      <c r="HH72" s="21">
        <f>EXP(-LN(2)/25)*HH71+(1-EXP(-LN(2)/25))/(LN(2)/25)*Calculateur!HC72*Calculateur!HE72*VLOOKUP('Données projet'!$B$18,Paramètres!$A$1:$I$89,3,0)*0.475*44/12</f>
        <v>15.273285848830364</v>
      </c>
      <c r="HI72" s="21">
        <f>EXP(-LN(2)/2)*HI71+(1-EXP(-LN(2)/2))/(LN(2)/2)*HC72*HF72*VLOOKUP('Données projet'!$B$18,Paramètres!$A$1:$I$89,3,0)*0.475*44/12</f>
        <v>0.77831964596508663</v>
      </c>
      <c r="HJ72" s="22">
        <f t="shared" si="84"/>
        <v>17.935111332478545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422</v>
      </c>
      <c r="L73" s="12">
        <f>VLOOKUP(A73,'Données projet'!$A$35:$I$55,9,0)</f>
        <v>7</v>
      </c>
      <c r="M73" s="12">
        <f t="array" ref="M73">INDEX(L:L,MIN(IF(ISNUMBER(L73:L269),ROW(L73:L269),"")))</f>
        <v>7</v>
      </c>
      <c r="N73" s="13">
        <f>IF('Données projet'!$A$36&gt;35,N72+M73-V72,IF(A73&lt;'Données projet'!$A$36,$K$205^A73,IF(A73='Données projet'!$A$36,'Données projet'!$B$36,N72+M73-V72)))</f>
        <v>422.00000000000023</v>
      </c>
      <c r="O73" s="13">
        <f>N73*VLOOKUP('Données projet'!$B$9,Paramètres!$A$1:$I$89,3,0)*VLOOKUP('Données projet'!$B$9,Paramètres!$A$1:$I$89,5,0)</f>
        <v>252.35600000000017</v>
      </c>
      <c r="P73" s="13">
        <f t="shared" si="87"/>
        <v>61.090167050998808</v>
      </c>
      <c r="Q73" s="20">
        <f t="shared" si="54"/>
        <v>545.91874094715649</v>
      </c>
      <c r="R73" s="59">
        <f t="shared" si="55"/>
        <v>839.25207428048975</v>
      </c>
      <c r="S73" s="59">
        <f ca="1">AVERAGE(OFFSET($R$3,0,0,'Données projet'!$E$9+1,1))-AVERAGE(OFFSET($H$3,0,0,'Données projet'!$E$9+1,1))</f>
        <v>295.19075440119076</v>
      </c>
      <c r="T73" s="59">
        <f t="shared" si="88"/>
        <v>173.0182327988216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26</v>
      </c>
      <c r="W73" s="16">
        <f>IF(ISNA(VLOOKUP(A73,'Données projet'!$A$35:$I$55,5,0)),0%,VLOOKUP(A73,'Données projet'!$A$35:$I$55,5,0)*VLOOKUP('Données projet'!$B$9,Paramètres!$A$1:$I$89,7,0))</f>
        <v>0.13500000000000001</v>
      </c>
      <c r="X73" s="16">
        <f>IF(ISNA(VLOOKUP(A73,'Données projet'!$A$35:$I$55,6,0)),0%,VLOOKUP(A73,'Données projet'!$A$35:$I$55,6,0)*VLOOKUP('Données projet'!$B$9,Paramètres!$A$1:$I$89,7,0))</f>
        <v>0.315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7.3792770469543143</v>
      </c>
      <c r="AA73" s="21">
        <f>EXP(-LN(2)/25)*AA72+(1-EXP(-LN(2)/25))/(LN(2)/25)*Calculateur!V73*Calculateur!X73*VLOOKUP('Données projet'!$B$9,Paramètres!$A$1:$I$89,3,0)*0.475*44/12</f>
        <v>19.515905398773629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26.895182445727944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12.875</v>
      </c>
      <c r="AI73" s="13">
        <f>IF('Données projet'!$A$62&gt;35,AI72+AH73-AQ72,IF(A73&lt;'Données projet'!$A$62,$AF$205^A73,IF(A73='Données projet'!$A$62,'Données projet'!$B$62,AI72+AH73-AQ72)))</f>
        <v>481.50000000000006</v>
      </c>
      <c r="AJ73" s="13">
        <f>AI73*VLOOKUP('Données projet'!$B$10,Paramètres!$A$1:$I$89,3,0)*VLOOKUP('Données projet'!$B$10,Paramètres!$A$1:$I$89,5,0)</f>
        <v>287.93700000000007</v>
      </c>
      <c r="AK73" s="13">
        <f t="shared" si="89"/>
        <v>68.641586729718156</v>
      </c>
      <c r="AL73" s="20">
        <f t="shared" si="58"/>
        <v>621.04103855425922</v>
      </c>
      <c r="AM73" s="59">
        <f t="shared" si="59"/>
        <v>914.37437188759259</v>
      </c>
      <c r="AN73" s="59">
        <f ca="1">AVERAGE(OFFSET($AM$3,0,0,'Données projet'!$E$10+1,1))-AVERAGE(OFFSET($H$3,0,0,'Données projet'!$E$10+1,1))</f>
        <v>294.45857786714919</v>
      </c>
      <c r="AO73" s="59">
        <f t="shared" si="90"/>
        <v>221.9773436301067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33.912443187068178</v>
      </c>
      <c r="AV73" s="21">
        <f>EXP(-LN(2)/25)*AV72+(1-EXP(-LN(2)/25))/(LN(2)/25)*Calculateur!AQ73*Calculateur!AS73*VLOOKUP('Données projet'!$B$10,Paramètres!$A$1:$I$89,3,0)*0.475*44/12</f>
        <v>43.901181019280862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77.813624206349033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179.44051550872138</v>
      </c>
      <c r="BJ73" s="59">
        <f t="shared" si="92"/>
        <v>272.9500808380069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114.86699245151573</v>
      </c>
      <c r="BQ73" s="21">
        <f>EXP(-LN(2)/25)*BQ72+(1-EXP(-LN(2)/25))/(LN(2)/25)*Calculateur!BL73*Calculateur!BN73*VLOOKUP('Données projet'!$B$11,Paramètres!$A$1:$I$89,3,0)*0.475*44/12</f>
        <v>74.386835067150557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189.2538275186663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477</v>
      </c>
      <c r="BW73" s="12">
        <f>VLOOKUP(A73,'Données projet'!$A$113:$I$133,9,0)</f>
        <v>15.5</v>
      </c>
      <c r="BX73" s="12">
        <f t="array" ref="BX73">INDEX(BW:BW,MIN(IF(ISNUMBER(BW73:BW269),ROW(BW73:BW269),"")))</f>
        <v>15.5</v>
      </c>
      <c r="BY73" s="12">
        <f>IF('Données projet'!$A$114&gt;35,BY72+BX73-CG72,IF(A73&lt;'Données projet'!$A$114,$BV$205^A73,IF(A73='Données projet'!$A$114,'Données projet'!$B$114,BY72+BX73-CG72)))</f>
        <v>476.99999999999989</v>
      </c>
      <c r="BZ73" s="13">
        <f>BY73*VLOOKUP('Données projet'!$B$12,Paramètres!$A$1:$I$89,3,0)*VLOOKUP('Données projet'!$B$12,Paramètres!$A$1:$I$89,5,0)</f>
        <v>223.23599999999993</v>
      </c>
      <c r="CA73" s="13">
        <f t="shared" si="93"/>
        <v>54.817615504575855</v>
      </c>
      <c r="CB73" s="20">
        <f t="shared" si="64"/>
        <v>484.27671367046941</v>
      </c>
      <c r="CC73" s="59">
        <f t="shared" si="65"/>
        <v>777.61004700380272</v>
      </c>
      <c r="CD73" s="59">
        <f ca="1">AVERAGE(OFFSET($CC$3,0,0,'Données projet'!$E$12+1,1))-AVERAGE(OFFSET($H$3,0,0,'Données projet'!$E$12+1,1))</f>
        <v>259.87681411271632</v>
      </c>
      <c r="CE73" s="59">
        <f t="shared" si="94"/>
        <v>191.8684235641158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95</v>
      </c>
      <c r="CH73" s="16">
        <f>IF(ISNA(VLOOKUP(A73,'Données projet'!$A$113:$I$133,5,0)),0%,VLOOKUP(A73,'Données projet'!$A$113:$I$133,5,0)*VLOOKUP('Données projet'!$B$12,Paramètres!$A$1:$I$89,7,0))</f>
        <v>0.27500000000000002</v>
      </c>
      <c r="CI73" s="16">
        <f>IF(ISNA(VLOOKUP(A73,'Données projet'!$A$113:$I$133,6,0)),0%,VLOOKUP(A73,'Données projet'!$A$113:$I$133,6,0)*VLOOKUP('Données projet'!$B$12,Paramètres!$A$1:$I$89,7,0))</f>
        <v>0.27500000000000002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32.667341573005046</v>
      </c>
      <c r="CL73" s="21">
        <f>EXP(-LN(2)/25)*CL72+(1-EXP(-LN(2)/25))/(LN(2)/25)*Calculateur!CG73*Calculateur!CI73*VLOOKUP('Données projet'!$B$12,Paramètres!$A$1:$I$89,3,0)*0.475*44/12</f>
        <v>51.521758432893094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84.18910000589814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253</v>
      </c>
      <c r="CR73" s="12">
        <f>VLOOKUP(A73,'Données projet'!$A$139:$I$159,9,0)</f>
        <v>4</v>
      </c>
      <c r="CS73" s="12">
        <f t="array" ref="CS73">INDEX(CR:CR,MIN(IF(ISNUMBER(CR73:CR269),ROW(CR73:CR269),"")))</f>
        <v>4</v>
      </c>
      <c r="CT73" s="12">
        <f>IF('Données projet'!$A$140&gt;35,CT72+CS73-DB72,IF(A73&lt;'Données projet'!$A$140,$CQ$205^A73,IF(A73='Données projet'!$A$140,'Données projet'!$B$140,CT72+CS73-DB72)))</f>
        <v>253</v>
      </c>
      <c r="CU73" s="17">
        <f>CT73*VLOOKUP('Données projet'!$B$13,Paramètres!$A$1:$I$89,3,0)*VLOOKUP('Données projet'!$B$13,Paramètres!$A$1:$I$89,5,0)</f>
        <v>201.2868</v>
      </c>
      <c r="CV73" s="13">
        <f t="shared" si="95"/>
        <v>50.026861773677616</v>
      </c>
      <c r="CW73" s="20">
        <f t="shared" si="67"/>
        <v>437.70462758915511</v>
      </c>
      <c r="CX73" s="59">
        <f t="shared" si="68"/>
        <v>731.03796092248842</v>
      </c>
      <c r="CY73" s="59">
        <f ca="1">AVERAGE(OFFSET($CX$3,0,0,'Données projet'!$E$13+1,1))-AVERAGE(OFFSET($H$3,0,0,'Données projet'!$E$13+1,1))</f>
        <v>198.11534486400666</v>
      </c>
      <c r="CZ73" s="59">
        <f t="shared" si="96"/>
        <v>174.29856796517652</v>
      </c>
      <c r="DA73" s="15">
        <f>IF(ISNA(VLOOKUP(A73,'Données projet'!$A$139:$I$159,3,0)),0,VLOOKUP(A73,'Données projet'!$A$139:$I$159,3,0))</f>
        <v>11</v>
      </c>
      <c r="DB73" s="15">
        <f>IF(ISNA(VLOOKUP(A73,'Données projet'!$A$139:$I$159,4,0)),0,VLOOKUP(A73,'Données projet'!$A$139:$I$159,4,0))</f>
        <v>10</v>
      </c>
      <c r="DC73" s="16">
        <f>IF(ISNA(VLOOKUP(A73,'Données projet'!$A$139:$I$159,5,0)),0%,VLOOKUP(A73,'Données projet'!$A$139:$I$159,5,0)*VLOOKUP('Données projet'!$B$13,Paramètres!$A$1:$I$89,7,0))</f>
        <v>0.159</v>
      </c>
      <c r="DD73" s="16">
        <f>IF(ISNA(VLOOKUP(A73,'Données projet'!$A$139:$I$159,6,0)),0%,VLOOKUP(A73,'Données projet'!$A$139:$I$159,6,0)*VLOOKUP('Données projet'!$B$13,Paramètres!$A$1:$I$89,7,0))</f>
        <v>0.13250000000000001</v>
      </c>
      <c r="DE73" s="16">
        <f>IF(ISNA(VLOOKUP(A73,'Données projet'!$A$139:$I$159,7,0)),0%,VLOOKUP(A73,'Données projet'!$A$139:$I$159,7,0))</f>
        <v>0.25</v>
      </c>
      <c r="DF73" s="21">
        <f>EXP(-LN(2)/35)*DF72+(1-EXP(-LN(2)/35))/(LN(2)/35)*DB73*DC73*VLOOKUP('Données projet'!$B$13,Paramètres!$A$1:$I$89,3,0)*0.475*44/12</f>
        <v>3.2449958890219541</v>
      </c>
      <c r="DG73" s="21">
        <f>EXP(-LN(2)/25)*DG72+(1-EXP(-LN(2)/25))/(LN(2)/25)*Calculateur!DB73*Calculateur!DD73*VLOOKUP('Données projet'!$B$13,Paramètres!$A$1:$I$89,3,0)*0.475*44/12</f>
        <v>16.016402312508337</v>
      </c>
      <c r="DH73" s="21">
        <f>EXP(-LN(2)/2)*DH72+(1-EXP(-LN(2)/2))/(LN(2)/2)*DB73*DE73*VLOOKUP('Données projet'!$B$13,Paramètres!$A$1:$I$89,3,0)*0.475*44/12</f>
        <v>2.4270301327427428</v>
      </c>
      <c r="DI73" s="22">
        <f t="shared" si="69"/>
        <v>21.688428334273034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5.75</v>
      </c>
      <c r="DO73" s="12">
        <f>IF('Données projet'!$A$166&gt;35,DO72+DN73-DW72,IF(A73&lt;'Données projet'!$A$166,$DL$205^A73,IF(A73='Données projet'!$A$166,'Données projet'!$B$166,DO72+DN73-DW72)))</f>
        <v>148.5</v>
      </c>
      <c r="DP73" s="17">
        <f>DO73*VLOOKUP('Données projet'!$B$14,Paramètres!$A$1:$I$89,3,0)*VLOOKUP('Données projet'!$B$14,Paramètres!$A$1:$I$89,5,0)</f>
        <v>150.57900000000001</v>
      </c>
      <c r="DQ73" s="13">
        <f t="shared" si="97"/>
        <v>38.71013593121895</v>
      </c>
      <c r="DR73" s="20">
        <f t="shared" si="70"/>
        <v>329.6785784135397</v>
      </c>
      <c r="DS73" s="59">
        <f t="shared" si="71"/>
        <v>623.01191174687301</v>
      </c>
      <c r="DT73" s="59">
        <f ca="1">AVERAGE(OFFSET($DS$3,0,0,'Données projet'!$E$14+1,1))-AVERAGE(OFFSET($H$3,0,0,'Données projet'!$E$14+1,1))</f>
        <v>247.92503505485405</v>
      </c>
      <c r="DU73" s="59">
        <f t="shared" si="98"/>
        <v>148.26437652597514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11.667420775256733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11.667420775256733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5.75</v>
      </c>
      <c r="EJ73" s="12">
        <f>IF('Données projet'!$A$192&gt;35,EJ72+EI73-ER72,IF(A73&lt;'Données projet'!$A$192,$EG$205^A73,IF(A73='Données projet'!$A$192,'Données projet'!$B$192,EJ72+EI73-ER72)))</f>
        <v>148.5</v>
      </c>
      <c r="EK73" s="17">
        <f>EJ73*VLOOKUP('Données projet'!$B$15,Paramètres!$A$1:$I$89,3,0)*VLOOKUP('Données projet'!$B$15,Paramètres!$A$1:$I$89,5,0)</f>
        <v>143.6292</v>
      </c>
      <c r="EL73" s="13">
        <f t="shared" si="99"/>
        <v>37.127161849234376</v>
      </c>
      <c r="EM73" s="20">
        <f t="shared" si="73"/>
        <v>314.81733022074985</v>
      </c>
      <c r="EN73" s="59">
        <f t="shared" si="74"/>
        <v>608.15066355408317</v>
      </c>
      <c r="EO73" s="59">
        <f ca="1">AVERAGE(OFFSET($EN$3,0,0,'Données projet'!$E$15+1,1))-AVERAGE(OFFSET($H$3,0,0,'Données projet'!$E$15+1,1))</f>
        <v>232.99870507181964</v>
      </c>
      <c r="EP73" s="59">
        <f t="shared" si="100"/>
        <v>140.07662669226278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11.128924431783341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11.128924431783341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>
        <f>VLOOKUP(A73,'Données projet'!$A$217:$I$237,2,0)</f>
        <v>253</v>
      </c>
      <c r="FC73" s="12">
        <f>VLOOKUP(A73,'Données projet'!$A$217:$I$237,9,0)</f>
        <v>4</v>
      </c>
      <c r="FD73" s="12">
        <f t="array" ref="FD73">INDEX(FC:FC,MIN(IF(ISNUMBER(FC73:FC269),ROW(FC73:FC269),"")))</f>
        <v>4</v>
      </c>
      <c r="FE73" s="12">
        <f>IF('Données projet'!$A$218&gt;35,FE72+FD73-FM72,IF(A73&lt;'Données projet'!$A$218,$FB$205^A73,IF(A73='Données projet'!$A$218,'Données projet'!$B$218,FE72+FD73-FM72)))</f>
        <v>253</v>
      </c>
      <c r="FF73" s="17">
        <f>FE73*VLOOKUP('Données projet'!$B$16,Paramètres!$A$1:$I$89,3,0)*VLOOKUP('Données projet'!$B$16,Paramètres!$A$1:$I$89,5,0)</f>
        <v>197.34</v>
      </c>
      <c r="FG73" s="13">
        <f t="shared" si="101"/>
        <v>49.159125474269977</v>
      </c>
      <c r="FH73" s="20">
        <f t="shared" si="76"/>
        <v>429.31931020102024</v>
      </c>
      <c r="FI73" s="59">
        <f t="shared" si="77"/>
        <v>722.6526435343535</v>
      </c>
      <c r="FJ73" s="59">
        <f ca="1">AVERAGE(OFFSET($FI$3,0,0,'Données projet'!$E$16+1,1))-AVERAGE(OFFSET($H$3,0,0,'Données projet'!$E$16+1,1))</f>
        <v>193.47609744163839</v>
      </c>
      <c r="FK73" s="59">
        <f t="shared" si="102"/>
        <v>170.3221892406973</v>
      </c>
      <c r="FL73" s="15">
        <f>IF(ISNA(VLOOKUP(A73,'Données projet'!$A$217:$I$237,3,0)),0,VLOOKUP(A73,'Données projet'!$A$217:$I$237,3,0))</f>
        <v>11</v>
      </c>
      <c r="FM73" s="15">
        <f>IF(ISNA(VLOOKUP(A73,'Données projet'!$A$217:$I$237,4,0)),0,VLOOKUP(A73,'Données projet'!$A$217:$I$237,4,0))</f>
        <v>10</v>
      </c>
      <c r="FN73" s="16">
        <f>IF(ISNA(VLOOKUP(A73,'Données projet'!$A$217:$I$237,5,0)),0%,VLOOKUP(A73,'Données projet'!$A$217:$I$237,5,0)*VLOOKUP('Données projet'!$B$16,Paramètres!$A$1:$I$89,7,0))</f>
        <v>0.129</v>
      </c>
      <c r="FO73" s="16">
        <f>IF(ISNA(VLOOKUP(A73,'Données projet'!$A$217:$I$237,6,0)),0%,VLOOKUP(A73,'Données projet'!$A$217:$I$237,6,0)*VLOOKUP('Données projet'!$B$16,Paramètres!$A$1:$I$89,7,0))</f>
        <v>0.1075</v>
      </c>
      <c r="FP73" s="16">
        <f>IF(ISNA(VLOOKUP(A73,'Données projet'!$A$217:$I$237,7,0)),0%,VLOOKUP(A73,'Données projet'!$A$217:$I$237,7,0))</f>
        <v>0.25</v>
      </c>
      <c r="FQ73" s="21">
        <f>EXP(-LN(2)/35)*FQ72+(1-EXP(-LN(2)/35))/(LN(2)/35)*FM73*FN73*VLOOKUP('Données projet'!$B$16,Paramètres!$A$1:$I$89,3,0)*0.475*44/12</f>
        <v>2.5811103075831303</v>
      </c>
      <c r="FR73" s="21">
        <f>EXP(-LN(2)/25)*FR72+(1-EXP(-LN(2)/25))/(LN(2)/25)*Calculateur!FM73*Calculateur!FO73*VLOOKUP('Données projet'!$B$16,Paramètres!$A$1:$I$89,3,0)*0.475*44/12</f>
        <v>12.73964667846575</v>
      </c>
      <c r="FS73" s="21">
        <f>EXP(-LN(2)/2)*FS72+(1-EXP(-LN(2)/2))/(LN(2)/2)*FM73*FP73*VLOOKUP('Données projet'!$B$16,Paramètres!$A$1:$I$89,3,0)*0.475*44/12</f>
        <v>2.3794413066105324</v>
      </c>
      <c r="FT73" s="22">
        <f t="shared" si="78"/>
        <v>17.700198292659415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>
        <f>FZ73*VLOOKUP('Données projet'!$B$17,Paramètres!$A$1:$I$89,3,0)*VLOOKUP('Données projet'!$B$17,Paramètres!$A$1:$I$89,5,0)</f>
        <v>0</v>
      </c>
      <c r="GB73" s="13" t="e">
        <f t="shared" si="103"/>
        <v>#NUM!</v>
      </c>
      <c r="GC73" s="20" t="e">
        <f t="shared" si="79"/>
        <v>#NUM!</v>
      </c>
      <c r="GD73" s="59" t="e">
        <f t="shared" si="80"/>
        <v>#NUM!</v>
      </c>
      <c r="GE73" s="59">
        <f ca="1">AVERAGE(OFFSET($GD$3,0,0,'Données projet'!$E$17+1,1))-AVERAGE(OFFSET($H$3,0,0,'Données projet'!$E$17+1,1))</f>
        <v>153.43773674911449</v>
      </c>
      <c r="GF73" s="59">
        <f t="shared" si="104"/>
        <v>235.49395036616602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100.50861839507628</v>
      </c>
      <c r="GM73" s="21">
        <f>EXP(-LN(2)/25)*GM72+(1-EXP(-LN(2)/25))/(LN(2)/25)*Calculateur!GH73*Calculateur!GJ73*VLOOKUP('Données projet'!$B$17,Paramètres!$A$1:$I$89,3,0)*0.475*44/12</f>
        <v>65.088480683756714</v>
      </c>
      <c r="GN73" s="21">
        <f>EXP(-LN(2)/2)*GN72+(1-EXP(-LN(2)/2))/(LN(2)/2)*GH73*GK73*VLOOKUP('Données projet'!$B$17,Paramètres!$A$1:$I$89,3,0)*0.475*44/12</f>
        <v>0</v>
      </c>
      <c r="GO73" s="21">
        <f t="shared" si="81"/>
        <v>165.597099078833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>
        <f>VLOOKUP(A73,'Données projet'!$A$269:$I$289,2,0)</f>
        <v>253</v>
      </c>
      <c r="GS73" s="12">
        <f>VLOOKUP(A73,'Données projet'!$A$269:$I$289,9,0)</f>
        <v>4</v>
      </c>
      <c r="GT73" s="12">
        <f t="array" ref="GT73">INDEX(GS:GS,MIN(IF(ISNUMBER(GS73:GS269),ROW(GS73:GS269),"")))</f>
        <v>4</v>
      </c>
      <c r="GU73" s="12">
        <f>IF('Données projet'!$A$270&gt;35,GU72+GT73-HC72,IF(A73&lt;'Données projet'!$A$270,$GR$205^A73,IF(A73='Données projet'!$A$270,'Données projet'!$B$270,GU72+GT73-HC72)))</f>
        <v>253</v>
      </c>
      <c r="GV73" s="17">
        <f>GU73*VLOOKUP('Données projet'!$B$18,Paramètres!$A$1:$I$89,3,0)*VLOOKUP('Données projet'!$B$18,Paramètres!$A$1:$I$89,5,0)</f>
        <v>201.2868</v>
      </c>
      <c r="GW73" s="13">
        <f t="shared" si="105"/>
        <v>50.026861773677616</v>
      </c>
      <c r="GX73" s="20">
        <f t="shared" si="82"/>
        <v>437.70462758915511</v>
      </c>
      <c r="GY73" s="59">
        <f t="shared" si="83"/>
        <v>731.03796092248842</v>
      </c>
      <c r="GZ73" s="59">
        <f ca="1">AVERAGE(OFFSET($GY$3,0,0,'Données projet'!$E$18+1,1))-AVERAGE(OFFSET($H$3,0,0,'Données projet'!$E$18+1,1))</f>
        <v>198.11534486400666</v>
      </c>
      <c r="HA73" s="59">
        <f t="shared" si="106"/>
        <v>174.29856796517652</v>
      </c>
      <c r="HB73" s="15">
        <f>IF(ISNA(VLOOKUP(A73,'Données projet'!$A$269:$I$289,3,0)),0,VLOOKUP(A73,'Données projet'!$A$269:$I$289,3,0))</f>
        <v>11</v>
      </c>
      <c r="HC73" s="15">
        <f>IF(ISNA(VLOOKUP(A73,'Données projet'!$A$269:$I$289,4,0)),0,VLOOKUP(A73,'Données projet'!$A$269:$I$289,4,0))</f>
        <v>10</v>
      </c>
      <c r="HD73" s="16">
        <f>IF(ISNA(VLOOKUP(A73,'Données projet'!$A$269:$I$289,5,0)),0%,VLOOKUP(A73,'Données projet'!$A$269:$I$289,5,0)*VLOOKUP('Données projet'!$B$18,Paramètres!$A$1:$I$89,7,0))</f>
        <v>0.159</v>
      </c>
      <c r="HE73" s="16">
        <f>IF(ISNA(VLOOKUP(A73,'Données projet'!$A$269:$I$289,6,0)),0%,VLOOKUP(A73,'Données projet'!$A$269:$I$289,6,0)*VLOOKUP('Données projet'!$B$18,Paramètres!$A$1:$I$89,7,0))</f>
        <v>0.13250000000000001</v>
      </c>
      <c r="HF73" s="16">
        <f>IF(ISNA(VLOOKUP(A73,'Données projet'!$A$269:$I$289,7,0)),0%,VLOOKUP(A73,'Données projet'!$A$269:$I$289,7,0))</f>
        <v>0.25</v>
      </c>
      <c r="HG73" s="21">
        <f>EXP(-LN(2)/35)*HG72+(1-EXP(-LN(2)/35))/(LN(2)/35)*HC73*HD73*VLOOKUP('Données projet'!$B$18,Paramètres!$A$1:$I$89,3,0)*0.475*44/12</f>
        <v>3.2449958890219541</v>
      </c>
      <c r="HH73" s="21">
        <f>EXP(-LN(2)/25)*HH72+(1-EXP(-LN(2)/25))/(LN(2)/25)*Calculateur!HC73*Calculateur!HE73*VLOOKUP('Données projet'!$B$18,Paramètres!$A$1:$I$89,3,0)*0.475*44/12</f>
        <v>16.016402312508337</v>
      </c>
      <c r="HI73" s="21">
        <f>EXP(-LN(2)/2)*HI72+(1-EXP(-LN(2)/2))/(LN(2)/2)*HC73*HF73*VLOOKUP('Données projet'!$B$18,Paramètres!$A$1:$I$89,3,0)*0.475*44/12</f>
        <v>2.4270301327427428</v>
      </c>
      <c r="HJ73" s="22">
        <f t="shared" si="84"/>
        <v>21.688428334273034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6</v>
      </c>
      <c r="N74" s="13">
        <f>IF('Données projet'!$A$36&gt;35,N73+M74-V73,IF(A74&lt;'Données projet'!$A$36,$K$205^A74,IF(A74='Données projet'!$A$36,'Données projet'!$B$36,N73+M74-V73)))</f>
        <v>402.00000000000023</v>
      </c>
      <c r="O74" s="13">
        <f>N74*VLOOKUP('Données projet'!$B$9,Paramètres!$A$1:$I$89,3,0)*VLOOKUP('Données projet'!$B$9,Paramètres!$A$1:$I$89,5,0)</f>
        <v>240.39600000000013</v>
      </c>
      <c r="P74" s="13">
        <f t="shared" si="87"/>
        <v>58.524723634421655</v>
      </c>
      <c r="Q74" s="20">
        <f t="shared" si="54"/>
        <v>520.62026032995118</v>
      </c>
      <c r="R74" s="59">
        <f t="shared" si="55"/>
        <v>813.95359366328444</v>
      </c>
      <c r="S74" s="59">
        <f ca="1">AVERAGE(OFFSET($R$3,0,0,'Données projet'!$E$9+1,1))-AVERAGE(OFFSET($H$3,0,0,'Données projet'!$E$9+1,1))</f>
        <v>295.19075440119076</v>
      </c>
      <c r="T74" s="59">
        <f t="shared" si="88"/>
        <v>173.0182327988216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7.2345739249781102</v>
      </c>
      <c r="AA74" s="21">
        <f>EXP(-LN(2)/25)*AA73+(1-EXP(-LN(2)/25))/(LN(2)/25)*Calculateur!V74*Calculateur!X74*VLOOKUP('Données projet'!$B$9,Paramètres!$A$1:$I$89,3,0)*0.475*44/12</f>
        <v>18.982241939347304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26.216815864325415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12.875</v>
      </c>
      <c r="AI74" s="13">
        <f>IF('Données projet'!$A$62&gt;35,AI73+AH74-AQ73,IF(A74&lt;'Données projet'!$A$62,$AF$205^A74,IF(A74='Données projet'!$A$62,'Données projet'!$B$62,AI73+AH74-AQ73)))</f>
        <v>494.37500000000006</v>
      </c>
      <c r="AJ74" s="13">
        <f>AI74*VLOOKUP('Données projet'!$B$10,Paramètres!$A$1:$I$89,3,0)*VLOOKUP('Données projet'!$B$10,Paramètres!$A$1:$I$89,5,0)</f>
        <v>295.63625000000002</v>
      </c>
      <c r="AK74" s="13">
        <f t="shared" si="89"/>
        <v>70.260875189476423</v>
      </c>
      <c r="AL74" s="20">
        <f t="shared" si="58"/>
        <v>637.27082637167155</v>
      </c>
      <c r="AM74" s="59">
        <f t="shared" si="59"/>
        <v>930.6041597050048</v>
      </c>
      <c r="AN74" s="59">
        <f ca="1">AVERAGE(OFFSET($AM$3,0,0,'Données projet'!$E$10+1,1))-AVERAGE(OFFSET($H$3,0,0,'Données projet'!$E$10+1,1))</f>
        <v>294.45857786714919</v>
      </c>
      <c r="AO74" s="59">
        <f t="shared" si="90"/>
        <v>221.9773436301067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33.247440860717688</v>
      </c>
      <c r="AV74" s="21">
        <f>EXP(-LN(2)/25)*AV73+(1-EXP(-LN(2)/25))/(LN(2)/25)*Calculateur!AQ74*Calculateur!AS74*VLOOKUP('Données projet'!$B$10,Paramètres!$A$1:$I$89,3,0)*0.475*44/12</f>
        <v>42.700700915645854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75.948141776363542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179.44051550872138</v>
      </c>
      <c r="BJ74" s="59">
        <f t="shared" si="92"/>
        <v>272.9500808380069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112.61452079148886</v>
      </c>
      <c r="BQ74" s="21">
        <f>EXP(-LN(2)/25)*BQ73+(1-EXP(-LN(2)/25))/(LN(2)/25)*Calculateur!BL74*Calculateur!BN74*VLOOKUP('Données projet'!$B$11,Paramètres!$A$1:$I$89,3,0)*0.475*44/12</f>
        <v>72.35272315040568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184.96724394189454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17</v>
      </c>
      <c r="BY74" s="12">
        <f>IF('Données projet'!$A$114&gt;35,BY73+BX74-CG73,IF(A74&lt;'Données projet'!$A$114,$BV$205^A74,IF(A74='Données projet'!$A$114,'Données projet'!$B$114,BY73+BX74-CG73)))</f>
        <v>398.99999999999989</v>
      </c>
      <c r="BZ74" s="13">
        <f>BY74*VLOOKUP('Données projet'!$B$12,Paramètres!$A$1:$I$89,3,0)*VLOOKUP('Données projet'!$B$12,Paramètres!$A$1:$I$89,5,0)</f>
        <v>186.73199999999994</v>
      </c>
      <c r="CA74" s="13">
        <f t="shared" si="93"/>
        <v>46.81671651923142</v>
      </c>
      <c r="CB74" s="20">
        <f t="shared" si="64"/>
        <v>406.76401460432794</v>
      </c>
      <c r="CC74" s="59">
        <f t="shared" si="65"/>
        <v>700.0973479376612</v>
      </c>
      <c r="CD74" s="59">
        <f ca="1">AVERAGE(OFFSET($CC$3,0,0,'Données projet'!$E$12+1,1))-AVERAGE(OFFSET($H$3,0,0,'Données projet'!$E$12+1,1))</f>
        <v>259.87681411271632</v>
      </c>
      <c r="CE74" s="59">
        <f t="shared" si="94"/>
        <v>191.8684235641158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32.026754929869334</v>
      </c>
      <c r="CL74" s="21">
        <f>EXP(-LN(2)/25)*CL73+(1-EXP(-LN(2)/25))/(LN(2)/25)*Calculateur!CG74*Calculateur!CI74*VLOOKUP('Données projet'!$B$12,Paramètres!$A$1:$I$89,3,0)*0.475*44/12</f>
        <v>50.11289323913411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82.139648169003436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3.6</v>
      </c>
      <c r="CT74" s="12">
        <f>IF('Données projet'!$A$140&gt;35,CT73+CS74-DB73,IF(A74&lt;'Données projet'!$A$140,$CQ$205^A74,IF(A74='Données projet'!$A$140,'Données projet'!$B$140,CT73+CS74-DB73)))</f>
        <v>246.60000000000002</v>
      </c>
      <c r="CU74" s="17">
        <f>CT74*VLOOKUP('Données projet'!$B$13,Paramètres!$A$1:$I$89,3,0)*VLOOKUP('Données projet'!$B$13,Paramètres!$A$1:$I$89,5,0)</f>
        <v>196.19496000000004</v>
      </c>
      <c r="CV74" s="13">
        <f t="shared" si="95"/>
        <v>48.907002545697203</v>
      </c>
      <c r="CW74" s="20">
        <f t="shared" si="67"/>
        <v>426.88591810042266</v>
      </c>
      <c r="CX74" s="59">
        <f t="shared" si="68"/>
        <v>720.21925143375597</v>
      </c>
      <c r="CY74" s="59">
        <f ca="1">AVERAGE(OFFSET($CX$3,0,0,'Données projet'!$E$13+1,1))-AVERAGE(OFFSET($H$3,0,0,'Données projet'!$E$13+1,1))</f>
        <v>198.11534486400666</v>
      </c>
      <c r="CZ74" s="59">
        <f t="shared" si="96"/>
        <v>174.29856796517652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3.181363498890291</v>
      </c>
      <c r="DG74" s="21">
        <f>EXP(-LN(2)/25)*DG73+(1-EXP(-LN(2)/25))/(LN(2)/25)*Calculateur!DB74*Calculateur!DD74*VLOOKUP('Données projet'!$B$13,Paramètres!$A$1:$I$89,3,0)*0.475*44/12</f>
        <v>15.578432949006805</v>
      </c>
      <c r="DH74" s="21">
        <f>EXP(-LN(2)/2)*DH73+(1-EXP(-LN(2)/2))/(LN(2)/2)*DB74*DE74*VLOOKUP('Données projet'!$B$13,Paramètres!$A$1:$I$89,3,0)*0.475*44/12</f>
        <v>1.7161694650064803</v>
      </c>
      <c r="DI74" s="22">
        <f t="shared" si="69"/>
        <v>20.475965912903575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5.75</v>
      </c>
      <c r="DO74" s="12">
        <f>IF('Données projet'!$A$166&gt;35,DO73+DN74-DW73,IF(A74&lt;'Données projet'!$A$166,$DL$205^A74,IF(A74='Données projet'!$A$166,'Données projet'!$B$166,DO73+DN74-DW73)))</f>
        <v>154.25</v>
      </c>
      <c r="DP74" s="17">
        <f>DO74*VLOOKUP('Données projet'!$B$14,Paramètres!$A$1:$I$89,3,0)*VLOOKUP('Données projet'!$B$14,Paramètres!$A$1:$I$89,5,0)</f>
        <v>156.40950000000001</v>
      </c>
      <c r="DQ74" s="13">
        <f t="shared" si="97"/>
        <v>40.031601473819443</v>
      </c>
      <c r="DR74" s="20">
        <f t="shared" si="70"/>
        <v>342.13491840023556</v>
      </c>
      <c r="DS74" s="59">
        <f t="shared" si="71"/>
        <v>635.46825173356888</v>
      </c>
      <c r="DT74" s="59">
        <f ca="1">AVERAGE(OFFSET($DS$3,0,0,'Données projet'!$E$14+1,1))-AVERAGE(OFFSET($H$3,0,0,'Données projet'!$E$14+1,1))</f>
        <v>247.92503505485405</v>
      </c>
      <c r="DU74" s="59">
        <f t="shared" si="98"/>
        <v>148.26437652597514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11.348374540594346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11.348374540594346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5.75</v>
      </c>
      <c r="EJ74" s="12">
        <f>IF('Données projet'!$A$192&gt;35,EJ73+EI74-ER73,IF(A74&lt;'Données projet'!$A$192,$EG$205^A74,IF(A74='Données projet'!$A$192,'Données projet'!$B$192,EJ73+EI74-ER73)))</f>
        <v>154.25</v>
      </c>
      <c r="EK74" s="17">
        <f>EJ74*VLOOKUP('Données projet'!$B$15,Paramètres!$A$1:$I$89,3,0)*VLOOKUP('Données projet'!$B$15,Paramètres!$A$1:$I$89,5,0)</f>
        <v>149.19060000000002</v>
      </c>
      <c r="EL74" s="13">
        <f t="shared" si="99"/>
        <v>38.394588684559622</v>
      </c>
      <c r="EM74" s="20">
        <f t="shared" si="73"/>
        <v>326.71087029227471</v>
      </c>
      <c r="EN74" s="59">
        <f t="shared" si="74"/>
        <v>620.04420362560802</v>
      </c>
      <c r="EO74" s="59">
        <f ca="1">AVERAGE(OFFSET($EN$3,0,0,'Données projet'!$E$15+1,1))-AVERAGE(OFFSET($H$3,0,0,'Données projet'!$E$15+1,1))</f>
        <v>232.99870507181964</v>
      </c>
      <c r="EP74" s="59">
        <f t="shared" si="100"/>
        <v>140.07662669226278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10.824603407951525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10.824603407951525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3.6</v>
      </c>
      <c r="FE74" s="12">
        <f>IF('Données projet'!$A$218&gt;35,FE73+FD74-FM73,IF(A74&lt;'Données projet'!$A$218,$FB$205^A74,IF(A74='Données projet'!$A$218,'Données projet'!$B$218,FE73+FD74-FM73)))</f>
        <v>246.60000000000002</v>
      </c>
      <c r="FF74" s="17">
        <f>FE74*VLOOKUP('Données projet'!$B$16,Paramètres!$A$1:$I$89,3,0)*VLOOKUP('Données projet'!$B$16,Paramètres!$A$1:$I$89,5,0)</f>
        <v>192.34800000000001</v>
      </c>
      <c r="FG74" s="13">
        <f t="shared" si="101"/>
        <v>48.058690660851909</v>
      </c>
      <c r="FH74" s="20">
        <f t="shared" si="76"/>
        <v>418.70831956765045</v>
      </c>
      <c r="FI74" s="59">
        <f t="shared" si="77"/>
        <v>712.04165290098376</v>
      </c>
      <c r="FJ74" s="59">
        <f ca="1">AVERAGE(OFFSET($FI$3,0,0,'Données projet'!$E$16+1,1))-AVERAGE(OFFSET($H$3,0,0,'Données projet'!$E$16+1,1))</f>
        <v>193.47609744163839</v>
      </c>
      <c r="FK74" s="59">
        <f t="shared" si="102"/>
        <v>170.3221892406973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2.5304963087732615</v>
      </c>
      <c r="FR74" s="21">
        <f>EXP(-LN(2)/25)*FR73+(1-EXP(-LN(2)/25))/(LN(2)/25)*Calculateur!FM74*Calculateur!FO74*VLOOKUP('Données projet'!$B$16,Paramètres!$A$1:$I$89,3,0)*0.475*44/12</f>
        <v>12.391280370094202</v>
      </c>
      <c r="FS74" s="21">
        <f>EXP(-LN(2)/2)*FS73+(1-EXP(-LN(2)/2))/(LN(2)/2)*FM74*FP74*VLOOKUP('Données projet'!$B$16,Paramètres!$A$1:$I$89,3,0)*0.475*44/12</f>
        <v>1.6825190833396866</v>
      </c>
      <c r="FT74" s="22">
        <f t="shared" si="78"/>
        <v>16.604295762207151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>
        <f>FZ74*VLOOKUP('Données projet'!$B$17,Paramètres!$A$1:$I$89,3,0)*VLOOKUP('Données projet'!$B$17,Paramètres!$A$1:$I$89,5,0)</f>
        <v>0</v>
      </c>
      <c r="GB74" s="13" t="e">
        <f t="shared" si="103"/>
        <v>#NUM!</v>
      </c>
      <c r="GC74" s="20" t="e">
        <f t="shared" si="79"/>
        <v>#NUM!</v>
      </c>
      <c r="GD74" s="59" t="e">
        <f t="shared" si="80"/>
        <v>#NUM!</v>
      </c>
      <c r="GE74" s="59">
        <f ca="1">AVERAGE(OFFSET($GD$3,0,0,'Données projet'!$E$17+1,1))-AVERAGE(OFFSET($H$3,0,0,'Données projet'!$E$17+1,1))</f>
        <v>153.43773674911449</v>
      </c>
      <c r="GF74" s="59">
        <f t="shared" si="104"/>
        <v>235.49395036616602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98.537705692552777</v>
      </c>
      <c r="GM74" s="21">
        <f>EXP(-LN(2)/25)*GM73+(1-EXP(-LN(2)/25))/(LN(2)/25)*Calculateur!GH74*Calculateur!GJ74*VLOOKUP('Données projet'!$B$17,Paramètres!$A$1:$I$89,3,0)*0.475*44/12</f>
        <v>63.30863275660495</v>
      </c>
      <c r="GN74" s="21">
        <f>EXP(-LN(2)/2)*GN73+(1-EXP(-LN(2)/2))/(LN(2)/2)*GH74*GK74*VLOOKUP('Données projet'!$B$17,Paramètres!$A$1:$I$89,3,0)*0.475*44/12</f>
        <v>0</v>
      </c>
      <c r="GO74" s="21">
        <f t="shared" si="81"/>
        <v>161.84633844915771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3.6</v>
      </c>
      <c r="GU74" s="12">
        <f>IF('Données projet'!$A$270&gt;35,GU73+GT74-HC73,IF(A74&lt;'Données projet'!$A$270,$GR$205^A74,IF(A74='Données projet'!$A$270,'Données projet'!$B$270,GU73+GT74-HC73)))</f>
        <v>246.60000000000002</v>
      </c>
      <c r="GV74" s="17">
        <f>GU74*VLOOKUP('Données projet'!$B$18,Paramètres!$A$1:$I$89,3,0)*VLOOKUP('Données projet'!$B$18,Paramètres!$A$1:$I$89,5,0)</f>
        <v>196.19496000000004</v>
      </c>
      <c r="GW74" s="13">
        <f t="shared" si="105"/>
        <v>48.907002545697203</v>
      </c>
      <c r="GX74" s="20">
        <f t="shared" si="82"/>
        <v>426.88591810042266</v>
      </c>
      <c r="GY74" s="59">
        <f t="shared" si="83"/>
        <v>720.21925143375597</v>
      </c>
      <c r="GZ74" s="59">
        <f ca="1">AVERAGE(OFFSET($GY$3,0,0,'Données projet'!$E$18+1,1))-AVERAGE(OFFSET($H$3,0,0,'Données projet'!$E$18+1,1))</f>
        <v>198.11534486400666</v>
      </c>
      <c r="HA74" s="59">
        <f t="shared" si="106"/>
        <v>174.29856796517652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>
        <f>EXP(-LN(2)/35)*HG73+(1-EXP(-LN(2)/35))/(LN(2)/35)*HC74*HD74*VLOOKUP('Données projet'!$B$18,Paramètres!$A$1:$I$89,3,0)*0.475*44/12</f>
        <v>3.181363498890291</v>
      </c>
      <c r="HH74" s="21">
        <f>EXP(-LN(2)/25)*HH73+(1-EXP(-LN(2)/25))/(LN(2)/25)*Calculateur!HC74*Calculateur!HE74*VLOOKUP('Données projet'!$B$18,Paramètres!$A$1:$I$89,3,0)*0.475*44/12</f>
        <v>15.578432949006805</v>
      </c>
      <c r="HI74" s="21">
        <f>EXP(-LN(2)/2)*HI73+(1-EXP(-LN(2)/2))/(LN(2)/2)*HC74*HF74*VLOOKUP('Données projet'!$B$18,Paramètres!$A$1:$I$89,3,0)*0.475*44/12</f>
        <v>1.7161694650064803</v>
      </c>
      <c r="HJ74" s="22">
        <f t="shared" si="84"/>
        <v>20.475965912903575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6</v>
      </c>
      <c r="N75" s="13">
        <f>IF('Données projet'!$A$36&gt;35,N74+M75-V74,IF(A75&lt;'Données projet'!$A$36,$K$205^A75,IF(A75='Données projet'!$A$36,'Données projet'!$B$36,N74+M75-V74)))</f>
        <v>408.00000000000023</v>
      </c>
      <c r="O75" s="13">
        <f>N75*VLOOKUP('Données projet'!$B$9,Paramètres!$A$1:$I$89,3,0)*VLOOKUP('Données projet'!$B$9,Paramètres!$A$1:$I$89,5,0)</f>
        <v>243.98400000000015</v>
      </c>
      <c r="P75" s="13">
        <f t="shared" si="87"/>
        <v>59.295884425255011</v>
      </c>
      <c r="Q75" s="20">
        <f t="shared" si="54"/>
        <v>528.21246537398599</v>
      </c>
      <c r="R75" s="59">
        <f t="shared" si="55"/>
        <v>821.54579870731936</v>
      </c>
      <c r="S75" s="59">
        <f ca="1">AVERAGE(OFFSET($R$3,0,0,'Données projet'!$E$9+1,1))-AVERAGE(OFFSET($H$3,0,0,'Données projet'!$E$9+1,1))</f>
        <v>295.19075440119076</v>
      </c>
      <c r="T75" s="59">
        <f t="shared" si="88"/>
        <v>173.0182327988216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7.0927083429636699</v>
      </c>
      <c r="AA75" s="21">
        <f>EXP(-LN(2)/25)*AA74+(1-EXP(-LN(2)/25))/(LN(2)/25)*Calculateur!V75*Calculateur!X75*VLOOKUP('Données projet'!$B$9,Paramètres!$A$1:$I$89,3,0)*0.475*44/12</f>
        <v>18.463171535283134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25.555879878246806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12.875</v>
      </c>
      <c r="AI75" s="13">
        <f>IF('Données projet'!$A$62&gt;35,AI74+AH75-AQ74,IF(A75&lt;'Données projet'!$A$62,$AF$205^A75,IF(A75='Données projet'!$A$62,'Données projet'!$B$62,AI74+AH75-AQ74)))</f>
        <v>507.25000000000006</v>
      </c>
      <c r="AJ75" s="13">
        <f>AI75*VLOOKUP('Données projet'!$B$10,Paramètres!$A$1:$I$89,3,0)*VLOOKUP('Données projet'!$B$10,Paramètres!$A$1:$I$89,5,0)</f>
        <v>303.33550000000008</v>
      </c>
      <c r="AK75" s="13">
        <f t="shared" si="89"/>
        <v>71.875261779950662</v>
      </c>
      <c r="AL75" s="20">
        <f t="shared" si="58"/>
        <v>653.49207676674757</v>
      </c>
      <c r="AM75" s="59">
        <f t="shared" si="59"/>
        <v>946.82541010008094</v>
      </c>
      <c r="AN75" s="59">
        <f ca="1">AVERAGE(OFFSET($AM$3,0,0,'Données projet'!$E$10+1,1))-AVERAGE(OFFSET($H$3,0,0,'Données projet'!$E$10+1,1))</f>
        <v>294.45857786714919</v>
      </c>
      <c r="AO75" s="59">
        <f t="shared" si="90"/>
        <v>221.9773436301067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32.595478824375562</v>
      </c>
      <c r="AV75" s="21">
        <f>EXP(-LN(2)/25)*AV74+(1-EXP(-LN(2)/25))/(LN(2)/25)*Calculateur!AQ75*Calculateur!AS75*VLOOKUP('Données projet'!$B$10,Paramètres!$A$1:$I$89,3,0)*0.475*44/12</f>
        <v>41.533048003575253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74.128526827950822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179.44051550872138</v>
      </c>
      <c r="BJ75" s="59">
        <f t="shared" si="92"/>
        <v>272.9500808380069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110.40621872684306</v>
      </c>
      <c r="BQ75" s="21">
        <f>EXP(-LN(2)/25)*BQ74+(1-EXP(-LN(2)/25))/(LN(2)/25)*Calculateur!BL75*Calculateur!BN75*VLOOKUP('Données projet'!$B$11,Paramètres!$A$1:$I$89,3,0)*0.475*44/12</f>
        <v>70.374234130993486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180.78045285783656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17</v>
      </c>
      <c r="BY75" s="12">
        <f>IF('Données projet'!$A$114&gt;35,BY74+BX75-CG74,IF(A75&lt;'Données projet'!$A$114,$BV$205^A75,IF(A75='Données projet'!$A$114,'Données projet'!$B$114,BY74+BX75-CG74)))</f>
        <v>415.99999999999989</v>
      </c>
      <c r="BZ75" s="13">
        <f>BY75*VLOOKUP('Données projet'!$B$12,Paramètres!$A$1:$I$89,3,0)*VLOOKUP('Données projet'!$B$12,Paramètres!$A$1:$I$89,5,0)</f>
        <v>194.68799999999996</v>
      </c>
      <c r="CA75" s="13">
        <f t="shared" si="93"/>
        <v>48.574928228914978</v>
      </c>
      <c r="CB75" s="20">
        <f t="shared" si="64"/>
        <v>423.68293333202683</v>
      </c>
      <c r="CC75" s="59">
        <f t="shared" si="65"/>
        <v>717.01626666536015</v>
      </c>
      <c r="CD75" s="59">
        <f ca="1">AVERAGE(OFFSET($CC$3,0,0,'Données projet'!$E$12+1,1))-AVERAGE(OFFSET($H$3,0,0,'Données projet'!$E$12+1,1))</f>
        <v>259.87681411271632</v>
      </c>
      <c r="CE75" s="59">
        <f t="shared" si="94"/>
        <v>191.8684235641158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31.398729800086244</v>
      </c>
      <c r="CL75" s="21">
        <f>EXP(-LN(2)/25)*CL74+(1-EXP(-LN(2)/25))/(LN(2)/25)*Calculateur!CG75*Calculateur!CI75*VLOOKUP('Données projet'!$B$12,Paramètres!$A$1:$I$89,3,0)*0.475*44/12</f>
        <v>48.742553538187465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80.141283338273709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3.6</v>
      </c>
      <c r="CT75" s="12">
        <f>IF('Données projet'!$A$140&gt;35,CT74+CS75-DB74,IF(A75&lt;'Données projet'!$A$140,$CQ$205^A75,IF(A75='Données projet'!$A$140,'Données projet'!$B$140,CT74+CS75-DB74)))</f>
        <v>250.20000000000002</v>
      </c>
      <c r="CU75" s="17">
        <f>CT75*VLOOKUP('Données projet'!$B$13,Paramètres!$A$1:$I$89,3,0)*VLOOKUP('Données projet'!$B$13,Paramètres!$A$1:$I$89,5,0)</f>
        <v>199.05912000000001</v>
      </c>
      <c r="CV75" s="13">
        <f t="shared" si="95"/>
        <v>49.537334064909871</v>
      </c>
      <c r="CW75" s="20">
        <f t="shared" si="67"/>
        <v>432.97215749638468</v>
      </c>
      <c r="CX75" s="59">
        <f t="shared" si="68"/>
        <v>726.305490829718</v>
      </c>
      <c r="CY75" s="59">
        <f ca="1">AVERAGE(OFFSET($CX$3,0,0,'Données projet'!$E$13+1,1))-AVERAGE(OFFSET($H$3,0,0,'Données projet'!$E$13+1,1))</f>
        <v>198.11534486400666</v>
      </c>
      <c r="CZ75" s="59">
        <f t="shared" si="96"/>
        <v>174.29856796517652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3.1189789011171842</v>
      </c>
      <c r="DG75" s="21">
        <f>EXP(-LN(2)/25)*DG74+(1-EXP(-LN(2)/25))/(LN(2)/25)*Calculateur!DB75*Calculateur!DD75*VLOOKUP('Données projet'!$B$13,Paramètres!$A$1:$I$89,3,0)*0.475*44/12</f>
        <v>15.15243988078203</v>
      </c>
      <c r="DH75" s="21">
        <f>EXP(-LN(2)/2)*DH74+(1-EXP(-LN(2)/2))/(LN(2)/2)*DB75*DE75*VLOOKUP('Données projet'!$B$13,Paramètres!$A$1:$I$89,3,0)*0.475*44/12</f>
        <v>1.2135150663713716</v>
      </c>
      <c r="DI75" s="22">
        <f t="shared" si="69"/>
        <v>19.484933848270586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>
        <f>VLOOKUP(A75,'Données projet'!$A$165:$I$185,2,0)</f>
        <v>160</v>
      </c>
      <c r="DM75" s="12">
        <f>VLOOKUP(A75,'Données projet'!$A$165:$I$185,9,0)</f>
        <v>5.75</v>
      </c>
      <c r="DN75" s="12">
        <f t="array" ref="DN75">INDEX(DM:DM,MIN(IF(ISNUMBER(DM75:DM271),ROW(DM75:DM271),"")))</f>
        <v>5.75</v>
      </c>
      <c r="DO75" s="12">
        <f>IF('Données projet'!$A$166&gt;35,DO74+DN75-DW74,IF(A75&lt;'Données projet'!$A$166,$DL$205^A75,IF(A75='Données projet'!$A$166,'Données projet'!$B$166,DO74+DN75-DW74)))</f>
        <v>160</v>
      </c>
      <c r="DP75" s="17">
        <f>DO75*VLOOKUP('Données projet'!$B$14,Paramètres!$A$1:$I$89,3,0)*VLOOKUP('Données projet'!$B$14,Paramètres!$A$1:$I$89,5,0)</f>
        <v>162.24</v>
      </c>
      <c r="DQ75" s="13">
        <f t="shared" si="97"/>
        <v>41.347344120141088</v>
      </c>
      <c r="DR75" s="20">
        <f t="shared" si="70"/>
        <v>354.58129100924572</v>
      </c>
      <c r="DS75" s="59">
        <f t="shared" si="71"/>
        <v>647.91462434257903</v>
      </c>
      <c r="DT75" s="59">
        <f ca="1">AVERAGE(OFFSET($DS$3,0,0,'Données projet'!$E$14+1,1))-AVERAGE(OFFSET($H$3,0,0,'Données projet'!$E$14+1,1))</f>
        <v>247.92503505485405</v>
      </c>
      <c r="DU75" s="59">
        <f t="shared" si="98"/>
        <v>148.26437652597514</v>
      </c>
      <c r="DV75" s="15">
        <f>IF(ISNA(VLOOKUP(A75,'Données projet'!$A$165:$I$185,3,0)),0,VLOOKUP(A75,'Données projet'!$A$165:$I$185,3,0))</f>
        <v>5</v>
      </c>
      <c r="DW75" s="15">
        <f>IF(ISNA(VLOOKUP(A75,'Données projet'!$A$165:$I$185,4,0)),0,VLOOKUP(A75,'Données projet'!$A$165:$I$185,4,0))</f>
        <v>32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0.30099999999999999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21.792502057324434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21.792502057324434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>
        <f>VLOOKUP(A75,'Données projet'!$A$191:$I$211,2,0)</f>
        <v>160</v>
      </c>
      <c r="EH75" s="12">
        <f>VLOOKUP(A75,'Données projet'!$A$191:$I$211,9,0)</f>
        <v>5.75</v>
      </c>
      <c r="EI75" s="12">
        <f t="array" ref="EI75">INDEX(EH:EH,MIN(IF(ISNUMBER(EH75:EH271),ROW(EH75:EH271),"")))</f>
        <v>5.75</v>
      </c>
      <c r="EJ75" s="12">
        <f>IF('Données projet'!$A$192&gt;35,EJ74+EI75-ER74,IF(A75&lt;'Données projet'!$A$192,$EG$205^A75,IF(A75='Données projet'!$A$192,'Données projet'!$B$192,EJ74+EI75-ER74)))</f>
        <v>160</v>
      </c>
      <c r="EK75" s="17">
        <f>EJ75*VLOOKUP('Données projet'!$B$15,Paramètres!$A$1:$I$89,3,0)*VLOOKUP('Données projet'!$B$15,Paramètres!$A$1:$I$89,5,0)</f>
        <v>154.75200000000001</v>
      </c>
      <c r="EL75" s="13">
        <f t="shared" si="99"/>
        <v>39.656526650076415</v>
      </c>
      <c r="EM75" s="20">
        <f t="shared" si="73"/>
        <v>338.59485058221645</v>
      </c>
      <c r="EN75" s="59">
        <f t="shared" si="74"/>
        <v>631.92818391554977</v>
      </c>
      <c r="EO75" s="59">
        <f ca="1">AVERAGE(OFFSET($EN$3,0,0,'Données projet'!$E$15+1,1))-AVERAGE(OFFSET($H$3,0,0,'Données projet'!$E$15+1,1))</f>
        <v>232.99870507181964</v>
      </c>
      <c r="EP75" s="59">
        <f t="shared" si="100"/>
        <v>140.07662669226278</v>
      </c>
      <c r="EQ75" s="15">
        <f>IF(ISNA(VLOOKUP(A75,'Données projet'!$A$191:$I$211,3,0)),0,VLOOKUP(A75,'Données projet'!$A$191:$I$211,3,0))</f>
        <v>5</v>
      </c>
      <c r="ER75" s="15">
        <f>IF(ISNA(VLOOKUP(A75,'Données projet'!$A$191:$I$211,4,0)),0,VLOOKUP(A75,'Données projet'!$A$191:$I$211,4,0))</f>
        <v>32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0.30099999999999999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20.7866942700633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20.7866942700633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3.6</v>
      </c>
      <c r="FE75" s="12">
        <f>IF('Données projet'!$A$218&gt;35,FE74+FD75-FM74,IF(A75&lt;'Données projet'!$A$218,$FB$205^A75,IF(A75='Données projet'!$A$218,'Données projet'!$B$218,FE74+FD75-FM74)))</f>
        <v>250.20000000000002</v>
      </c>
      <c r="FF75" s="17">
        <f>FE75*VLOOKUP('Données projet'!$B$16,Paramètres!$A$1:$I$89,3,0)*VLOOKUP('Données projet'!$B$16,Paramètres!$A$1:$I$89,5,0)</f>
        <v>195.15600000000001</v>
      </c>
      <c r="FG75" s="13">
        <f t="shared" si="101"/>
        <v>48.678088823054175</v>
      </c>
      <c r="FH75" s="20">
        <f t="shared" si="76"/>
        <v>424.67770470015267</v>
      </c>
      <c r="FI75" s="59">
        <f t="shared" si="77"/>
        <v>718.01103803348599</v>
      </c>
      <c r="FJ75" s="59">
        <f ca="1">AVERAGE(OFFSET($FI$3,0,0,'Données projet'!$E$16+1,1))-AVERAGE(OFFSET($H$3,0,0,'Données projet'!$E$16+1,1))</f>
        <v>193.47609744163839</v>
      </c>
      <c r="FK75" s="59">
        <f t="shared" si="102"/>
        <v>170.3221892406973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2.4808748196085633</v>
      </c>
      <c r="FR75" s="21">
        <f>EXP(-LN(2)/25)*FR74+(1-EXP(-LN(2)/25))/(LN(2)/25)*Calculateur!FM75*Calculateur!FO75*VLOOKUP('Données projet'!$B$16,Paramètres!$A$1:$I$89,3,0)*0.475*44/12</f>
        <v>12.052440156744863</v>
      </c>
      <c r="FS75" s="21">
        <f>EXP(-LN(2)/2)*FS74+(1-EXP(-LN(2)/2))/(LN(2)/2)*FM75*FP75*VLOOKUP('Données projet'!$B$16,Paramètres!$A$1:$I$89,3,0)*0.475*44/12</f>
        <v>1.1897206533052664</v>
      </c>
      <c r="FT75" s="22">
        <f t="shared" si="78"/>
        <v>15.723035629658694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>
        <f>FZ75*VLOOKUP('Données projet'!$B$17,Paramètres!$A$1:$I$89,3,0)*VLOOKUP('Données projet'!$B$17,Paramètres!$A$1:$I$89,5,0)</f>
        <v>0</v>
      </c>
      <c r="GB75" s="13" t="e">
        <f t="shared" si="103"/>
        <v>#NUM!</v>
      </c>
      <c r="GC75" s="20" t="e">
        <f t="shared" si="79"/>
        <v>#NUM!</v>
      </c>
      <c r="GD75" s="59" t="e">
        <f t="shared" si="80"/>
        <v>#NUM!</v>
      </c>
      <c r="GE75" s="59">
        <f ca="1">AVERAGE(OFFSET($GD$3,0,0,'Données projet'!$E$17+1,1))-AVERAGE(OFFSET($H$3,0,0,'Données projet'!$E$17+1,1))</f>
        <v>153.43773674911449</v>
      </c>
      <c r="GF75" s="59">
        <f t="shared" si="104"/>
        <v>235.49395036616602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96.605441385987703</v>
      </c>
      <c r="GM75" s="21">
        <f>EXP(-LN(2)/25)*GM74+(1-EXP(-LN(2)/25))/(LN(2)/25)*Calculateur!GH75*Calculateur!GJ75*VLOOKUP('Données projet'!$B$17,Paramètres!$A$1:$I$89,3,0)*0.475*44/12</f>
        <v>61.577454864619284</v>
      </c>
      <c r="GN75" s="21">
        <f>EXP(-LN(2)/2)*GN74+(1-EXP(-LN(2)/2))/(LN(2)/2)*GH75*GK75*VLOOKUP('Données projet'!$B$17,Paramètres!$A$1:$I$89,3,0)*0.475*44/12</f>
        <v>0</v>
      </c>
      <c r="GO75" s="21">
        <f t="shared" si="81"/>
        <v>158.18289625060697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3.6</v>
      </c>
      <c r="GU75" s="12">
        <f>IF('Données projet'!$A$270&gt;35,GU74+GT75-HC74,IF(A75&lt;'Données projet'!$A$270,$GR$205^A75,IF(A75='Données projet'!$A$270,'Données projet'!$B$270,GU74+GT75-HC74)))</f>
        <v>250.20000000000002</v>
      </c>
      <c r="GV75" s="17">
        <f>GU75*VLOOKUP('Données projet'!$B$18,Paramètres!$A$1:$I$89,3,0)*VLOOKUP('Données projet'!$B$18,Paramètres!$A$1:$I$89,5,0)</f>
        <v>199.05912000000001</v>
      </c>
      <c r="GW75" s="13">
        <f t="shared" si="105"/>
        <v>49.537334064909871</v>
      </c>
      <c r="GX75" s="20">
        <f t="shared" si="82"/>
        <v>432.97215749638468</v>
      </c>
      <c r="GY75" s="59">
        <f t="shared" si="83"/>
        <v>726.305490829718</v>
      </c>
      <c r="GZ75" s="59">
        <f ca="1">AVERAGE(OFFSET($GY$3,0,0,'Données projet'!$E$18+1,1))-AVERAGE(OFFSET($H$3,0,0,'Données projet'!$E$18+1,1))</f>
        <v>198.11534486400666</v>
      </c>
      <c r="HA75" s="59">
        <f t="shared" si="106"/>
        <v>174.29856796517652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>
        <f>EXP(-LN(2)/35)*HG74+(1-EXP(-LN(2)/35))/(LN(2)/35)*HC75*HD75*VLOOKUP('Données projet'!$B$18,Paramètres!$A$1:$I$89,3,0)*0.475*44/12</f>
        <v>3.1189789011171842</v>
      </c>
      <c r="HH75" s="21">
        <f>EXP(-LN(2)/25)*HH74+(1-EXP(-LN(2)/25))/(LN(2)/25)*Calculateur!HC75*Calculateur!HE75*VLOOKUP('Données projet'!$B$18,Paramètres!$A$1:$I$89,3,0)*0.475*44/12</f>
        <v>15.15243988078203</v>
      </c>
      <c r="HI75" s="21">
        <f>EXP(-LN(2)/2)*HI74+(1-EXP(-LN(2)/2))/(LN(2)/2)*HC75*HF75*VLOOKUP('Données projet'!$B$18,Paramètres!$A$1:$I$89,3,0)*0.475*44/12</f>
        <v>1.2135150663713716</v>
      </c>
      <c r="HJ75" s="22">
        <f t="shared" si="84"/>
        <v>19.484933848270586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6</v>
      </c>
      <c r="N76" s="13">
        <f>IF('Données projet'!$A$36&gt;35,N75+M76-V75,IF(A76&lt;'Données projet'!$A$36,$K$205^A76,IF(A76='Données projet'!$A$36,'Données projet'!$B$36,N75+M76-V75)))</f>
        <v>414.00000000000023</v>
      </c>
      <c r="O76" s="13">
        <f>N76*VLOOKUP('Données projet'!$B$9,Paramètres!$A$1:$I$89,3,0)*VLOOKUP('Données projet'!$B$9,Paramètres!$A$1:$I$89,5,0)</f>
        <v>247.57200000000014</v>
      </c>
      <c r="P76" s="13">
        <f t="shared" si="87"/>
        <v>60.065726249156576</v>
      </c>
      <c r="Q76" s="20">
        <f t="shared" si="54"/>
        <v>535.80237321728134</v>
      </c>
      <c r="R76" s="59">
        <f t="shared" si="55"/>
        <v>829.13570655061471</v>
      </c>
      <c r="S76" s="59">
        <f ca="1">AVERAGE(OFFSET($R$3,0,0,'Données projet'!$E$9+1,1))-AVERAGE(OFFSET($H$3,0,0,'Données projet'!$E$9+1,1))</f>
        <v>295.19075440119076</v>
      </c>
      <c r="T76" s="59">
        <f t="shared" si="88"/>
        <v>173.0182327988216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6.9536246584830721</v>
      </c>
      <c r="AA76" s="21">
        <f>EXP(-LN(2)/25)*AA75+(1-EXP(-LN(2)/25))/(LN(2)/25)*Calculateur!V76*Calculateur!X76*VLOOKUP('Données projet'!$B$9,Paramètres!$A$1:$I$89,3,0)*0.475*44/12</f>
        <v>17.958295138714824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24.911919797197896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12.875</v>
      </c>
      <c r="AI76" s="13">
        <f>IF('Données projet'!$A$62&gt;35,AI75+AH76-AQ75,IF(A76&lt;'Données projet'!$A$62,$AF$205^A76,IF(A76='Données projet'!$A$62,'Données projet'!$B$62,AI75+AH76-AQ75)))</f>
        <v>520.125</v>
      </c>
      <c r="AJ76" s="13">
        <f>AI76*VLOOKUP('Données projet'!$B$10,Paramètres!$A$1:$I$89,3,0)*VLOOKUP('Données projet'!$B$10,Paramètres!$A$1:$I$89,5,0)</f>
        <v>311.03475000000003</v>
      </c>
      <c r="AK76" s="13">
        <f t="shared" si="89"/>
        <v>73.484885227728896</v>
      </c>
      <c r="AL76" s="20">
        <f t="shared" si="58"/>
        <v>669.70503135496119</v>
      </c>
      <c r="AM76" s="59">
        <f t="shared" si="59"/>
        <v>963.03836468829445</v>
      </c>
      <c r="AN76" s="59">
        <f ca="1">AVERAGE(OFFSET($AM$3,0,0,'Données projet'!$E$10+1,1))-AVERAGE(OFFSET($H$3,0,0,'Données projet'!$E$10+1,1))</f>
        <v>294.45857786714919</v>
      </c>
      <c r="AO76" s="59">
        <f t="shared" si="90"/>
        <v>221.9773436301067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31.956301365908526</v>
      </c>
      <c r="AV76" s="21">
        <f>EXP(-LN(2)/25)*AV75+(1-EXP(-LN(2)/25))/(LN(2)/25)*Calculateur!AQ76*Calculateur!AS76*VLOOKUP('Données projet'!$B$10,Paramètres!$A$1:$I$89,3,0)*0.475*44/12</f>
        <v>40.397324621789416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72.353625987697939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179.44051550872138</v>
      </c>
      <c r="BJ76" s="59">
        <f t="shared" si="92"/>
        <v>272.9500808380069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108.24122011875372</v>
      </c>
      <c r="BQ76" s="21">
        <f>EXP(-LN(2)/25)*BQ75+(1-EXP(-LN(2)/25))/(LN(2)/25)*Calculateur!BL76*Calculateur!BN76*VLOOKUP('Données projet'!$B$11,Paramètres!$A$1:$I$89,3,0)*0.475*44/12</f>
        <v>68.449846997861343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176.69106711661505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17</v>
      </c>
      <c r="BY76" s="12">
        <f>IF('Données projet'!$A$114&gt;35,BY75+BX76-CG75,IF(A76&lt;'Données projet'!$A$114,$BV$205^A76,IF(A76='Données projet'!$A$114,'Données projet'!$B$114,BY75+BX76-CG75)))</f>
        <v>432.99999999999989</v>
      </c>
      <c r="BZ76" s="13">
        <f>BY76*VLOOKUP('Données projet'!$B$12,Paramètres!$A$1:$I$89,3,0)*VLOOKUP('Données projet'!$B$12,Paramètres!$A$1:$I$89,5,0)</f>
        <v>202.64399999999998</v>
      </c>
      <c r="CA76" s="13">
        <f t="shared" si="93"/>
        <v>50.324794005167568</v>
      </c>
      <c r="CB76" s="20">
        <f t="shared" si="64"/>
        <v>440.58731622566683</v>
      </c>
      <c r="CC76" s="59">
        <f t="shared" si="65"/>
        <v>733.92064955900014</v>
      </c>
      <c r="CD76" s="59">
        <f ca="1">AVERAGE(OFFSET($CC$3,0,0,'Données projet'!$E$12+1,1))-AVERAGE(OFFSET($H$3,0,0,'Données projet'!$E$12+1,1))</f>
        <v>259.87681411271632</v>
      </c>
      <c r="CE76" s="59">
        <f t="shared" si="94"/>
        <v>191.8684235641158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30.783019860040692</v>
      </c>
      <c r="CL76" s="21">
        <f>EXP(-LN(2)/25)*CL75+(1-EXP(-LN(2)/25))/(LN(2)/25)*Calculateur!CG76*Calculateur!CI76*VLOOKUP('Données projet'!$B$12,Paramètres!$A$1:$I$89,3,0)*0.475*44/12</f>
        <v>47.409685848426243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78.192705708466931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3.6</v>
      </c>
      <c r="CT76" s="12">
        <f>IF('Données projet'!$A$140&gt;35,CT75+CS76-DB75,IF(A76&lt;'Données projet'!$A$140,$CQ$205^A76,IF(A76='Données projet'!$A$140,'Données projet'!$B$140,CT75+CS76-DB75)))</f>
        <v>253.8</v>
      </c>
      <c r="CU76" s="17">
        <f>CT76*VLOOKUP('Données projet'!$B$13,Paramètres!$A$1:$I$89,3,0)*VLOOKUP('Données projet'!$B$13,Paramètres!$A$1:$I$89,5,0)</f>
        <v>201.92328000000003</v>
      </c>
      <c r="CV76" s="13">
        <f t="shared" si="95"/>
        <v>50.166610737265351</v>
      </c>
      <c r="CW76" s="20">
        <f t="shared" si="67"/>
        <v>439.05655970073718</v>
      </c>
      <c r="CX76" s="59">
        <f t="shared" si="68"/>
        <v>732.3898930340705</v>
      </c>
      <c r="CY76" s="59">
        <f ca="1">AVERAGE(OFFSET($CX$3,0,0,'Données projet'!$E$13+1,1))-AVERAGE(OFFSET($H$3,0,0,'Données projet'!$E$13+1,1))</f>
        <v>198.11534486400666</v>
      </c>
      <c r="CZ76" s="59">
        <f t="shared" si="96"/>
        <v>174.29856796517652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3.0578176272555604</v>
      </c>
      <c r="DG76" s="21">
        <f>EXP(-LN(2)/25)*DG75+(1-EXP(-LN(2)/25))/(LN(2)/25)*Calculateur!DB76*Calculateur!DD76*VLOOKUP('Données projet'!$B$13,Paramètres!$A$1:$I$89,3,0)*0.475*44/12</f>
        <v>14.738095615409863</v>
      </c>
      <c r="DH76" s="21">
        <f>EXP(-LN(2)/2)*DH75+(1-EXP(-LN(2)/2))/(LN(2)/2)*DB76*DE76*VLOOKUP('Données projet'!$B$13,Paramètres!$A$1:$I$89,3,0)*0.475*44/12</f>
        <v>0.85808473250324024</v>
      </c>
      <c r="DI76" s="22">
        <f t="shared" si="69"/>
        <v>18.653997975168664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</v>
      </c>
      <c r="DO76" s="12">
        <f>IF('Données projet'!$A$166&gt;35,DO75+DN76-DW75,IF(A76&lt;'Données projet'!$A$166,$DL$205^A76,IF(A76='Données projet'!$A$166,'Données projet'!$B$166,DO75+DN76-DW75)))</f>
        <v>133</v>
      </c>
      <c r="DP76" s="17">
        <f>DO76*VLOOKUP('Données projet'!$B$14,Paramètres!$A$1:$I$89,3,0)*VLOOKUP('Données projet'!$B$14,Paramètres!$A$1:$I$89,5,0)</f>
        <v>134.86200000000002</v>
      </c>
      <c r="DQ76" s="13">
        <f t="shared" si="97"/>
        <v>35.11741273245844</v>
      </c>
      <c r="DR76" s="20">
        <f t="shared" si="70"/>
        <v>296.04747717569848</v>
      </c>
      <c r="DS76" s="59">
        <f t="shared" si="71"/>
        <v>589.38081050903179</v>
      </c>
      <c r="DT76" s="59">
        <f ca="1">AVERAGE(OFFSET($DS$3,0,0,'Données projet'!$E$14+1,1))-AVERAGE(OFFSET($H$3,0,0,'Données projet'!$E$14+1,1))</f>
        <v>247.92503505485405</v>
      </c>
      <c r="DU76" s="59">
        <f t="shared" si="98"/>
        <v>148.26437652597514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21.19658494254902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21.19658494254902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5</v>
      </c>
      <c r="EJ76" s="12">
        <f>IF('Données projet'!$A$192&gt;35,EJ75+EI76-ER75,IF(A76&lt;'Données projet'!$A$192,$EG$205^A76,IF(A76='Données projet'!$A$192,'Données projet'!$B$192,EJ75+EI76-ER75)))</f>
        <v>133</v>
      </c>
      <c r="EK76" s="17">
        <f>EJ76*VLOOKUP('Données projet'!$B$15,Paramètres!$A$1:$I$89,3,0)*VLOOKUP('Données projet'!$B$15,Paramètres!$A$1:$I$89,5,0)</f>
        <v>128.63759999999999</v>
      </c>
      <c r="EL76" s="13">
        <f t="shared" si="99"/>
        <v>33.681355926028921</v>
      </c>
      <c r="EM76" s="20">
        <f t="shared" si="73"/>
        <v>282.70551490450038</v>
      </c>
      <c r="EN76" s="59">
        <f t="shared" si="74"/>
        <v>576.03884823783369</v>
      </c>
      <c r="EO76" s="59">
        <f ca="1">AVERAGE(OFFSET($EN$3,0,0,'Données projet'!$E$15+1,1))-AVERAGE(OFFSET($H$3,0,0,'Données projet'!$E$15+1,1))</f>
        <v>232.99870507181964</v>
      </c>
      <c r="EP76" s="59">
        <f t="shared" si="100"/>
        <v>140.07662669226278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20.218281022123676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20.218281022123676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3.6</v>
      </c>
      <c r="FE76" s="12">
        <f>IF('Données projet'!$A$218&gt;35,FE75+FD76-FM75,IF(A76&lt;'Données projet'!$A$218,$FB$205^A76,IF(A76='Données projet'!$A$218,'Données projet'!$B$218,FE75+FD76-FM75)))</f>
        <v>253.8</v>
      </c>
      <c r="FF76" s="17">
        <f>FE76*VLOOKUP('Données projet'!$B$16,Paramètres!$A$1:$I$89,3,0)*VLOOKUP('Données projet'!$B$16,Paramètres!$A$1:$I$89,5,0)</f>
        <v>197.96400000000003</v>
      </c>
      <c r="FG76" s="13">
        <f t="shared" si="101"/>
        <v>49.296450435147761</v>
      </c>
      <c r="FH76" s="20">
        <f t="shared" si="76"/>
        <v>430.64528450788242</v>
      </c>
      <c r="FI76" s="59">
        <f t="shared" si="77"/>
        <v>723.97861784121574</v>
      </c>
      <c r="FJ76" s="59">
        <f ca="1">AVERAGE(OFFSET($FI$3,0,0,'Données projet'!$E$16+1,1))-AVERAGE(OFFSET($H$3,0,0,'Données projet'!$E$16+1,1))</f>
        <v>193.47609744163839</v>
      </c>
      <c r="FK76" s="59">
        <f t="shared" si="102"/>
        <v>170.3221892406973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2.4322263775802648</v>
      </c>
      <c r="FR76" s="21">
        <f>EXP(-LN(2)/25)*FR75+(1-EXP(-LN(2)/25))/(LN(2)/25)*Calculateur!FM76*Calculateur!FO76*VLOOKUP('Données projet'!$B$16,Paramètres!$A$1:$I$89,3,0)*0.475*44/12</f>
        <v>11.722865546848393</v>
      </c>
      <c r="FS76" s="21">
        <f>EXP(-LN(2)/2)*FS75+(1-EXP(-LN(2)/2))/(LN(2)/2)*FM76*FP76*VLOOKUP('Données projet'!$B$16,Paramètres!$A$1:$I$89,3,0)*0.475*44/12</f>
        <v>0.84125954166984351</v>
      </c>
      <c r="FT76" s="22">
        <f t="shared" si="78"/>
        <v>14.996351466098501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>
        <f>FZ76*VLOOKUP('Données projet'!$B$17,Paramètres!$A$1:$I$89,3,0)*VLOOKUP('Données projet'!$B$17,Paramètres!$A$1:$I$89,5,0)</f>
        <v>0</v>
      </c>
      <c r="GB76" s="13" t="e">
        <f t="shared" si="103"/>
        <v>#NUM!</v>
      </c>
      <c r="GC76" s="20" t="e">
        <f t="shared" si="79"/>
        <v>#NUM!</v>
      </c>
      <c r="GD76" s="59" t="e">
        <f t="shared" si="80"/>
        <v>#NUM!</v>
      </c>
      <c r="GE76" s="59">
        <f ca="1">AVERAGE(OFFSET($GD$3,0,0,'Données projet'!$E$17+1,1))-AVERAGE(OFFSET($H$3,0,0,'Données projet'!$E$17+1,1))</f>
        <v>153.43773674911449</v>
      </c>
      <c r="GF76" s="59">
        <f t="shared" si="104"/>
        <v>235.49395036616602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94.711067603909513</v>
      </c>
      <c r="GM76" s="21">
        <f>EXP(-LN(2)/25)*GM75+(1-EXP(-LN(2)/25))/(LN(2)/25)*Calculateur!GH76*Calculateur!GJ76*VLOOKUP('Données projet'!$B$17,Paramètres!$A$1:$I$89,3,0)*0.475*44/12</f>
        <v>59.893616123128659</v>
      </c>
      <c r="GN76" s="21">
        <f>EXP(-LN(2)/2)*GN75+(1-EXP(-LN(2)/2))/(LN(2)/2)*GH76*GK76*VLOOKUP('Données projet'!$B$17,Paramètres!$A$1:$I$89,3,0)*0.475*44/12</f>
        <v>0</v>
      </c>
      <c r="GO76" s="21">
        <f t="shared" si="81"/>
        <v>154.60468372703818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3.6</v>
      </c>
      <c r="GU76" s="12">
        <f>IF('Données projet'!$A$270&gt;35,GU75+GT76-HC75,IF(A76&lt;'Données projet'!$A$270,$GR$205^A76,IF(A76='Données projet'!$A$270,'Données projet'!$B$270,GU75+GT76-HC75)))</f>
        <v>253.8</v>
      </c>
      <c r="GV76" s="17">
        <f>GU76*VLOOKUP('Données projet'!$B$18,Paramètres!$A$1:$I$89,3,0)*VLOOKUP('Données projet'!$B$18,Paramètres!$A$1:$I$89,5,0)</f>
        <v>201.92328000000003</v>
      </c>
      <c r="GW76" s="13">
        <f t="shared" si="105"/>
        <v>50.166610737265351</v>
      </c>
      <c r="GX76" s="20">
        <f t="shared" si="82"/>
        <v>439.05655970073718</v>
      </c>
      <c r="GY76" s="59">
        <f t="shared" si="83"/>
        <v>732.3898930340705</v>
      </c>
      <c r="GZ76" s="59">
        <f ca="1">AVERAGE(OFFSET($GY$3,0,0,'Données projet'!$E$18+1,1))-AVERAGE(OFFSET($H$3,0,0,'Données projet'!$E$18+1,1))</f>
        <v>198.11534486400666</v>
      </c>
      <c r="HA76" s="59">
        <f t="shared" si="106"/>
        <v>174.29856796517652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>
        <f>EXP(-LN(2)/35)*HG75+(1-EXP(-LN(2)/35))/(LN(2)/35)*HC76*HD76*VLOOKUP('Données projet'!$B$18,Paramètres!$A$1:$I$89,3,0)*0.475*44/12</f>
        <v>3.0578176272555604</v>
      </c>
      <c r="HH76" s="21">
        <f>EXP(-LN(2)/25)*HH75+(1-EXP(-LN(2)/25))/(LN(2)/25)*Calculateur!HC76*Calculateur!HE76*VLOOKUP('Données projet'!$B$18,Paramètres!$A$1:$I$89,3,0)*0.475*44/12</f>
        <v>14.738095615409863</v>
      </c>
      <c r="HI76" s="21">
        <f>EXP(-LN(2)/2)*HI75+(1-EXP(-LN(2)/2))/(LN(2)/2)*HC76*HF76*VLOOKUP('Données projet'!$B$18,Paramètres!$A$1:$I$89,3,0)*0.475*44/12</f>
        <v>0.85808473250324024</v>
      </c>
      <c r="HJ76" s="22">
        <f t="shared" si="84"/>
        <v>18.653997975168664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</v>
      </c>
      <c r="N77" s="13">
        <f>IF('Données projet'!$A$36&gt;35,N76+M77-V76,IF(A77&lt;'Données projet'!$A$36,$K$205^A77,IF(A77='Données projet'!$A$36,'Données projet'!$B$36,N76+M77-V76)))</f>
        <v>420.00000000000023</v>
      </c>
      <c r="O77" s="13">
        <f>N77*VLOOKUP('Données projet'!$B$9,Paramètres!$A$1:$I$89,3,0)*VLOOKUP('Données projet'!$B$9,Paramètres!$A$1:$I$89,5,0)</f>
        <v>251.16000000000014</v>
      </c>
      <c r="P77" s="13">
        <f t="shared" si="87"/>
        <v>60.834270430141594</v>
      </c>
      <c r="Q77" s="20">
        <f t="shared" si="54"/>
        <v>543.39002099916354</v>
      </c>
      <c r="R77" s="59">
        <f t="shared" si="55"/>
        <v>836.72335433249691</v>
      </c>
      <c r="S77" s="59">
        <f ca="1">AVERAGE(OFFSET($R$3,0,0,'Données projet'!$E$9+1,1))-AVERAGE(OFFSET($H$3,0,0,'Données projet'!$E$9+1,1))</f>
        <v>295.19075440119076</v>
      </c>
      <c r="T77" s="59">
        <f t="shared" si="88"/>
        <v>173.0182327988216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6.8172683202224675</v>
      </c>
      <c r="AA77" s="21">
        <f>EXP(-LN(2)/25)*AA76+(1-EXP(-LN(2)/25))/(LN(2)/25)*Calculateur!V77*Calculateur!X77*VLOOKUP('Données projet'!$B$9,Paramètres!$A$1:$I$89,3,0)*0.475*44/12</f>
        <v>17.467224613760969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24.284492933983437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>
        <f>VLOOKUP(A77,'Données projet'!$A$61:$I$81,2,0)</f>
        <v>533</v>
      </c>
      <c r="AG77" s="12">
        <f>VLOOKUP(A77,'Données projet'!$A$61:$I$81,9,0)</f>
        <v>12.875</v>
      </c>
      <c r="AH77" s="12">
        <f t="array" ref="AH77">INDEX(AG:AG,MIN(IF(ISNUMBER(AG77:AG273),ROW(AG77:AG273),"")))</f>
        <v>12.875</v>
      </c>
      <c r="AI77" s="13">
        <f>IF('Données projet'!$A$62&gt;35,AI76+AH77-AQ76,IF(A77&lt;'Données projet'!$A$62,$AF$205^A77,IF(A77='Données projet'!$A$62,'Données projet'!$B$62,AI76+AH77-AQ76)))</f>
        <v>533</v>
      </c>
      <c r="AJ77" s="13">
        <f>AI77*VLOOKUP('Données projet'!$B$10,Paramètres!$A$1:$I$89,3,0)*VLOOKUP('Données projet'!$B$10,Paramètres!$A$1:$I$89,5,0)</f>
        <v>318.73400000000004</v>
      </c>
      <c r="AK77" s="13">
        <f t="shared" si="89"/>
        <v>75.089876999925679</v>
      </c>
      <c r="AL77" s="20">
        <f t="shared" si="58"/>
        <v>685.90991910820378</v>
      </c>
      <c r="AM77" s="59">
        <f t="shared" si="59"/>
        <v>979.24325244153715</v>
      </c>
      <c r="AN77" s="59">
        <f ca="1">AVERAGE(OFFSET($AM$3,0,0,'Données projet'!$E$10+1,1))-AVERAGE(OFFSET($H$3,0,0,'Données projet'!$E$10+1,1))</f>
        <v>294.45857786714919</v>
      </c>
      <c r="AO77" s="59">
        <f t="shared" si="90"/>
        <v>221.9773436301067</v>
      </c>
      <c r="AP77" s="15">
        <f>IF(ISNA(VLOOKUP(A77,'Données projet'!$A$61:$I$81,3,0)),0,VLOOKUP(A77,'Données projet'!$A$61:$I$81,3,0))</f>
        <v>10</v>
      </c>
      <c r="AQ77" s="15">
        <f>IF(ISNA(VLOOKUP(A77,'Données projet'!$A$61:$I$81,4,0)),0,VLOOKUP(A77,'Données projet'!$A$61:$I$81,4,0))</f>
        <v>37</v>
      </c>
      <c r="AR77" s="16">
        <f>IF(ISNA(VLOOKUP(A77,'Données projet'!$A$61:$I$81,5,0)),0%,VLOOKUP(A77,'Données projet'!$A$61:$I$81,5,0)*VLOOKUP('Données projet'!$B$10,Paramètres!$A$1:$I$89,7,0))</f>
        <v>0.315</v>
      </c>
      <c r="AS77" s="16">
        <f>IF(ISNA(VLOOKUP(A77,'Données projet'!$A$61:$I$81,6,0)),0%,VLOOKUP(A77,'Données projet'!$A$61:$I$81,6,0)*VLOOKUP('Données projet'!$B$10,Paramètres!$A$1:$I$89,7,0))</f>
        <v>0.13500000000000001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40.575400806974685</v>
      </c>
      <c r="AV77" s="21">
        <f>EXP(-LN(2)/25)*AV76+(1-EXP(-LN(2)/25))/(LN(2)/25)*Calculateur!AQ77*Calculateur!AS77*VLOOKUP('Données projet'!$B$10,Paramètres!$A$1:$I$89,3,0)*0.475*44/12</f>
        <v>43.239517229715311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83.814918036689988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179.44051550872138</v>
      </c>
      <c r="BJ77" s="59">
        <f t="shared" si="92"/>
        <v>272.9500808380069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106.11867581285023</v>
      </c>
      <c r="BQ77" s="21">
        <f>EXP(-LN(2)/25)*BQ76+(1-EXP(-LN(2)/25))/(LN(2)/25)*Calculateur!BL77*Calculateur!BN77*VLOOKUP('Données projet'!$B$11,Paramètres!$A$1:$I$89,3,0)*0.475*44/12</f>
        <v>66.57808233208381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172.69675814493405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17</v>
      </c>
      <c r="BY77" s="12">
        <f>IF('Données projet'!$A$114&gt;35,BY76+BX77-CG76,IF(A77&lt;'Données projet'!$A$114,$BV$205^A77,IF(A77='Données projet'!$A$114,'Données projet'!$B$114,BY76+BX77-CG76)))</f>
        <v>449.99999999999989</v>
      </c>
      <c r="BZ77" s="13">
        <f>BY77*VLOOKUP('Données projet'!$B$12,Paramètres!$A$1:$I$89,3,0)*VLOOKUP('Données projet'!$B$12,Paramètres!$A$1:$I$89,5,0)</f>
        <v>210.59999999999994</v>
      </c>
      <c r="CA77" s="13">
        <f t="shared" si="93"/>
        <v>52.066679014659961</v>
      </c>
      <c r="CB77" s="20">
        <f t="shared" si="64"/>
        <v>457.47779928386598</v>
      </c>
      <c r="CC77" s="59">
        <f t="shared" si="65"/>
        <v>750.81113261719929</v>
      </c>
      <c r="CD77" s="59">
        <f ca="1">AVERAGE(OFFSET($CC$3,0,0,'Données projet'!$E$12+1,1))-AVERAGE(OFFSET($H$3,0,0,'Données projet'!$E$12+1,1))</f>
        <v>259.87681411271632</v>
      </c>
      <c r="CE77" s="59">
        <f t="shared" si="94"/>
        <v>191.8684235641158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30.179383616373453</v>
      </c>
      <c r="CL77" s="21">
        <f>EXP(-LN(2)/25)*CL76+(1-EXP(-LN(2)/25))/(LN(2)/25)*Calculateur!CG77*Calculateur!CI77*VLOOKUP('Données projet'!$B$12,Paramètres!$A$1:$I$89,3,0)*0.475*44/12</f>
        <v>46.113265495734005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76.292649112107455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3.6</v>
      </c>
      <c r="CT77" s="12">
        <f>IF('Données projet'!$A$140&gt;35,CT76+CS77-DB76,IF(A77&lt;'Données projet'!$A$140,$CQ$205^A77,IF(A77='Données projet'!$A$140,'Données projet'!$B$140,CT76+CS77-DB76)))</f>
        <v>257.40000000000003</v>
      </c>
      <c r="CU77" s="17">
        <f>CT77*VLOOKUP('Données projet'!$B$13,Paramètres!$A$1:$I$89,3,0)*VLOOKUP('Données projet'!$B$13,Paramètres!$A$1:$I$89,5,0)</f>
        <v>204.78744000000006</v>
      </c>
      <c r="CV77" s="13">
        <f t="shared" si="95"/>
        <v>50.794849254094323</v>
      </c>
      <c r="CW77" s="20">
        <f t="shared" si="67"/>
        <v>445.13915378421433</v>
      </c>
      <c r="CX77" s="59">
        <f t="shared" si="68"/>
        <v>738.47248711754764</v>
      </c>
      <c r="CY77" s="59">
        <f ca="1">AVERAGE(OFFSET($CX$3,0,0,'Données projet'!$E$13+1,1))-AVERAGE(OFFSET($H$3,0,0,'Données projet'!$E$13+1,1))</f>
        <v>198.11534486400666</v>
      </c>
      <c r="CZ77" s="59">
        <f t="shared" si="96"/>
        <v>174.29856796517652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2.9978556886696697</v>
      </c>
      <c r="DG77" s="21">
        <f>EXP(-LN(2)/25)*DG76+(1-EXP(-LN(2)/25))/(LN(2)/25)*Calculateur!DB77*Calculateur!DD77*VLOOKUP('Données projet'!$B$13,Paramètres!$A$1:$I$89,3,0)*0.475*44/12</f>
        <v>14.335081615763716</v>
      </c>
      <c r="DH77" s="21">
        <f>EXP(-LN(2)/2)*DH76+(1-EXP(-LN(2)/2))/(LN(2)/2)*DB77*DE77*VLOOKUP('Données projet'!$B$13,Paramètres!$A$1:$I$89,3,0)*0.475*44/12</f>
        <v>0.60675753318568593</v>
      </c>
      <c r="DI77" s="22">
        <f t="shared" si="69"/>
        <v>17.939694837619072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</v>
      </c>
      <c r="DO77" s="12">
        <f>IF('Données projet'!$A$166&gt;35,DO76+DN77-DW76,IF(A77&lt;'Données projet'!$A$166,$DL$205^A77,IF(A77='Données projet'!$A$166,'Données projet'!$B$166,DO76+DN77-DW76)))</f>
        <v>138</v>
      </c>
      <c r="DP77" s="17">
        <f>DO77*VLOOKUP('Données projet'!$B$14,Paramètres!$A$1:$I$89,3,0)*VLOOKUP('Données projet'!$B$14,Paramètres!$A$1:$I$89,5,0)</f>
        <v>139.93200000000002</v>
      </c>
      <c r="DQ77" s="13">
        <f t="shared" si="97"/>
        <v>36.281427209452353</v>
      </c>
      <c r="DR77" s="20">
        <f t="shared" si="70"/>
        <v>306.90505238979614</v>
      </c>
      <c r="DS77" s="59">
        <f t="shared" si="71"/>
        <v>600.23838572312945</v>
      </c>
      <c r="DT77" s="59">
        <f ca="1">AVERAGE(OFFSET($DS$3,0,0,'Données projet'!$E$14+1,1))-AVERAGE(OFFSET($H$3,0,0,'Données projet'!$E$14+1,1))</f>
        <v>247.92503505485405</v>
      </c>
      <c r="DU77" s="59">
        <f t="shared" si="98"/>
        <v>148.26437652597514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20.616963212615062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20.616963212615062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5</v>
      </c>
      <c r="EJ77" s="12">
        <f>IF('Données projet'!$A$192&gt;35,EJ76+EI77-ER76,IF(A77&lt;'Données projet'!$A$192,$EG$205^A77,IF(A77='Données projet'!$A$192,'Données projet'!$B$192,EJ76+EI77-ER76)))</f>
        <v>138</v>
      </c>
      <c r="EK77" s="17">
        <f>EJ77*VLOOKUP('Données projet'!$B$15,Paramètres!$A$1:$I$89,3,0)*VLOOKUP('Données projet'!$B$15,Paramètres!$A$1:$I$89,5,0)</f>
        <v>133.4736</v>
      </c>
      <c r="EL77" s="13">
        <f t="shared" si="99"/>
        <v>34.797770344180101</v>
      </c>
      <c r="EM77" s="20">
        <f t="shared" si="73"/>
        <v>293.07263668278034</v>
      </c>
      <c r="EN77" s="59">
        <f t="shared" si="74"/>
        <v>586.40597001611366</v>
      </c>
      <c r="EO77" s="59">
        <f ca="1">AVERAGE(OFFSET($EN$3,0,0,'Données projet'!$E$15+1,1))-AVERAGE(OFFSET($H$3,0,0,'Données projet'!$E$15+1,1))</f>
        <v>232.99870507181964</v>
      </c>
      <c r="EP77" s="59">
        <f t="shared" si="100"/>
        <v>140.07662669226278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19.665411064340514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19.665411064340514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3.6</v>
      </c>
      <c r="FE77" s="12">
        <f>IF('Données projet'!$A$218&gt;35,FE76+FD77-FM76,IF(A77&lt;'Données projet'!$A$218,$FB$205^A77,IF(A77='Données projet'!$A$218,'Données projet'!$B$218,FE76+FD77-FM76)))</f>
        <v>257.40000000000003</v>
      </c>
      <c r="FF77" s="17">
        <f>FE77*VLOOKUP('Données projet'!$B$16,Paramètres!$A$1:$I$89,3,0)*VLOOKUP('Données projet'!$B$16,Paramètres!$A$1:$I$89,5,0)</f>
        <v>200.77200000000002</v>
      </c>
      <c r="FG77" s="13">
        <f t="shared" si="101"/>
        <v>49.913791898945412</v>
      </c>
      <c r="FH77" s="20">
        <f t="shared" si="76"/>
        <v>436.61108755732994</v>
      </c>
      <c r="FI77" s="59">
        <f t="shared" si="77"/>
        <v>729.9444208906632</v>
      </c>
      <c r="FJ77" s="59">
        <f ca="1">AVERAGE(OFFSET($FI$3,0,0,'Données projet'!$E$16+1,1))-AVERAGE(OFFSET($H$3,0,0,'Données projet'!$E$16+1,1))</f>
        <v>193.47609744163839</v>
      </c>
      <c r="FK77" s="59">
        <f t="shared" si="102"/>
        <v>170.3221892406973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2.3845319018275215</v>
      </c>
      <c r="FR77" s="21">
        <f>EXP(-LN(2)/25)*FR76+(1-EXP(-LN(2)/25))/(LN(2)/25)*Calculateur!FM77*Calculateur!FO77*VLOOKUP('Données projet'!$B$16,Paramètres!$A$1:$I$89,3,0)*0.475*44/12</f>
        <v>11.402303171991118</v>
      </c>
      <c r="FS77" s="21">
        <f>EXP(-LN(2)/2)*FS76+(1-EXP(-LN(2)/2))/(LN(2)/2)*FM77*FP77*VLOOKUP('Données projet'!$B$16,Paramètres!$A$1:$I$89,3,0)*0.475*44/12</f>
        <v>0.59486032665263333</v>
      </c>
      <c r="FT77" s="22">
        <f t="shared" si="78"/>
        <v>14.381695400471273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>
        <f>FZ77*VLOOKUP('Données projet'!$B$17,Paramètres!$A$1:$I$89,3,0)*VLOOKUP('Données projet'!$B$17,Paramètres!$A$1:$I$89,5,0)</f>
        <v>0</v>
      </c>
      <c r="GB77" s="13" t="e">
        <f t="shared" si="103"/>
        <v>#NUM!</v>
      </c>
      <c r="GC77" s="20" t="e">
        <f t="shared" si="79"/>
        <v>#NUM!</v>
      </c>
      <c r="GD77" s="59" t="e">
        <f t="shared" si="80"/>
        <v>#NUM!</v>
      </c>
      <c r="GE77" s="59">
        <f ca="1">AVERAGE(OFFSET($GD$3,0,0,'Données projet'!$E$17+1,1))-AVERAGE(OFFSET($H$3,0,0,'Données projet'!$E$17+1,1))</f>
        <v>153.43773674911449</v>
      </c>
      <c r="GF77" s="59">
        <f t="shared" si="104"/>
        <v>235.49395036616602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92.85384133624396</v>
      </c>
      <c r="GM77" s="21">
        <f>EXP(-LN(2)/25)*GM76+(1-EXP(-LN(2)/25))/(LN(2)/25)*Calculateur!GH77*Calculateur!GJ77*VLOOKUP('Données projet'!$B$17,Paramètres!$A$1:$I$89,3,0)*0.475*44/12</f>
        <v>58.255822040573321</v>
      </c>
      <c r="GN77" s="21">
        <f>EXP(-LN(2)/2)*GN76+(1-EXP(-LN(2)/2))/(LN(2)/2)*GH77*GK77*VLOOKUP('Données projet'!$B$17,Paramètres!$A$1:$I$89,3,0)*0.475*44/12</f>
        <v>0</v>
      </c>
      <c r="GO77" s="21">
        <f t="shared" si="81"/>
        <v>151.10966337681728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3.6</v>
      </c>
      <c r="GU77" s="12">
        <f>IF('Données projet'!$A$270&gt;35,GU76+GT77-HC76,IF(A77&lt;'Données projet'!$A$270,$GR$205^A77,IF(A77='Données projet'!$A$270,'Données projet'!$B$270,GU76+GT77-HC76)))</f>
        <v>257.40000000000003</v>
      </c>
      <c r="GV77" s="17">
        <f>GU77*VLOOKUP('Données projet'!$B$18,Paramètres!$A$1:$I$89,3,0)*VLOOKUP('Données projet'!$B$18,Paramètres!$A$1:$I$89,5,0)</f>
        <v>204.78744000000006</v>
      </c>
      <c r="GW77" s="13">
        <f t="shared" si="105"/>
        <v>50.794849254094323</v>
      </c>
      <c r="GX77" s="20">
        <f t="shared" si="82"/>
        <v>445.13915378421433</v>
      </c>
      <c r="GY77" s="59">
        <f t="shared" si="83"/>
        <v>738.47248711754764</v>
      </c>
      <c r="GZ77" s="59">
        <f ca="1">AVERAGE(OFFSET($GY$3,0,0,'Données projet'!$E$18+1,1))-AVERAGE(OFFSET($H$3,0,0,'Données projet'!$E$18+1,1))</f>
        <v>198.11534486400666</v>
      </c>
      <c r="HA77" s="59">
        <f t="shared" si="106"/>
        <v>174.29856796517652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>
        <f>EXP(-LN(2)/35)*HG76+(1-EXP(-LN(2)/35))/(LN(2)/35)*HC77*HD77*VLOOKUP('Données projet'!$B$18,Paramètres!$A$1:$I$89,3,0)*0.475*44/12</f>
        <v>2.9978556886696697</v>
      </c>
      <c r="HH77" s="21">
        <f>EXP(-LN(2)/25)*HH76+(1-EXP(-LN(2)/25))/(LN(2)/25)*Calculateur!HC77*Calculateur!HE77*VLOOKUP('Données projet'!$B$18,Paramètres!$A$1:$I$89,3,0)*0.475*44/12</f>
        <v>14.335081615763716</v>
      </c>
      <c r="HI77" s="21">
        <f>EXP(-LN(2)/2)*HI76+(1-EXP(-LN(2)/2))/(LN(2)/2)*HC77*HF77*VLOOKUP('Données projet'!$B$18,Paramètres!$A$1:$I$89,3,0)*0.475*44/12</f>
        <v>0.60675753318568593</v>
      </c>
      <c r="HJ77" s="22">
        <f t="shared" si="84"/>
        <v>17.939694837619072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</v>
      </c>
      <c r="N78" s="13">
        <f>IF('Données projet'!$A$36&gt;35,N77+M78-V77,IF(A78&lt;'Données projet'!$A$36,$K$205^A78,IF(A78='Données projet'!$A$36,'Données projet'!$B$36,N77+M78-V77)))</f>
        <v>426.00000000000023</v>
      </c>
      <c r="O78" s="13">
        <f>N78*VLOOKUP('Données projet'!$B$9,Paramètres!$A$1:$I$89,3,0)*VLOOKUP('Données projet'!$B$9,Paramètres!$A$1:$I$89,5,0)</f>
        <v>254.74800000000016</v>
      </c>
      <c r="P78" s="13">
        <f t="shared" si="87"/>
        <v>61.601537647979256</v>
      </c>
      <c r="Q78" s="20">
        <f t="shared" si="54"/>
        <v>550.97544473689754</v>
      </c>
      <c r="R78" s="59">
        <f t="shared" si="55"/>
        <v>844.3087780702308</v>
      </c>
      <c r="S78" s="59">
        <f ca="1">AVERAGE(OFFSET($R$3,0,0,'Données projet'!$E$9+1,1))-AVERAGE(OFFSET($H$3,0,0,'Données projet'!$E$9+1,1))</f>
        <v>295.19075440119076</v>
      </c>
      <c r="T78" s="59">
        <f t="shared" si="88"/>
        <v>173.0182327988216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6.6835858465859994</v>
      </c>
      <c r="AA78" s="21">
        <f>EXP(-LN(2)/25)*AA77+(1-EXP(-LN(2)/25))/(LN(2)/25)*Calculateur!V78*Calculateur!X78*VLOOKUP('Données projet'!$B$9,Paramètres!$A$1:$I$89,3,0)*0.475*44/12</f>
        <v>16.989582438136253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23.673168284722252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8.875</v>
      </c>
      <c r="AI78" s="13">
        <f>IF('Données projet'!$A$62&gt;35,AI77+AH78-AQ77,IF(A78&lt;'Données projet'!$A$62,$AF$205^A78,IF(A78='Données projet'!$A$62,'Données projet'!$B$62,AI77+AH78-AQ77)))</f>
        <v>504.875</v>
      </c>
      <c r="AJ78" s="13">
        <f>AI78*VLOOKUP('Données projet'!$B$10,Paramètres!$A$1:$I$89,3,0)*VLOOKUP('Données projet'!$B$10,Paramètres!$A$1:$I$89,5,0)</f>
        <v>301.91525000000001</v>
      </c>
      <c r="AK78" s="13">
        <f t="shared" si="89"/>
        <v>71.577824610045951</v>
      </c>
      <c r="AL78" s="20">
        <f t="shared" si="58"/>
        <v>650.50043827916329</v>
      </c>
      <c r="AM78" s="59">
        <f t="shared" si="59"/>
        <v>943.83377161249655</v>
      </c>
      <c r="AN78" s="59">
        <f ca="1">AVERAGE(OFFSET($AM$3,0,0,'Données projet'!$E$10+1,1))-AVERAGE(OFFSET($H$3,0,0,'Données projet'!$E$10+1,1))</f>
        <v>294.45857786714919</v>
      </c>
      <c r="AO78" s="59">
        <f t="shared" si="90"/>
        <v>221.9773436301067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39.779741945700685</v>
      </c>
      <c r="AV78" s="21">
        <f>EXP(-LN(2)/25)*AV77+(1-EXP(-LN(2)/25))/(LN(2)/25)*Calculateur!AQ78*Calculateur!AS78*VLOOKUP('Données projet'!$B$10,Paramètres!$A$1:$I$89,3,0)*0.475*44/12</f>
        <v>42.057130357201359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81.836872302902037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179.44051550872138</v>
      </c>
      <c r="BJ78" s="59">
        <f t="shared" si="92"/>
        <v>272.9500808380069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104.03775330616132</v>
      </c>
      <c r="BQ78" s="21">
        <f>EXP(-LN(2)/25)*BQ77+(1-EXP(-LN(2)/25))/(LN(2)/25)*Calculateur!BL78*Calculateur!BN78*VLOOKUP('Données projet'!$B$11,Paramètres!$A$1:$I$89,3,0)*0.475*44/12</f>
        <v>64.757501169523792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168.79525447568511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17</v>
      </c>
      <c r="BY78" s="12">
        <f>IF('Données projet'!$A$114&gt;35,BY77+BX78-CG77,IF(A78&lt;'Données projet'!$A$114,$BV$205^A78,IF(A78='Données projet'!$A$114,'Données projet'!$B$114,BY77+BX78-CG77)))</f>
        <v>466.99999999999989</v>
      </c>
      <c r="BZ78" s="13">
        <f>BY78*VLOOKUP('Données projet'!$B$12,Paramètres!$A$1:$I$89,3,0)*VLOOKUP('Données projet'!$B$12,Paramètres!$A$1:$I$89,5,0)</f>
        <v>218.55599999999993</v>
      </c>
      <c r="CA78" s="13">
        <f t="shared" si="93"/>
        <v>53.800919270845718</v>
      </c>
      <c r="CB78" s="20">
        <f t="shared" si="64"/>
        <v>474.3549677300561</v>
      </c>
      <c r="CC78" s="59">
        <f t="shared" si="65"/>
        <v>767.68830106338942</v>
      </c>
      <c r="CD78" s="59">
        <f ca="1">AVERAGE(OFFSET($CC$3,0,0,'Données projet'!$E$12+1,1))-AVERAGE(OFFSET($H$3,0,0,'Données projet'!$E$12+1,1))</f>
        <v>259.87681411271632</v>
      </c>
      <c r="CE78" s="59">
        <f t="shared" si="94"/>
        <v>191.8684235641158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29.587584311262777</v>
      </c>
      <c r="CL78" s="21">
        <f>EXP(-LN(2)/25)*CL77+(1-EXP(-LN(2)/25))/(LN(2)/25)*Calculateur!CG78*Calculateur!CI78*VLOOKUP('Données projet'!$B$12,Paramètres!$A$1:$I$89,3,0)*0.475*44/12</f>
        <v>44.852295825761921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74.439880137024701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>
        <f>VLOOKUP(A78,'Données projet'!$A$139:$I$159,2,0)</f>
        <v>261</v>
      </c>
      <c r="CR78" s="12">
        <f>VLOOKUP(A78,'Données projet'!$A$139:$I$159,9,0)</f>
        <v>3.6</v>
      </c>
      <c r="CS78" s="12">
        <f t="array" ref="CS78">INDEX(CR:CR,MIN(IF(ISNUMBER(CR78:CR274),ROW(CR78:CR274),"")))</f>
        <v>3.6</v>
      </c>
      <c r="CT78" s="12">
        <f>IF('Données projet'!$A$140&gt;35,CT77+CS78-DB77,IF(A78&lt;'Données projet'!$A$140,$CQ$205^A78,IF(A78='Données projet'!$A$140,'Données projet'!$B$140,CT77+CS78-DB77)))</f>
        <v>261.00000000000006</v>
      </c>
      <c r="CU78" s="17">
        <f>CT78*VLOOKUP('Données projet'!$B$13,Paramètres!$A$1:$I$89,3,0)*VLOOKUP('Données projet'!$B$13,Paramètres!$A$1:$I$89,5,0)</f>
        <v>207.65160000000006</v>
      </c>
      <c r="CV78" s="13">
        <f t="shared" si="95"/>
        <v>51.422065813018108</v>
      </c>
      <c r="CW78" s="20">
        <f t="shared" si="67"/>
        <v>451.2199679576733</v>
      </c>
      <c r="CX78" s="59">
        <f t="shared" si="68"/>
        <v>744.55330129100662</v>
      </c>
      <c r="CY78" s="59">
        <f ca="1">AVERAGE(OFFSET($CX$3,0,0,'Données projet'!$E$13+1,1))-AVERAGE(OFFSET($H$3,0,0,'Données projet'!$E$13+1,1))</f>
        <v>198.11534486400666</v>
      </c>
      <c r="CZ78" s="59">
        <f t="shared" si="96"/>
        <v>174.29856796517652</v>
      </c>
      <c r="DA78" s="15">
        <f>IF(ISNA(VLOOKUP(A78,'Données projet'!$A$139:$I$159,3,0)),0,VLOOKUP(A78,'Données projet'!$A$139:$I$159,3,0))</f>
        <v>12</v>
      </c>
      <c r="DB78" s="15">
        <f>IF(ISNA(VLOOKUP(A78,'Données projet'!$A$139:$I$159,4,0)),0,VLOOKUP(A78,'Données projet'!$A$139:$I$159,4,0))</f>
        <v>9</v>
      </c>
      <c r="DC78" s="16">
        <f>IF(ISNA(VLOOKUP(A78,'Données projet'!$A$139:$I$159,5,0)),0%,VLOOKUP(A78,'Données projet'!$A$139:$I$159,5,0)*VLOOKUP('Données projet'!$B$13,Paramètres!$A$1:$I$89,7,0))</f>
        <v>0.21200000000000002</v>
      </c>
      <c r="DD78" s="16">
        <f>IF(ISNA(VLOOKUP(A78,'Données projet'!$A$139:$I$159,6,0)),0%,VLOOKUP(A78,'Données projet'!$A$139:$I$159,6,0)*VLOOKUP('Données projet'!$B$13,Paramètres!$A$1:$I$89,7,0))</f>
        <v>0.10600000000000001</v>
      </c>
      <c r="DE78" s="16">
        <f>IF(ISNA(VLOOKUP(A78,'Données projet'!$A$139:$I$159,7,0)),0%,VLOOKUP(A78,'Données projet'!$A$139:$I$159,7,0))</f>
        <v>0.2</v>
      </c>
      <c r="DF78" s="21">
        <f>EXP(-LN(2)/35)*DF77+(1-EXP(-LN(2)/35))/(LN(2)/35)*DB78*DC78*VLOOKUP('Données projet'!$B$13,Paramètres!$A$1:$I$89,3,0)*0.475*44/12</f>
        <v>4.6171789095151174</v>
      </c>
      <c r="DG78" s="21">
        <f>EXP(-LN(2)/25)*DG77+(1-EXP(-LN(2)/25))/(LN(2)/25)*Calculateur!DB78*Calculateur!DD78*VLOOKUP('Données projet'!$B$13,Paramètres!$A$1:$I$89,3,0)*0.475*44/12</f>
        <v>14.778839048380513</v>
      </c>
      <c r="DH78" s="21">
        <f>EXP(-LN(2)/2)*DH77+(1-EXP(-LN(2)/2))/(LN(2)/2)*DB78*DE78*VLOOKUP('Données projet'!$B$13,Paramètres!$A$1:$I$89,3,0)*0.475*44/12</f>
        <v>1.7802483901197048</v>
      </c>
      <c r="DI78" s="22">
        <f t="shared" si="69"/>
        <v>21.176266348015336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5</v>
      </c>
      <c r="DO78" s="12">
        <f>IF('Données projet'!$A$166&gt;35,DO77+DN78-DW77,IF(A78&lt;'Données projet'!$A$166,$DL$205^A78,IF(A78='Données projet'!$A$166,'Données projet'!$B$166,DO77+DN78-DW77)))</f>
        <v>143</v>
      </c>
      <c r="DP78" s="17">
        <f>DO78*VLOOKUP('Données projet'!$B$14,Paramètres!$A$1:$I$89,3,0)*VLOOKUP('Données projet'!$B$14,Paramètres!$A$1:$I$89,5,0)</f>
        <v>145.00200000000001</v>
      </c>
      <c r="DQ78" s="13">
        <f t="shared" si="97"/>
        <v>37.44054178676268</v>
      </c>
      <c r="DR78" s="20">
        <f t="shared" si="70"/>
        <v>317.75409361194505</v>
      </c>
      <c r="DS78" s="59">
        <f t="shared" si="71"/>
        <v>611.08742694527837</v>
      </c>
      <c r="DT78" s="59">
        <f ca="1">AVERAGE(OFFSET($DS$3,0,0,'Données projet'!$E$14+1,1))-AVERAGE(OFFSET($H$3,0,0,'Données projet'!$E$14+1,1))</f>
        <v>247.92503505485405</v>
      </c>
      <c r="DU78" s="59">
        <f t="shared" si="98"/>
        <v>148.26437652597514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20.053191269367129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20.053191269367129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5</v>
      </c>
      <c r="EJ78" s="12">
        <f>IF('Données projet'!$A$192&gt;35,EJ77+EI78-ER77,IF(A78&lt;'Données projet'!$A$192,$EG$205^A78,IF(A78='Données projet'!$A$192,'Données projet'!$B$192,EJ77+EI78-ER77)))</f>
        <v>143</v>
      </c>
      <c r="EK78" s="17">
        <f>EJ78*VLOOKUP('Données projet'!$B$15,Paramètres!$A$1:$I$89,3,0)*VLOOKUP('Données projet'!$B$15,Paramètres!$A$1:$I$89,5,0)</f>
        <v>138.30959999999999</v>
      </c>
      <c r="EL78" s="13">
        <f t="shared" si="99"/>
        <v>35.909485234307901</v>
      </c>
      <c r="EM78" s="20">
        <f t="shared" si="73"/>
        <v>303.43157344975288</v>
      </c>
      <c r="EN78" s="59">
        <f t="shared" si="74"/>
        <v>596.76490678308619</v>
      </c>
      <c r="EO78" s="59">
        <f ca="1">AVERAGE(OFFSET($EN$3,0,0,'Données projet'!$E$15+1,1))-AVERAGE(OFFSET($H$3,0,0,'Données projet'!$E$15+1,1))</f>
        <v>232.99870507181964</v>
      </c>
      <c r="EP78" s="59">
        <f t="shared" si="100"/>
        <v>140.07662669226278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19.1276593646271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19.1276593646271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>
        <f>VLOOKUP(A78,'Données projet'!$A$217:$I$237,2,0)</f>
        <v>261</v>
      </c>
      <c r="FC78" s="12">
        <f>VLOOKUP(A78,'Données projet'!$A$217:$I$237,9,0)</f>
        <v>3.6</v>
      </c>
      <c r="FD78" s="12">
        <f t="array" ref="FD78">INDEX(FC:FC,MIN(IF(ISNUMBER(FC78:FC274),ROW(FC78:FC274),"")))</f>
        <v>3.6</v>
      </c>
      <c r="FE78" s="12">
        <f>IF('Données projet'!$A$218&gt;35,FE77+FD78-FM77,IF(A78&lt;'Données projet'!$A$218,$FB$205^A78,IF(A78='Données projet'!$A$218,'Données projet'!$B$218,FE77+FD78-FM77)))</f>
        <v>261.00000000000006</v>
      </c>
      <c r="FF78" s="17">
        <f>FE78*VLOOKUP('Données projet'!$B$16,Paramètres!$A$1:$I$89,3,0)*VLOOKUP('Données projet'!$B$16,Paramètres!$A$1:$I$89,5,0)</f>
        <v>203.58000000000004</v>
      </c>
      <c r="FG78" s="13">
        <f t="shared" si="101"/>
        <v>50.530129131114101</v>
      </c>
      <c r="FH78" s="20">
        <f t="shared" si="76"/>
        <v>442.57514157002379</v>
      </c>
      <c r="FI78" s="59">
        <f t="shared" si="77"/>
        <v>735.90847490335705</v>
      </c>
      <c r="FJ78" s="59">
        <f ca="1">AVERAGE(OFFSET($FI$3,0,0,'Données projet'!$E$16+1,1))-AVERAGE(OFFSET($H$3,0,0,'Données projet'!$E$16+1,1))</f>
        <v>193.47609744163839</v>
      </c>
      <c r="FK78" s="59">
        <f t="shared" si="102"/>
        <v>170.3221892406973</v>
      </c>
      <c r="FL78" s="15">
        <f>IF(ISNA(VLOOKUP(A78,'Données projet'!$A$217:$I$237,3,0)),0,VLOOKUP(A78,'Données projet'!$A$217:$I$237,3,0))</f>
        <v>12</v>
      </c>
      <c r="FM78" s="15">
        <f>IF(ISNA(VLOOKUP(A78,'Données projet'!$A$217:$I$237,4,0)),0,VLOOKUP(A78,'Données projet'!$A$217:$I$237,4,0))</f>
        <v>9</v>
      </c>
      <c r="FN78" s="16">
        <f>IF(ISNA(VLOOKUP(A78,'Données projet'!$A$217:$I$237,5,0)),0%,VLOOKUP(A78,'Données projet'!$A$217:$I$237,5,0)*VLOOKUP('Données projet'!$B$16,Paramètres!$A$1:$I$89,7,0))</f>
        <v>0.17200000000000001</v>
      </c>
      <c r="FO78" s="16">
        <f>IF(ISNA(VLOOKUP(A78,'Données projet'!$A$217:$I$237,6,0)),0%,VLOOKUP(A78,'Données projet'!$A$217:$I$237,6,0)*VLOOKUP('Données projet'!$B$16,Paramètres!$A$1:$I$89,7,0))</f>
        <v>8.6000000000000007E-2</v>
      </c>
      <c r="FP78" s="16">
        <f>IF(ISNA(VLOOKUP(A78,'Données projet'!$A$217:$I$237,7,0)),0%,VLOOKUP(A78,'Données projet'!$A$217:$I$237,7,0))</f>
        <v>0.2</v>
      </c>
      <c r="FQ78" s="21">
        <f>EXP(-LN(2)/35)*FQ77+(1-EXP(-LN(2)/35))/(LN(2)/35)*FM78*FN78*VLOOKUP('Données projet'!$B$16,Paramètres!$A$1:$I$89,3,0)*0.475*44/12</f>
        <v>3.6725618407167975</v>
      </c>
      <c r="FR78" s="21">
        <f>EXP(-LN(2)/25)*FR77+(1-EXP(-LN(2)/25))/(LN(2)/25)*Calculateur!FM78*Calculateur!FO78*VLOOKUP('Données projet'!$B$16,Paramètres!$A$1:$I$89,3,0)*0.475*44/12</f>
        <v>11.755273382914577</v>
      </c>
      <c r="FS78" s="21">
        <f>EXP(-LN(2)/2)*FS77+(1-EXP(-LN(2)/2))/(LN(2)/2)*FM78*FP78*VLOOKUP('Données projet'!$B$16,Paramètres!$A$1:$I$89,3,0)*0.475*44/12</f>
        <v>1.7453415589408867</v>
      </c>
      <c r="FT78" s="22">
        <f t="shared" si="78"/>
        <v>17.173176782572263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>
        <f>FZ78*VLOOKUP('Données projet'!$B$17,Paramètres!$A$1:$I$89,3,0)*VLOOKUP('Données projet'!$B$17,Paramètres!$A$1:$I$89,5,0)</f>
        <v>0</v>
      </c>
      <c r="GB78" s="13" t="e">
        <f t="shared" si="103"/>
        <v>#NUM!</v>
      </c>
      <c r="GC78" s="20" t="e">
        <f t="shared" si="79"/>
        <v>#NUM!</v>
      </c>
      <c r="GD78" s="59" t="e">
        <f t="shared" si="80"/>
        <v>#NUM!</v>
      </c>
      <c r="GE78" s="59">
        <f ca="1">AVERAGE(OFFSET($GD$3,0,0,'Données projet'!$E$17+1,1))-AVERAGE(OFFSET($H$3,0,0,'Données projet'!$E$17+1,1))</f>
        <v>153.43773674911449</v>
      </c>
      <c r="GF78" s="59">
        <f t="shared" si="104"/>
        <v>235.49395036616602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91.033034142891168</v>
      </c>
      <c r="GM78" s="21">
        <f>EXP(-LN(2)/25)*GM77+(1-EXP(-LN(2)/25))/(LN(2)/25)*Calculateur!GH78*Calculateur!GJ78*VLOOKUP('Données projet'!$B$17,Paramètres!$A$1:$I$89,3,0)*0.475*44/12</f>
        <v>56.662813523333305</v>
      </c>
      <c r="GN78" s="21">
        <f>EXP(-LN(2)/2)*GN77+(1-EXP(-LN(2)/2))/(LN(2)/2)*GH78*GK78*VLOOKUP('Données projet'!$B$17,Paramètres!$A$1:$I$89,3,0)*0.475*44/12</f>
        <v>0</v>
      </c>
      <c r="GO78" s="21">
        <f t="shared" si="81"/>
        <v>147.69584766622447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>
        <f>VLOOKUP(A78,'Données projet'!$A$269:$I$289,2,0)</f>
        <v>261</v>
      </c>
      <c r="GS78" s="12">
        <f>VLOOKUP(A78,'Données projet'!$A$269:$I$289,9,0)</f>
        <v>3.6</v>
      </c>
      <c r="GT78" s="12">
        <f t="array" ref="GT78">INDEX(GS:GS,MIN(IF(ISNUMBER(GS78:GS274),ROW(GS78:GS274),"")))</f>
        <v>3.6</v>
      </c>
      <c r="GU78" s="12">
        <f>IF('Données projet'!$A$270&gt;35,GU77+GT78-HC77,IF(A78&lt;'Données projet'!$A$270,$GR$205^A78,IF(A78='Données projet'!$A$270,'Données projet'!$B$270,GU77+GT78-HC77)))</f>
        <v>261.00000000000006</v>
      </c>
      <c r="GV78" s="17">
        <f>GU78*VLOOKUP('Données projet'!$B$18,Paramètres!$A$1:$I$89,3,0)*VLOOKUP('Données projet'!$B$18,Paramètres!$A$1:$I$89,5,0)</f>
        <v>207.65160000000006</v>
      </c>
      <c r="GW78" s="13">
        <f t="shared" si="105"/>
        <v>51.422065813018108</v>
      </c>
      <c r="GX78" s="20">
        <f t="shared" si="82"/>
        <v>451.2199679576733</v>
      </c>
      <c r="GY78" s="59">
        <f t="shared" si="83"/>
        <v>744.55330129100662</v>
      </c>
      <c r="GZ78" s="59">
        <f ca="1">AVERAGE(OFFSET($GY$3,0,0,'Données projet'!$E$18+1,1))-AVERAGE(OFFSET($H$3,0,0,'Données projet'!$E$18+1,1))</f>
        <v>198.11534486400666</v>
      </c>
      <c r="HA78" s="59">
        <f t="shared" si="106"/>
        <v>174.29856796517652</v>
      </c>
      <c r="HB78" s="15">
        <f>IF(ISNA(VLOOKUP(A78,'Données projet'!$A$269:$I$289,3,0)),0,VLOOKUP(A78,'Données projet'!$A$269:$I$289,3,0))</f>
        <v>12</v>
      </c>
      <c r="HC78" s="15">
        <f>IF(ISNA(VLOOKUP(A78,'Données projet'!$A$269:$I$289,4,0)),0,VLOOKUP(A78,'Données projet'!$A$269:$I$289,4,0))</f>
        <v>9</v>
      </c>
      <c r="HD78" s="16">
        <f>IF(ISNA(VLOOKUP(A78,'Données projet'!$A$269:$I$289,5,0)),0%,VLOOKUP(A78,'Données projet'!$A$269:$I$289,5,0)*VLOOKUP('Données projet'!$B$18,Paramètres!$A$1:$I$89,7,0))</f>
        <v>0.21200000000000002</v>
      </c>
      <c r="HE78" s="16">
        <f>IF(ISNA(VLOOKUP(A78,'Données projet'!$A$269:$I$289,6,0)),0%,VLOOKUP(A78,'Données projet'!$A$269:$I$289,6,0)*VLOOKUP('Données projet'!$B$18,Paramètres!$A$1:$I$89,7,0))</f>
        <v>0.10600000000000001</v>
      </c>
      <c r="HF78" s="16">
        <f>IF(ISNA(VLOOKUP(A78,'Données projet'!$A$269:$I$289,7,0)),0%,VLOOKUP(A78,'Données projet'!$A$269:$I$289,7,0))</f>
        <v>0.2</v>
      </c>
      <c r="HG78" s="21">
        <f>EXP(-LN(2)/35)*HG77+(1-EXP(-LN(2)/35))/(LN(2)/35)*HC78*HD78*VLOOKUP('Données projet'!$B$18,Paramètres!$A$1:$I$89,3,0)*0.475*44/12</f>
        <v>4.6171789095151174</v>
      </c>
      <c r="HH78" s="21">
        <f>EXP(-LN(2)/25)*HH77+(1-EXP(-LN(2)/25))/(LN(2)/25)*Calculateur!HC78*Calculateur!HE78*VLOOKUP('Données projet'!$B$18,Paramètres!$A$1:$I$89,3,0)*0.475*44/12</f>
        <v>14.778839048380513</v>
      </c>
      <c r="HI78" s="21">
        <f>EXP(-LN(2)/2)*HI77+(1-EXP(-LN(2)/2))/(LN(2)/2)*HC78*HF78*VLOOKUP('Données projet'!$B$18,Paramètres!$A$1:$I$89,3,0)*0.475*44/12</f>
        <v>1.7802483901197048</v>
      </c>
      <c r="HJ78" s="22">
        <f t="shared" si="84"/>
        <v>21.176266348015336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</v>
      </c>
      <c r="N79" s="13">
        <f>IF('Données projet'!$A$36&gt;35,N78+M79-V78,IF(A79&lt;'Données projet'!$A$36,$K$205^A79,IF(A79='Données projet'!$A$36,'Données projet'!$B$36,N78+M79-V78)))</f>
        <v>432.00000000000023</v>
      </c>
      <c r="O79" s="13">
        <f>N79*VLOOKUP('Données projet'!$B$9,Paramètres!$A$1:$I$89,3,0)*VLOOKUP('Données projet'!$B$9,Paramètres!$A$1:$I$89,5,0)</f>
        <v>258.33600000000018</v>
      </c>
      <c r="P79" s="13">
        <f t="shared" si="87"/>
        <v>62.367547966451262</v>
      </c>
      <c r="Q79" s="20">
        <f t="shared" si="54"/>
        <v>558.55867937490291</v>
      </c>
      <c r="R79" s="59">
        <f t="shared" si="55"/>
        <v>851.89201270823628</v>
      </c>
      <c r="S79" s="59">
        <f ca="1">AVERAGE(OFFSET($R$3,0,0,'Données projet'!$E$9+1,1))-AVERAGE(OFFSET($H$3,0,0,'Données projet'!$E$9+1,1))</f>
        <v>295.19075440119076</v>
      </c>
      <c r="T79" s="59">
        <f t="shared" si="88"/>
        <v>173.0182327988216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6.552524804719285</v>
      </c>
      <c r="AA79" s="21">
        <f>EXP(-LN(2)/25)*AA78+(1-EXP(-LN(2)/25))/(LN(2)/25)*Calculateur!V79*Calculateur!X79*VLOOKUP('Données projet'!$B$9,Paramètres!$A$1:$I$89,3,0)*0.475*44/12</f>
        <v>16.525001412922109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23.077526217641392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8.875</v>
      </c>
      <c r="AI79" s="13">
        <f>IF('Données projet'!$A$62&gt;35,AI78+AH79-AQ78,IF(A79&lt;'Données projet'!$A$62,$AF$205^A79,IF(A79='Données projet'!$A$62,'Données projet'!$B$62,AI78+AH79-AQ78)))</f>
        <v>513.75</v>
      </c>
      <c r="AJ79" s="13">
        <f>AI79*VLOOKUP('Données projet'!$B$10,Paramètres!$A$1:$I$89,3,0)*VLOOKUP('Données projet'!$B$10,Paramètres!$A$1:$I$89,5,0)</f>
        <v>307.22250000000003</v>
      </c>
      <c r="AK79" s="13">
        <f t="shared" si="89"/>
        <v>72.68847414066191</v>
      </c>
      <c r="AL79" s="20">
        <f t="shared" si="58"/>
        <v>661.67827996165295</v>
      </c>
      <c r="AM79" s="59">
        <f t="shared" si="59"/>
        <v>955.01161329498632</v>
      </c>
      <c r="AN79" s="59">
        <f ca="1">AVERAGE(OFFSET($AM$3,0,0,'Données projet'!$E$10+1,1))-AVERAGE(OFFSET($H$3,0,0,'Données projet'!$E$10+1,1))</f>
        <v>294.45857786714919</v>
      </c>
      <c r="AO79" s="59">
        <f t="shared" si="90"/>
        <v>221.9773436301067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38.999685469392283</v>
      </c>
      <c r="AV79" s="21">
        <f>EXP(-LN(2)/25)*AV78+(1-EXP(-LN(2)/25))/(LN(2)/25)*Calculateur!AQ79*Calculateur!AS79*VLOOKUP('Données projet'!$B$10,Paramètres!$A$1:$I$89,3,0)*0.475*44/12</f>
        <v>40.907075915895327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79.906761385287609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179.44051550872138</v>
      </c>
      <c r="BJ79" s="59">
        <f t="shared" si="92"/>
        <v>272.9500808380069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101.99763642059118</v>
      </c>
      <c r="BQ79" s="21">
        <f>EXP(-LN(2)/25)*BQ78+(1-EXP(-LN(2)/25))/(LN(2)/25)*Calculateur!BL79*Calculateur!BN79*VLOOKUP('Données projet'!$B$11,Paramètres!$A$1:$I$89,3,0)*0.475*44/12</f>
        <v>62.986703894594186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164.98434031518536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17</v>
      </c>
      <c r="BY79" s="12">
        <f>IF('Données projet'!$A$114&gt;35,BY78+BX79-CG78,IF(A79&lt;'Données projet'!$A$114,$BV$205^A79,IF(A79='Données projet'!$A$114,'Données projet'!$B$114,BY78+BX79-CG78)))</f>
        <v>483.99999999999989</v>
      </c>
      <c r="BZ79" s="13">
        <f>BY79*VLOOKUP('Données projet'!$B$12,Paramètres!$A$1:$I$89,3,0)*VLOOKUP('Données projet'!$B$12,Paramètres!$A$1:$I$89,5,0)</f>
        <v>226.51199999999994</v>
      </c>
      <c r="CA79" s="13">
        <f t="shared" si="93"/>
        <v>55.527824937247544</v>
      </c>
      <c r="CB79" s="20">
        <f t="shared" si="64"/>
        <v>491.21936176570603</v>
      </c>
      <c r="CC79" s="59">
        <f t="shared" si="65"/>
        <v>784.55269509903928</v>
      </c>
      <c r="CD79" s="59">
        <f ca="1">AVERAGE(OFFSET($CC$3,0,0,'Données projet'!$E$12+1,1))-AVERAGE(OFFSET($H$3,0,0,'Données projet'!$E$12+1,1))</f>
        <v>259.87681411271632</v>
      </c>
      <c r="CE79" s="59">
        <f t="shared" si="94"/>
        <v>191.8684235641158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29.007389829563387</v>
      </c>
      <c r="CL79" s="21">
        <f>EXP(-LN(2)/25)*CL78+(1-EXP(-LN(2)/25))/(LN(2)/25)*Calculateur!CG79*Calculateur!CI79*VLOOKUP('Données projet'!$B$12,Paramètres!$A$1:$I$89,3,0)*0.475*44/12</f>
        <v>43.625807437726735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72.633197267290114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3</v>
      </c>
      <c r="CT79" s="12">
        <f>IF('Données projet'!$A$140&gt;35,CT78+CS79-DB78,IF(A79&lt;'Données projet'!$A$140,$CQ$205^A79,IF(A79='Données projet'!$A$140,'Données projet'!$B$140,CT78+CS79-DB78)))</f>
        <v>255.00000000000006</v>
      </c>
      <c r="CU79" s="17">
        <f>CT79*VLOOKUP('Données projet'!$B$13,Paramètres!$A$1:$I$89,3,0)*VLOOKUP('Données projet'!$B$13,Paramètres!$A$1:$I$89,5,0)</f>
        <v>202.87800000000007</v>
      </c>
      <c r="CV79" s="13">
        <f t="shared" si="95"/>
        <v>50.376138116990127</v>
      </c>
      <c r="CW79" s="20">
        <f t="shared" si="67"/>
        <v>441.08429055375791</v>
      </c>
      <c r="CX79" s="59">
        <f t="shared" si="68"/>
        <v>734.41762388709117</v>
      </c>
      <c r="CY79" s="59">
        <f ca="1">AVERAGE(OFFSET($CX$3,0,0,'Données projet'!$E$13+1,1))-AVERAGE(OFFSET($H$3,0,0,'Données projet'!$E$13+1,1))</f>
        <v>198.11534486400666</v>
      </c>
      <c r="CZ79" s="59">
        <f t="shared" si="96"/>
        <v>174.29856796517652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4.5266388473005836</v>
      </c>
      <c r="DG79" s="21">
        <f>EXP(-LN(2)/25)*DG78+(1-EXP(-LN(2)/25))/(LN(2)/25)*Calculateur!DB79*Calculateur!DD79*VLOOKUP('Données projet'!$B$13,Paramètres!$A$1:$I$89,3,0)*0.475*44/12</f>
        <v>14.374710917417181</v>
      </c>
      <c r="DH79" s="21">
        <f>EXP(-LN(2)/2)*DH78+(1-EXP(-LN(2)/2))/(LN(2)/2)*DB79*DE79*VLOOKUP('Données projet'!$B$13,Paramètres!$A$1:$I$89,3,0)*0.475*44/12</f>
        <v>1.2588257088500776</v>
      </c>
      <c r="DI79" s="22">
        <f t="shared" si="69"/>
        <v>20.160175473567843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</v>
      </c>
      <c r="DO79" s="12">
        <f>IF('Données projet'!$A$166&gt;35,DO78+DN79-DW78,IF(A79&lt;'Données projet'!$A$166,$DL$205^A79,IF(A79='Données projet'!$A$166,'Données projet'!$B$166,DO78+DN79-DW78)))</f>
        <v>148</v>
      </c>
      <c r="DP79" s="17">
        <f>DO79*VLOOKUP('Données projet'!$B$14,Paramètres!$A$1:$I$89,3,0)*VLOOKUP('Données projet'!$B$14,Paramètres!$A$1:$I$89,5,0)</f>
        <v>150.072</v>
      </c>
      <c r="DQ79" s="13">
        <f t="shared" si="97"/>
        <v>38.594947422201457</v>
      </c>
      <c r="DR79" s="20">
        <f t="shared" si="70"/>
        <v>328.59493342700091</v>
      </c>
      <c r="DS79" s="59">
        <f t="shared" si="71"/>
        <v>621.92826676033428</v>
      </c>
      <c r="DT79" s="59">
        <f ca="1">AVERAGE(OFFSET($DS$3,0,0,'Données projet'!$E$14+1,1))-AVERAGE(OFFSET($H$3,0,0,'Données projet'!$E$14+1,1))</f>
        <v>247.92503505485405</v>
      </c>
      <c r="DU79" s="59">
        <f t="shared" si="98"/>
        <v>148.26437652597514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19.504835699554789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19.504835699554789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5</v>
      </c>
      <c r="EJ79" s="12">
        <f>IF('Données projet'!$A$192&gt;35,EJ78+EI79-ER78,IF(A79&lt;'Données projet'!$A$192,$EG$205^A79,IF(A79='Données projet'!$A$192,'Données projet'!$B$192,EJ78+EI79-ER78)))</f>
        <v>148</v>
      </c>
      <c r="EK79" s="17">
        <f>EJ79*VLOOKUP('Données projet'!$B$15,Paramètres!$A$1:$I$89,3,0)*VLOOKUP('Données projet'!$B$15,Paramètres!$A$1:$I$89,5,0)</f>
        <v>143.1456</v>
      </c>
      <c r="EL79" s="13">
        <f t="shared" si="99"/>
        <v>37.01668374538415</v>
      </c>
      <c r="EM79" s="20">
        <f t="shared" si="73"/>
        <v>313.78264418987732</v>
      </c>
      <c r="EN79" s="59">
        <f t="shared" si="74"/>
        <v>607.11597752321063</v>
      </c>
      <c r="EO79" s="59">
        <f ca="1">AVERAGE(OFFSET($EN$3,0,0,'Données projet'!$E$15+1,1))-AVERAGE(OFFSET($H$3,0,0,'Données projet'!$E$15+1,1))</f>
        <v>232.99870507181964</v>
      </c>
      <c r="EP79" s="59">
        <f t="shared" si="100"/>
        <v>140.07662669226278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18.604612513421483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18.604612513421483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3</v>
      </c>
      <c r="FE79" s="12">
        <f>IF('Données projet'!$A$218&gt;35,FE78+FD79-FM78,IF(A79&lt;'Données projet'!$A$218,$FB$205^A79,IF(A79='Données projet'!$A$218,'Données projet'!$B$218,FE78+FD79-FM78)))</f>
        <v>255.00000000000006</v>
      </c>
      <c r="FF79" s="17">
        <f>FE79*VLOOKUP('Données projet'!$B$16,Paramètres!$A$1:$I$89,3,0)*VLOOKUP('Données projet'!$B$16,Paramètres!$A$1:$I$89,5,0)</f>
        <v>198.90000000000006</v>
      </c>
      <c r="FG79" s="13">
        <f t="shared" si="101"/>
        <v>49.502343477105569</v>
      </c>
      <c r="FH79" s="20">
        <f t="shared" si="76"/>
        <v>432.63408155595897</v>
      </c>
      <c r="FI79" s="59">
        <f t="shared" si="77"/>
        <v>725.96741488929229</v>
      </c>
      <c r="FJ79" s="59">
        <f ca="1">AVERAGE(OFFSET($FI$3,0,0,'Données projet'!$E$16+1,1))-AVERAGE(OFFSET($H$3,0,0,'Données projet'!$E$16+1,1))</f>
        <v>193.47609744163839</v>
      </c>
      <c r="FK79" s="59">
        <f t="shared" si="102"/>
        <v>170.3221892406973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3.6005451430618782</v>
      </c>
      <c r="FR79" s="21">
        <f>EXP(-LN(2)/25)*FR78+(1-EXP(-LN(2)/25))/(LN(2)/25)*Calculateur!FM79*Calculateur!FO79*VLOOKUP('Données projet'!$B$16,Paramètres!$A$1:$I$89,3,0)*0.475*44/12</f>
        <v>11.433824814075818</v>
      </c>
      <c r="FS79" s="21">
        <f>EXP(-LN(2)/2)*FS78+(1-EXP(-LN(2)/2))/(LN(2)/2)*FM79*FP79*VLOOKUP('Données projet'!$B$16,Paramètres!$A$1:$I$89,3,0)*0.475*44/12</f>
        <v>1.2341428518138013</v>
      </c>
      <c r="FT79" s="22">
        <f t="shared" si="78"/>
        <v>16.268512808951495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>
        <f>FZ79*VLOOKUP('Données projet'!$B$17,Paramètres!$A$1:$I$89,3,0)*VLOOKUP('Données projet'!$B$17,Paramètres!$A$1:$I$89,5,0)</f>
        <v>0</v>
      </c>
      <c r="GB79" s="13" t="e">
        <f t="shared" si="103"/>
        <v>#NUM!</v>
      </c>
      <c r="GC79" s="20" t="e">
        <f t="shared" si="79"/>
        <v>#NUM!</v>
      </c>
      <c r="GD79" s="59" t="e">
        <f t="shared" si="80"/>
        <v>#NUM!</v>
      </c>
      <c r="GE79" s="59">
        <f ca="1">AVERAGE(OFFSET($GD$3,0,0,'Données projet'!$E$17+1,1))-AVERAGE(OFFSET($H$3,0,0,'Données projet'!$E$17+1,1))</f>
        <v>153.43773674911449</v>
      </c>
      <c r="GF79" s="59">
        <f t="shared" si="104"/>
        <v>235.49395036616602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89.24793186801729</v>
      </c>
      <c r="GM79" s="21">
        <f>EXP(-LN(2)/25)*GM78+(1-EXP(-LN(2)/25))/(LN(2)/25)*Calculateur!GH79*Calculateur!GJ79*VLOOKUP('Données projet'!$B$17,Paramètres!$A$1:$I$89,3,0)*0.475*44/12</f>
        <v>55.113365907769897</v>
      </c>
      <c r="GN79" s="21">
        <f>EXP(-LN(2)/2)*GN78+(1-EXP(-LN(2)/2))/(LN(2)/2)*GH79*GK79*VLOOKUP('Données projet'!$B$17,Paramètres!$A$1:$I$89,3,0)*0.475*44/12</f>
        <v>0</v>
      </c>
      <c r="GO79" s="21">
        <f t="shared" si="81"/>
        <v>144.36129777578719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3</v>
      </c>
      <c r="GU79" s="12">
        <f>IF('Données projet'!$A$270&gt;35,GU78+GT79-HC78,IF(A79&lt;'Données projet'!$A$270,$GR$205^A79,IF(A79='Données projet'!$A$270,'Données projet'!$B$270,GU78+GT79-HC78)))</f>
        <v>255.00000000000006</v>
      </c>
      <c r="GV79" s="17">
        <f>GU79*VLOOKUP('Données projet'!$B$18,Paramètres!$A$1:$I$89,3,0)*VLOOKUP('Données projet'!$B$18,Paramètres!$A$1:$I$89,5,0)</f>
        <v>202.87800000000007</v>
      </c>
      <c r="GW79" s="13">
        <f t="shared" si="105"/>
        <v>50.376138116990127</v>
      </c>
      <c r="GX79" s="20">
        <f t="shared" si="82"/>
        <v>441.08429055375791</v>
      </c>
      <c r="GY79" s="59">
        <f t="shared" si="83"/>
        <v>734.41762388709117</v>
      </c>
      <c r="GZ79" s="59">
        <f ca="1">AVERAGE(OFFSET($GY$3,0,0,'Données projet'!$E$18+1,1))-AVERAGE(OFFSET($H$3,0,0,'Données projet'!$E$18+1,1))</f>
        <v>198.11534486400666</v>
      </c>
      <c r="HA79" s="59">
        <f t="shared" si="106"/>
        <v>174.29856796517652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>
        <f>EXP(-LN(2)/35)*HG78+(1-EXP(-LN(2)/35))/(LN(2)/35)*HC79*HD79*VLOOKUP('Données projet'!$B$18,Paramètres!$A$1:$I$89,3,0)*0.475*44/12</f>
        <v>4.5266388473005836</v>
      </c>
      <c r="HH79" s="21">
        <f>EXP(-LN(2)/25)*HH78+(1-EXP(-LN(2)/25))/(LN(2)/25)*Calculateur!HC79*Calculateur!HE79*VLOOKUP('Données projet'!$B$18,Paramètres!$A$1:$I$89,3,0)*0.475*44/12</f>
        <v>14.374710917417181</v>
      </c>
      <c r="HI79" s="21">
        <f>EXP(-LN(2)/2)*HI78+(1-EXP(-LN(2)/2))/(LN(2)/2)*HC79*HF79*VLOOKUP('Données projet'!$B$18,Paramètres!$A$1:$I$89,3,0)*0.475*44/12</f>
        <v>1.2588257088500776</v>
      </c>
      <c r="HJ79" s="22">
        <f t="shared" si="84"/>
        <v>20.160175473567843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</v>
      </c>
      <c r="N80" s="13">
        <f>IF('Données projet'!$A$36&gt;35,N79+M80-V79,IF(A80&lt;'Données projet'!$A$36,$K$205^A80,IF(A80='Données projet'!$A$36,'Données projet'!$B$36,N79+M80-V79)))</f>
        <v>438.00000000000023</v>
      </c>
      <c r="O80" s="13">
        <f>N80*VLOOKUP('Données projet'!$B$9,Paramètres!$A$1:$I$89,3,0)*VLOOKUP('Données projet'!$B$9,Paramètres!$A$1:$I$89,5,0)</f>
        <v>261.92400000000015</v>
      </c>
      <c r="P80" s="13">
        <f t="shared" si="87"/>
        <v>63.132320859995701</v>
      </c>
      <c r="Q80" s="20">
        <f t="shared" si="54"/>
        <v>566.13975883115938</v>
      </c>
      <c r="R80" s="59">
        <f t="shared" si="55"/>
        <v>859.47309216449275</v>
      </c>
      <c r="S80" s="59">
        <f ca="1">AVERAGE(OFFSET($R$3,0,0,'Données projet'!$E$9+1,1))-AVERAGE(OFFSET($H$3,0,0,'Données projet'!$E$9+1,1))</f>
        <v>295.19075440119076</v>
      </c>
      <c r="T80" s="59">
        <f t="shared" si="88"/>
        <v>173.0182327988216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6.424033789944235</v>
      </c>
      <c r="AA80" s="21">
        <f>EXP(-LN(2)/25)*AA79+(1-EXP(-LN(2)/25))/(LN(2)/25)*Calculateur!V80*Calculateur!X80*VLOOKUP('Données projet'!$B$9,Paramètres!$A$1:$I$89,3,0)*0.475*44/12</f>
        <v>16.073124380273697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22.497158170217933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8.875</v>
      </c>
      <c r="AI80" s="13">
        <f>IF('Données projet'!$A$62&gt;35,AI79+AH80-AQ79,IF(A80&lt;'Données projet'!$A$62,$AF$205^A80,IF(A80='Données projet'!$A$62,'Données projet'!$B$62,AI79+AH80-AQ79)))</f>
        <v>522.625</v>
      </c>
      <c r="AJ80" s="13">
        <f>AI80*VLOOKUP('Données projet'!$B$10,Paramètres!$A$1:$I$89,3,0)*VLOOKUP('Données projet'!$B$10,Paramètres!$A$1:$I$89,5,0)</f>
        <v>312.52975000000004</v>
      </c>
      <c r="AK80" s="13">
        <f t="shared" si="89"/>
        <v>73.796892500493684</v>
      </c>
      <c r="AL80" s="20">
        <f t="shared" si="58"/>
        <v>672.85223568835988</v>
      </c>
      <c r="AM80" s="59">
        <f t="shared" si="59"/>
        <v>966.18556902169325</v>
      </c>
      <c r="AN80" s="59">
        <f ca="1">AVERAGE(OFFSET($AM$3,0,0,'Données projet'!$E$10+1,1))-AVERAGE(OFFSET($H$3,0,0,'Données projet'!$E$10+1,1))</f>
        <v>294.45857786714919</v>
      </c>
      <c r="AO80" s="59">
        <f t="shared" si="90"/>
        <v>221.9773436301067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38.23492542479682</v>
      </c>
      <c r="AV80" s="21">
        <f>EXP(-LN(2)/25)*AV79+(1-EXP(-LN(2)/25))/(LN(2)/25)*Calculateur!AQ80*Calculateur!AS80*VLOOKUP('Données projet'!$B$10,Paramètres!$A$1:$I$89,3,0)*0.475*44/12</f>
        <v>39.788469773765542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78.023395198562355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179.44051550872138</v>
      </c>
      <c r="BJ80" s="59">
        <f t="shared" si="92"/>
        <v>272.9500808380069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99.997524982798637</v>
      </c>
      <c r="BQ80" s="21">
        <f>EXP(-LN(2)/25)*BQ79+(1-EXP(-LN(2)/25))/(LN(2)/25)*Calculateur!BL80*Calculateur!BN80*VLOOKUP('Données projet'!$B$11,Paramètres!$A$1:$I$89,3,0)*0.475*44/12</f>
        <v>61.264329164269711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161.26185414706833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17</v>
      </c>
      <c r="BY80" s="12">
        <f>IF('Données projet'!$A$114&gt;35,BY79+BX80-CG79,IF(A80&lt;'Données projet'!$A$114,$BV$205^A80,IF(A80='Données projet'!$A$114,'Données projet'!$B$114,BY79+BX80-CG79)))</f>
        <v>500.99999999999989</v>
      </c>
      <c r="BZ80" s="13">
        <f>BY80*VLOOKUP('Données projet'!$B$12,Paramètres!$A$1:$I$89,3,0)*VLOOKUP('Données projet'!$B$12,Paramètres!$A$1:$I$89,5,0)</f>
        <v>234.46799999999996</v>
      </c>
      <c r="CA80" s="13">
        <f t="shared" si="93"/>
        <v>57.247683153605394</v>
      </c>
      <c r="CB80" s="20">
        <f t="shared" si="64"/>
        <v>508.0714814925293</v>
      </c>
      <c r="CC80" s="59">
        <f t="shared" si="65"/>
        <v>801.40481482586256</v>
      </c>
      <c r="CD80" s="59">
        <f ca="1">AVERAGE(OFFSET($CC$3,0,0,'Données projet'!$E$12+1,1))-AVERAGE(OFFSET($H$3,0,0,'Données projet'!$E$12+1,1))</f>
        <v>259.87681411271632</v>
      </c>
      <c r="CE80" s="59">
        <f t="shared" si="94"/>
        <v>191.8684235641158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28.438572607766428</v>
      </c>
      <c r="CL80" s="21">
        <f>EXP(-LN(2)/25)*CL79+(1-EXP(-LN(2)/25))/(LN(2)/25)*Calculateur!CG80*Calculateur!CI80*VLOOKUP('Données projet'!$B$12,Paramètres!$A$1:$I$89,3,0)*0.475*44/12</f>
        <v>42.432857439160593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70.871430046927017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3</v>
      </c>
      <c r="CT80" s="12">
        <f>IF('Données projet'!$A$140&gt;35,CT79+CS80-DB79,IF(A80&lt;'Données projet'!$A$140,$CQ$205^A80,IF(A80='Données projet'!$A$140,'Données projet'!$B$140,CT79+CS80-DB79)))</f>
        <v>258.00000000000006</v>
      </c>
      <c r="CU80" s="17">
        <f>CT80*VLOOKUP('Données projet'!$B$13,Paramètres!$A$1:$I$89,3,0)*VLOOKUP('Données projet'!$B$13,Paramètres!$A$1:$I$89,5,0)</f>
        <v>205.26480000000006</v>
      </c>
      <c r="CV80" s="13">
        <f t="shared" si="95"/>
        <v>50.899455886133737</v>
      </c>
      <c r="CW80" s="20">
        <f t="shared" si="67"/>
        <v>446.15274566834961</v>
      </c>
      <c r="CX80" s="59">
        <f t="shared" si="68"/>
        <v>739.48607900168292</v>
      </c>
      <c r="CY80" s="59">
        <f ca="1">AVERAGE(OFFSET($CX$3,0,0,'Données projet'!$E$13+1,1))-AVERAGE(OFFSET($H$3,0,0,'Données projet'!$E$13+1,1))</f>
        <v>198.11534486400666</v>
      </c>
      <c r="CZ80" s="59">
        <f t="shared" si="96"/>
        <v>174.29856796517652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4.437874220482092</v>
      </c>
      <c r="DG80" s="21">
        <f>EXP(-LN(2)/25)*DG79+(1-EXP(-LN(2)/25))/(LN(2)/25)*Calculateur!DB80*Calculateur!DD80*VLOOKUP('Données projet'!$B$13,Paramètres!$A$1:$I$89,3,0)*0.475*44/12</f>
        <v>13.981633691447215</v>
      </c>
      <c r="DH80" s="21">
        <f>EXP(-LN(2)/2)*DH79+(1-EXP(-LN(2)/2))/(LN(2)/2)*DB80*DE80*VLOOKUP('Données projet'!$B$13,Paramètres!$A$1:$I$89,3,0)*0.475*44/12</f>
        <v>0.89012419505985252</v>
      </c>
      <c r="DI80" s="22">
        <f t="shared" si="69"/>
        <v>19.309632106989159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</v>
      </c>
      <c r="DO80" s="12">
        <f>IF('Données projet'!$A$166&gt;35,DO79+DN80-DW79,IF(A80&lt;'Données projet'!$A$166,$DL$205^A80,IF(A80='Données projet'!$A$166,'Données projet'!$B$166,DO79+DN80-DW79)))</f>
        <v>153</v>
      </c>
      <c r="DP80" s="17">
        <f>DO80*VLOOKUP('Données projet'!$B$14,Paramètres!$A$1:$I$89,3,0)*VLOOKUP('Données projet'!$B$14,Paramètres!$A$1:$I$89,5,0)</f>
        <v>155.142</v>
      </c>
      <c r="DQ80" s="13">
        <f t="shared" si="97"/>
        <v>39.744821439017343</v>
      </c>
      <c r="DR80" s="20">
        <f t="shared" si="70"/>
        <v>339.42788067295515</v>
      </c>
      <c r="DS80" s="59">
        <f t="shared" si="71"/>
        <v>632.76121400628847</v>
      </c>
      <c r="DT80" s="59">
        <f ca="1">AVERAGE(OFFSET($DS$3,0,0,'Données projet'!$E$14+1,1))-AVERAGE(OFFSET($H$3,0,0,'Données projet'!$E$14+1,1))</f>
        <v>247.92503505485405</v>
      </c>
      <c r="DU80" s="59">
        <f t="shared" si="98"/>
        <v>148.26437652597514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18.971474941635734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18.971474941635734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5</v>
      </c>
      <c r="EJ80" s="12">
        <f>IF('Données projet'!$A$192&gt;35,EJ79+EI80-ER79,IF(A80&lt;'Données projet'!$A$192,$EG$205^A80,IF(A80='Données projet'!$A$192,'Données projet'!$B$192,EJ79+EI80-ER79)))</f>
        <v>153</v>
      </c>
      <c r="EK80" s="17">
        <f>EJ80*VLOOKUP('Données projet'!$B$15,Paramètres!$A$1:$I$89,3,0)*VLOOKUP('Données projet'!$B$15,Paramètres!$A$1:$I$89,5,0)</f>
        <v>147.98160000000001</v>
      </c>
      <c r="EL80" s="13">
        <f t="shared" si="99"/>
        <v>38.119535949375617</v>
      </c>
      <c r="EM80" s="20">
        <f t="shared" si="73"/>
        <v>324.12614511182926</v>
      </c>
      <c r="EN80" s="59">
        <f t="shared" si="74"/>
        <v>617.45947844516263</v>
      </c>
      <c r="EO80" s="59">
        <f ca="1">AVERAGE(OFFSET($EN$3,0,0,'Données projet'!$E$15+1,1))-AVERAGE(OFFSET($H$3,0,0,'Données projet'!$E$15+1,1))</f>
        <v>232.99870507181964</v>
      </c>
      <c r="EP80" s="59">
        <f t="shared" si="100"/>
        <v>140.07662669226278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18.095868405867922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18.095868405867922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3</v>
      </c>
      <c r="FE80" s="12">
        <f>IF('Données projet'!$A$218&gt;35,FE79+FD80-FM79,IF(A80&lt;'Données projet'!$A$218,$FB$205^A80,IF(A80='Données projet'!$A$218,'Données projet'!$B$218,FE79+FD80-FM79)))</f>
        <v>258.00000000000006</v>
      </c>
      <c r="FF80" s="17">
        <f>FE80*VLOOKUP('Données projet'!$B$16,Paramètres!$A$1:$I$89,3,0)*VLOOKUP('Données projet'!$B$16,Paramètres!$A$1:$I$89,5,0)</f>
        <v>201.24000000000004</v>
      </c>
      <c r="FG80" s="13">
        <f t="shared" si="101"/>
        <v>50.016584086333268</v>
      </c>
      <c r="FH80" s="20">
        <f t="shared" si="76"/>
        <v>437.60521728369713</v>
      </c>
      <c r="FI80" s="59">
        <f t="shared" si="77"/>
        <v>730.93855061703039</v>
      </c>
      <c r="FJ80" s="59">
        <f ca="1">AVERAGE(OFFSET($FI$3,0,0,'Données projet'!$E$16+1,1))-AVERAGE(OFFSET($H$3,0,0,'Données projet'!$E$16+1,1))</f>
        <v>193.47609744163839</v>
      </c>
      <c r="FK80" s="59">
        <f t="shared" si="102"/>
        <v>170.3221892406973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3.5299406489221234</v>
      </c>
      <c r="FR80" s="21">
        <f>EXP(-LN(2)/25)*FR79+(1-EXP(-LN(2)/25))/(LN(2)/25)*Calculateur!FM80*Calculateur!FO80*VLOOKUP('Données projet'!$B$16,Paramètres!$A$1:$I$89,3,0)*0.475*44/12</f>
        <v>11.1211662732562</v>
      </c>
      <c r="FS80" s="21">
        <f>EXP(-LN(2)/2)*FS79+(1-EXP(-LN(2)/2))/(LN(2)/2)*FM80*FP80*VLOOKUP('Données projet'!$B$16,Paramètres!$A$1:$I$89,3,0)*0.475*44/12</f>
        <v>0.87267077947044347</v>
      </c>
      <c r="FT80" s="22">
        <f t="shared" si="78"/>
        <v>15.523777701648767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>
        <f>FZ80*VLOOKUP('Données projet'!$B$17,Paramètres!$A$1:$I$89,3,0)*VLOOKUP('Données projet'!$B$17,Paramètres!$A$1:$I$89,5,0)</f>
        <v>0</v>
      </c>
      <c r="GB80" s="13" t="e">
        <f t="shared" si="103"/>
        <v>#NUM!</v>
      </c>
      <c r="GC80" s="20" t="e">
        <f t="shared" si="79"/>
        <v>#NUM!</v>
      </c>
      <c r="GD80" s="59" t="e">
        <f t="shared" si="80"/>
        <v>#NUM!</v>
      </c>
      <c r="GE80" s="59">
        <f ca="1">AVERAGE(OFFSET($GD$3,0,0,'Données projet'!$E$17+1,1))-AVERAGE(OFFSET($H$3,0,0,'Données projet'!$E$17+1,1))</f>
        <v>153.43773674911449</v>
      </c>
      <c r="GF80" s="59">
        <f t="shared" si="104"/>
        <v>235.49395036616602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87.497834359948811</v>
      </c>
      <c r="GM80" s="21">
        <f>EXP(-LN(2)/25)*GM79+(1-EXP(-LN(2)/25))/(LN(2)/25)*Calculateur!GH80*Calculateur!GJ80*VLOOKUP('Données projet'!$B$17,Paramètres!$A$1:$I$89,3,0)*0.475*44/12</f>
        <v>53.606288018735981</v>
      </c>
      <c r="GN80" s="21">
        <f>EXP(-LN(2)/2)*GN79+(1-EXP(-LN(2)/2))/(LN(2)/2)*GH80*GK80*VLOOKUP('Données projet'!$B$17,Paramètres!$A$1:$I$89,3,0)*0.475*44/12</f>
        <v>0</v>
      </c>
      <c r="GO80" s="21">
        <f t="shared" si="81"/>
        <v>141.10412237868479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3</v>
      </c>
      <c r="GU80" s="12">
        <f>IF('Données projet'!$A$270&gt;35,GU79+GT80-HC79,IF(A80&lt;'Données projet'!$A$270,$GR$205^A80,IF(A80='Données projet'!$A$270,'Données projet'!$B$270,GU79+GT80-HC79)))</f>
        <v>258.00000000000006</v>
      </c>
      <c r="GV80" s="17">
        <f>GU80*VLOOKUP('Données projet'!$B$18,Paramètres!$A$1:$I$89,3,0)*VLOOKUP('Données projet'!$B$18,Paramètres!$A$1:$I$89,5,0)</f>
        <v>205.26480000000006</v>
      </c>
      <c r="GW80" s="13">
        <f t="shared" si="105"/>
        <v>50.899455886133737</v>
      </c>
      <c r="GX80" s="20">
        <f t="shared" si="82"/>
        <v>446.15274566834961</v>
      </c>
      <c r="GY80" s="59">
        <f t="shared" si="83"/>
        <v>739.48607900168292</v>
      </c>
      <c r="GZ80" s="59">
        <f ca="1">AVERAGE(OFFSET($GY$3,0,0,'Données projet'!$E$18+1,1))-AVERAGE(OFFSET($H$3,0,0,'Données projet'!$E$18+1,1))</f>
        <v>198.11534486400666</v>
      </c>
      <c r="HA80" s="59">
        <f t="shared" si="106"/>
        <v>174.29856796517652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>
        <f>EXP(-LN(2)/35)*HG79+(1-EXP(-LN(2)/35))/(LN(2)/35)*HC80*HD80*VLOOKUP('Données projet'!$B$18,Paramètres!$A$1:$I$89,3,0)*0.475*44/12</f>
        <v>4.437874220482092</v>
      </c>
      <c r="HH80" s="21">
        <f>EXP(-LN(2)/25)*HH79+(1-EXP(-LN(2)/25))/(LN(2)/25)*Calculateur!HC80*Calculateur!HE80*VLOOKUP('Données projet'!$B$18,Paramètres!$A$1:$I$89,3,0)*0.475*44/12</f>
        <v>13.981633691447215</v>
      </c>
      <c r="HI80" s="21">
        <f>EXP(-LN(2)/2)*HI79+(1-EXP(-LN(2)/2))/(LN(2)/2)*HC80*HF80*VLOOKUP('Données projet'!$B$18,Paramètres!$A$1:$I$89,3,0)*0.475*44/12</f>
        <v>0.89012419505985252</v>
      </c>
      <c r="HJ80" s="22">
        <f t="shared" si="84"/>
        <v>19.309632106989159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</v>
      </c>
      <c r="N81" s="13">
        <f>IF('Données projet'!$A$36&gt;35,N80+M81-V80,IF(A81&lt;'Données projet'!$A$36,$K$205^A81,IF(A81='Données projet'!$A$36,'Données projet'!$B$36,N80+M81-V80)))</f>
        <v>444.00000000000023</v>
      </c>
      <c r="O81" s="13">
        <f>N81*VLOOKUP('Données projet'!$B$9,Paramètres!$A$1:$I$89,3,0)*VLOOKUP('Données projet'!$B$9,Paramètres!$A$1:$I$89,5,0)</f>
        <v>265.51200000000017</v>
      </c>
      <c r="P81" s="13">
        <f t="shared" si="87"/>
        <v>63.895875238848916</v>
      </c>
      <c r="Q81" s="20">
        <f t="shared" si="54"/>
        <v>573.71871604099545</v>
      </c>
      <c r="R81" s="59">
        <f t="shared" si="55"/>
        <v>867.05204937432882</v>
      </c>
      <c r="S81" s="59">
        <f ca="1">AVERAGE(OFFSET($R$3,0,0,'Données projet'!$E$9+1,1))-AVERAGE(OFFSET($H$3,0,0,'Données projet'!$E$9+1,1))</f>
        <v>295.19075440119076</v>
      </c>
      <c r="T81" s="59">
        <f t="shared" si="88"/>
        <v>173.0182327988216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6.2980624055971433</v>
      </c>
      <c r="AA81" s="21">
        <f>EXP(-LN(2)/25)*AA80+(1-EXP(-LN(2)/25))/(LN(2)/25)*Calculateur!V81*Calculateur!X81*VLOOKUP('Données projet'!$B$9,Paramètres!$A$1:$I$89,3,0)*0.475*44/12</f>
        <v>15.633603948846238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21.931666354443379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8.875</v>
      </c>
      <c r="AI81" s="13">
        <f>IF('Données projet'!$A$62&gt;35,AI80+AH81-AQ80,IF(A81&lt;'Données projet'!$A$62,$AF$205^A81,IF(A81='Données projet'!$A$62,'Données projet'!$B$62,AI80+AH81-AQ80)))</f>
        <v>531.5</v>
      </c>
      <c r="AJ81" s="13">
        <f>AI81*VLOOKUP('Données projet'!$B$10,Paramètres!$A$1:$I$89,3,0)*VLOOKUP('Données projet'!$B$10,Paramètres!$A$1:$I$89,5,0)</f>
        <v>317.83700000000005</v>
      </c>
      <c r="AK81" s="13">
        <f t="shared" si="89"/>
        <v>74.903121950927684</v>
      </c>
      <c r="AL81" s="20">
        <f t="shared" si="58"/>
        <v>684.0223790645324</v>
      </c>
      <c r="AM81" s="59">
        <f t="shared" si="59"/>
        <v>977.35571239786577</v>
      </c>
      <c r="AN81" s="59">
        <f ca="1">AVERAGE(OFFSET($AM$3,0,0,'Données projet'!$E$10+1,1))-AVERAGE(OFFSET($H$3,0,0,'Données projet'!$E$10+1,1))</f>
        <v>294.45857786714919</v>
      </c>
      <c r="AO81" s="59">
        <f t="shared" si="90"/>
        <v>221.9773436301067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37.485161858218305</v>
      </c>
      <c r="AV81" s="21">
        <f>EXP(-LN(2)/25)*AV80+(1-EXP(-LN(2)/25))/(LN(2)/25)*Calculateur!AQ81*Calculateur!AS81*VLOOKUP('Données projet'!$B$10,Paramètres!$A$1:$I$89,3,0)*0.475*44/12</f>
        <v>38.700451975417238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76.185613833635543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179.44051550872138</v>
      </c>
      <c r="BJ81" s="59">
        <f t="shared" si="92"/>
        <v>272.9500808380069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98.036634510353693</v>
      </c>
      <c r="BQ81" s="21">
        <f>EXP(-LN(2)/25)*BQ80+(1-EXP(-LN(2)/25))/(LN(2)/25)*Calculateur!BL81*Calculateur!BN81*VLOOKUP('Données projet'!$B$11,Paramètres!$A$1:$I$89,3,0)*0.475*44/12</f>
        <v>59.589052861521708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157.62568737187542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17</v>
      </c>
      <c r="BY81" s="12">
        <f>IF('Données projet'!$A$114&gt;35,BY80+BX81-CG80,IF(A81&lt;'Données projet'!$A$114,$BV$205^A81,IF(A81='Données projet'!$A$114,'Données projet'!$B$114,BY80+BX81-CG80)))</f>
        <v>517.99999999999989</v>
      </c>
      <c r="BZ81" s="13">
        <f>BY81*VLOOKUP('Données projet'!$B$12,Paramètres!$A$1:$I$89,3,0)*VLOOKUP('Données projet'!$B$12,Paramètres!$A$1:$I$89,5,0)</f>
        <v>242.42399999999995</v>
      </c>
      <c r="CA81" s="13">
        <f t="shared" si="93"/>
        <v>58.960760467659711</v>
      </c>
      <c r="CB81" s="20">
        <f t="shared" si="64"/>
        <v>524.91179114784052</v>
      </c>
      <c r="CC81" s="59">
        <f t="shared" si="65"/>
        <v>818.24512448117389</v>
      </c>
      <c r="CD81" s="59">
        <f ca="1">AVERAGE(OFFSET($CC$3,0,0,'Données projet'!$E$12+1,1))-AVERAGE(OFFSET($H$3,0,0,'Données projet'!$E$12+1,1))</f>
        <v>259.87681411271632</v>
      </c>
      <c r="CE81" s="59">
        <f t="shared" si="94"/>
        <v>191.8684235641158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27.880909544744661</v>
      </c>
      <c r="CL81" s="21">
        <f>EXP(-LN(2)/25)*CL80+(1-EXP(-LN(2)/25))/(LN(2)/25)*Calculateur!CG81*Calculateur!CI81*VLOOKUP('Données projet'!$B$12,Paramètres!$A$1:$I$89,3,0)*0.475*44/12</f>
        <v>41.272528721039755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69.153438265784416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3</v>
      </c>
      <c r="CT81" s="12">
        <f>IF('Données projet'!$A$140&gt;35,CT80+CS81-DB80,IF(A81&lt;'Données projet'!$A$140,$CQ$205^A81,IF(A81='Données projet'!$A$140,'Données projet'!$B$140,CT80+CS81-DB80)))</f>
        <v>261.00000000000006</v>
      </c>
      <c r="CU81" s="17">
        <f>CT81*VLOOKUP('Données projet'!$B$13,Paramètres!$A$1:$I$89,3,0)*VLOOKUP('Données projet'!$B$13,Paramètres!$A$1:$I$89,5,0)</f>
        <v>207.65160000000006</v>
      </c>
      <c r="CV81" s="13">
        <f t="shared" si="95"/>
        <v>51.422065813018108</v>
      </c>
      <c r="CW81" s="20">
        <f t="shared" si="67"/>
        <v>451.2199679576733</v>
      </c>
      <c r="CX81" s="59">
        <f t="shared" si="68"/>
        <v>744.55330129100662</v>
      </c>
      <c r="CY81" s="59">
        <f ca="1">AVERAGE(OFFSET($CX$3,0,0,'Données projet'!$E$13+1,1))-AVERAGE(OFFSET($H$3,0,0,'Données projet'!$E$13+1,1))</f>
        <v>198.11534486400666</v>
      </c>
      <c r="CZ81" s="59">
        <f t="shared" si="96"/>
        <v>174.29856796517652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4.3508502138544349</v>
      </c>
      <c r="DG81" s="21">
        <f>EXP(-LN(2)/25)*DG80+(1-EXP(-LN(2)/25))/(LN(2)/25)*Calculateur!DB81*Calculateur!DD81*VLOOKUP('Données projet'!$B$13,Paramètres!$A$1:$I$89,3,0)*0.475*44/12</f>
        <v>13.599305182892429</v>
      </c>
      <c r="DH81" s="21">
        <f>EXP(-LN(2)/2)*DH80+(1-EXP(-LN(2)/2))/(LN(2)/2)*DB81*DE81*VLOOKUP('Données projet'!$B$13,Paramètres!$A$1:$I$89,3,0)*0.475*44/12</f>
        <v>0.62941285442503891</v>
      </c>
      <c r="DI81" s="22">
        <f t="shared" si="69"/>
        <v>18.579568251171903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</v>
      </c>
      <c r="DO81" s="12">
        <f>IF('Données projet'!$A$166&gt;35,DO80+DN81-DW80,IF(A81&lt;'Données projet'!$A$166,$DL$205^A81,IF(A81='Données projet'!$A$166,'Données projet'!$B$166,DO80+DN81-DW80)))</f>
        <v>158</v>
      </c>
      <c r="DP81" s="17">
        <f>DO81*VLOOKUP('Données projet'!$B$14,Paramètres!$A$1:$I$89,3,0)*VLOOKUP('Données projet'!$B$14,Paramètres!$A$1:$I$89,5,0)</f>
        <v>160.21200000000002</v>
      </c>
      <c r="DQ81" s="13">
        <f t="shared" si="97"/>
        <v>40.890328912852695</v>
      </c>
      <c r="DR81" s="20">
        <f t="shared" si="70"/>
        <v>350.25322285655176</v>
      </c>
      <c r="DS81" s="59">
        <f t="shared" si="71"/>
        <v>643.58655618988507</v>
      </c>
      <c r="DT81" s="59">
        <f ca="1">AVERAGE(OFFSET($DS$3,0,0,'Données projet'!$E$14+1,1))-AVERAGE(OFFSET($H$3,0,0,'Données projet'!$E$14+1,1))</f>
        <v>247.92503505485405</v>
      </c>
      <c r="DU81" s="59">
        <f t="shared" si="98"/>
        <v>148.26437652597514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18.452698961690196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18.452698961690196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5</v>
      </c>
      <c r="EJ81" s="12">
        <f>IF('Données projet'!$A$192&gt;35,EJ80+EI81-ER80,IF(A81&lt;'Données projet'!$A$192,$EG$205^A81,IF(A81='Données projet'!$A$192,'Données projet'!$B$192,EJ80+EI81-ER80)))</f>
        <v>158</v>
      </c>
      <c r="EK81" s="17">
        <f>EJ81*VLOOKUP('Données projet'!$B$15,Paramètres!$A$1:$I$89,3,0)*VLOOKUP('Données projet'!$B$15,Paramètres!$A$1:$I$89,5,0)</f>
        <v>152.8176</v>
      </c>
      <c r="EL81" s="13">
        <f t="shared" si="99"/>
        <v>39.218200171484227</v>
      </c>
      <c r="EM81" s="20">
        <f t="shared" si="73"/>
        <v>334.46235196533502</v>
      </c>
      <c r="EN81" s="59">
        <f t="shared" si="74"/>
        <v>627.79568529866833</v>
      </c>
      <c r="EO81" s="59">
        <f ca="1">AVERAGE(OFFSET($EN$3,0,0,'Données projet'!$E$15+1,1))-AVERAGE(OFFSET($H$3,0,0,'Données projet'!$E$15+1,1))</f>
        <v>232.99870507181964</v>
      </c>
      <c r="EP81" s="59">
        <f t="shared" si="100"/>
        <v>140.07662669226278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17.601035932689104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17.601035932689104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3</v>
      </c>
      <c r="FE81" s="12">
        <f>IF('Données projet'!$A$218&gt;35,FE80+FD81-FM80,IF(A81&lt;'Données projet'!$A$218,$FB$205^A81,IF(A81='Données projet'!$A$218,'Données projet'!$B$218,FE80+FD81-FM80)))</f>
        <v>261.00000000000006</v>
      </c>
      <c r="FF81" s="17">
        <f>FE81*VLOOKUP('Données projet'!$B$16,Paramètres!$A$1:$I$89,3,0)*VLOOKUP('Données projet'!$B$16,Paramètres!$A$1:$I$89,5,0)</f>
        <v>203.58000000000004</v>
      </c>
      <c r="FG81" s="13">
        <f t="shared" si="101"/>
        <v>50.530129131114101</v>
      </c>
      <c r="FH81" s="20">
        <f t="shared" si="76"/>
        <v>442.57514157002379</v>
      </c>
      <c r="FI81" s="59">
        <f t="shared" si="77"/>
        <v>735.90847490335705</v>
      </c>
      <c r="FJ81" s="59">
        <f ca="1">AVERAGE(OFFSET($FI$3,0,0,'Données projet'!$E$16+1,1))-AVERAGE(OFFSET($H$3,0,0,'Données projet'!$E$16+1,1))</f>
        <v>193.47609744163839</v>
      </c>
      <c r="FK81" s="59">
        <f t="shared" si="102"/>
        <v>170.3221892406973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3.4607206658479601</v>
      </c>
      <c r="FR81" s="21">
        <f>EXP(-LN(2)/25)*FR80+(1-EXP(-LN(2)/25))/(LN(2)/25)*Calculateur!FM81*Calculateur!FO81*VLOOKUP('Données projet'!$B$16,Paramètres!$A$1:$I$89,3,0)*0.475*44/12</f>
        <v>10.817057396677294</v>
      </c>
      <c r="FS81" s="21">
        <f>EXP(-LN(2)/2)*FS80+(1-EXP(-LN(2)/2))/(LN(2)/2)*FM81*FP81*VLOOKUP('Données projet'!$B$16,Paramètres!$A$1:$I$89,3,0)*0.475*44/12</f>
        <v>0.61707142590690078</v>
      </c>
      <c r="FT81" s="22">
        <f t="shared" si="78"/>
        <v>14.894849488432154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>
        <f>FZ81*VLOOKUP('Données projet'!$B$17,Paramètres!$A$1:$I$89,3,0)*VLOOKUP('Données projet'!$B$17,Paramètres!$A$1:$I$89,5,0)</f>
        <v>0</v>
      </c>
      <c r="GB81" s="13" t="e">
        <f t="shared" si="103"/>
        <v>#NUM!</v>
      </c>
      <c r="GC81" s="20" t="e">
        <f t="shared" si="79"/>
        <v>#NUM!</v>
      </c>
      <c r="GD81" s="59" t="e">
        <f t="shared" si="80"/>
        <v>#NUM!</v>
      </c>
      <c r="GE81" s="59">
        <f ca="1">AVERAGE(OFFSET($GD$3,0,0,'Données projet'!$E$17+1,1))-AVERAGE(OFFSET($H$3,0,0,'Données projet'!$E$17+1,1))</f>
        <v>153.43773674911449</v>
      </c>
      <c r="GF81" s="59">
        <f t="shared" si="104"/>
        <v>235.49395036616602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85.782055196559483</v>
      </c>
      <c r="GM81" s="21">
        <f>EXP(-LN(2)/25)*GM80+(1-EXP(-LN(2)/25))/(LN(2)/25)*Calculateur!GH81*Calculateur!GJ81*VLOOKUP('Données projet'!$B$17,Paramètres!$A$1:$I$89,3,0)*0.475*44/12</f>
        <v>52.140421253831477</v>
      </c>
      <c r="GN81" s="21">
        <f>EXP(-LN(2)/2)*GN80+(1-EXP(-LN(2)/2))/(LN(2)/2)*GH81*GK81*VLOOKUP('Données projet'!$B$17,Paramètres!$A$1:$I$89,3,0)*0.475*44/12</f>
        <v>0</v>
      </c>
      <c r="GO81" s="21">
        <f t="shared" si="81"/>
        <v>137.92247645039095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3</v>
      </c>
      <c r="GU81" s="12">
        <f>IF('Données projet'!$A$270&gt;35,GU80+GT81-HC80,IF(A81&lt;'Données projet'!$A$270,$GR$205^A81,IF(A81='Données projet'!$A$270,'Données projet'!$B$270,GU80+GT81-HC80)))</f>
        <v>261.00000000000006</v>
      </c>
      <c r="GV81" s="17">
        <f>GU81*VLOOKUP('Données projet'!$B$18,Paramètres!$A$1:$I$89,3,0)*VLOOKUP('Données projet'!$B$18,Paramètres!$A$1:$I$89,5,0)</f>
        <v>207.65160000000006</v>
      </c>
      <c r="GW81" s="13">
        <f t="shared" si="105"/>
        <v>51.422065813018108</v>
      </c>
      <c r="GX81" s="20">
        <f t="shared" si="82"/>
        <v>451.2199679576733</v>
      </c>
      <c r="GY81" s="59">
        <f t="shared" si="83"/>
        <v>744.55330129100662</v>
      </c>
      <c r="GZ81" s="59">
        <f ca="1">AVERAGE(OFFSET($GY$3,0,0,'Données projet'!$E$18+1,1))-AVERAGE(OFFSET($H$3,0,0,'Données projet'!$E$18+1,1))</f>
        <v>198.11534486400666</v>
      </c>
      <c r="HA81" s="59">
        <f t="shared" si="106"/>
        <v>174.29856796517652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>
        <f>EXP(-LN(2)/35)*HG80+(1-EXP(-LN(2)/35))/(LN(2)/35)*HC81*HD81*VLOOKUP('Données projet'!$B$18,Paramètres!$A$1:$I$89,3,0)*0.475*44/12</f>
        <v>4.3508502138544349</v>
      </c>
      <c r="HH81" s="21">
        <f>EXP(-LN(2)/25)*HH80+(1-EXP(-LN(2)/25))/(LN(2)/25)*Calculateur!HC81*Calculateur!HE81*VLOOKUP('Données projet'!$B$18,Paramètres!$A$1:$I$89,3,0)*0.475*44/12</f>
        <v>13.599305182892429</v>
      </c>
      <c r="HI81" s="21">
        <f>EXP(-LN(2)/2)*HI80+(1-EXP(-LN(2)/2))/(LN(2)/2)*HC81*HF81*VLOOKUP('Données projet'!$B$18,Paramètres!$A$1:$I$89,3,0)*0.475*44/12</f>
        <v>0.62941285442503891</v>
      </c>
      <c r="HJ81" s="22">
        <f t="shared" si="84"/>
        <v>18.579568251171903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</v>
      </c>
      <c r="N82" s="13">
        <f>IF('Données projet'!$A$36&gt;35,N81+M82-V81,IF(A82&lt;'Données projet'!$A$36,$K$205^A82,IF(A82='Données projet'!$A$36,'Données projet'!$B$36,N81+M82-V81)))</f>
        <v>450.00000000000023</v>
      </c>
      <c r="O82" s="13">
        <f>N82*VLOOKUP('Données projet'!$B$9,Paramètres!$A$1:$I$89,3,0)*VLOOKUP('Données projet'!$B$9,Paramètres!$A$1:$I$89,5,0)</f>
        <v>269.10000000000014</v>
      </c>
      <c r="P82" s="13">
        <f t="shared" si="87"/>
        <v>64.658229472791049</v>
      </c>
      <c r="Q82" s="20">
        <f t="shared" si="54"/>
        <v>581.29558299844462</v>
      </c>
      <c r="R82" s="59">
        <f t="shared" si="55"/>
        <v>874.62891633177787</v>
      </c>
      <c r="S82" s="59">
        <f ca="1">AVERAGE(OFFSET($R$3,0,0,'Données projet'!$E$9+1,1))-AVERAGE(OFFSET($H$3,0,0,'Données projet'!$E$9+1,1))</f>
        <v>295.19075440119076</v>
      </c>
      <c r="T82" s="59">
        <f t="shared" si="88"/>
        <v>173.0182327988216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6.17456124326214</v>
      </c>
      <c r="AA82" s="21">
        <f>EXP(-LN(2)/25)*AA81+(1-EXP(-LN(2)/25))/(LN(2)/25)*Calculateur!V82*Calculateur!X82*VLOOKUP('Données projet'!$B$9,Paramètres!$A$1:$I$89,3,0)*0.475*44/12</f>
        <v>15.206102226729538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21.380663469991678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8.875</v>
      </c>
      <c r="AI82" s="13">
        <f>IF('Données projet'!$A$62&gt;35,AI81+AH82-AQ81,IF(A82&lt;'Données projet'!$A$62,$AF$205^A82,IF(A82='Données projet'!$A$62,'Données projet'!$B$62,AI81+AH82-AQ81)))</f>
        <v>540.375</v>
      </c>
      <c r="AJ82" s="13">
        <f>AI82*VLOOKUP('Données projet'!$B$10,Paramètres!$A$1:$I$89,3,0)*VLOOKUP('Données projet'!$B$10,Paramètres!$A$1:$I$89,5,0)</f>
        <v>323.14425000000006</v>
      </c>
      <c r="AK82" s="13">
        <f t="shared" si="89"/>
        <v>76.007203261088534</v>
      </c>
      <c r="AL82" s="20">
        <f t="shared" si="58"/>
        <v>695.18878109639593</v>
      </c>
      <c r="AM82" s="59">
        <f t="shared" si="59"/>
        <v>988.5221144297293</v>
      </c>
      <c r="AN82" s="59">
        <f ca="1">AVERAGE(OFFSET($AM$3,0,0,'Données projet'!$E$10+1,1))-AVERAGE(OFFSET($H$3,0,0,'Données projet'!$E$10+1,1))</f>
        <v>294.45857786714919</v>
      </c>
      <c r="AO82" s="59">
        <f t="shared" si="90"/>
        <v>221.9773436301067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36.750100697869776</v>
      </c>
      <c r="AV82" s="21">
        <f>EXP(-LN(2)/25)*AV81+(1-EXP(-LN(2)/25))/(LN(2)/25)*Calculateur!AQ82*Calculateur!AS82*VLOOKUP('Données projet'!$B$10,Paramètres!$A$1:$I$89,3,0)*0.475*44/12</f>
        <v>37.642186080981134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74.392286778850917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179.44051550872138</v>
      </c>
      <c r="BJ82" s="59">
        <f t="shared" si="92"/>
        <v>272.9500808380069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96.114195904048302</v>
      </c>
      <c r="BQ82" s="21">
        <f>EXP(-LN(2)/25)*BQ81+(1-EXP(-LN(2)/25))/(LN(2)/25)*Calculateur!BL82*Calculateur!BN82*VLOOKUP('Données projet'!$B$11,Paramètres!$A$1:$I$89,3,0)*0.475*44/12</f>
        <v>57.959587077371296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154.07378298141958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17</v>
      </c>
      <c r="BY82" s="12">
        <f>IF('Données projet'!$A$114&gt;35,BY81+BX82-CG81,IF(A82&lt;'Données projet'!$A$114,$BV$205^A82,IF(A82='Données projet'!$A$114,'Données projet'!$B$114,BY81+BX82-CG81)))</f>
        <v>534.99999999999989</v>
      </c>
      <c r="BZ82" s="13">
        <f>BY82*VLOOKUP('Données projet'!$B$12,Paramètres!$A$1:$I$89,3,0)*VLOOKUP('Données projet'!$B$12,Paramètres!$A$1:$I$89,5,0)</f>
        <v>250.37999999999997</v>
      </c>
      <c r="CA82" s="13">
        <f t="shared" si="93"/>
        <v>60.667304938736663</v>
      </c>
      <c r="CB82" s="20">
        <f t="shared" si="64"/>
        <v>541.74072276829952</v>
      </c>
      <c r="CC82" s="59">
        <f t="shared" si="65"/>
        <v>835.07405610163278</v>
      </c>
      <c r="CD82" s="59">
        <f ca="1">AVERAGE(OFFSET($CC$3,0,0,'Données projet'!$E$12+1,1))-AVERAGE(OFFSET($H$3,0,0,'Données projet'!$E$12+1,1))</f>
        <v>259.87681411271632</v>
      </c>
      <c r="CE82" s="59">
        <f t="shared" si="94"/>
        <v>191.8684235641158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27.334181914247868</v>
      </c>
      <c r="CL82" s="21">
        <f>EXP(-LN(2)/25)*CL81+(1-EXP(-LN(2)/25))/(LN(2)/25)*Calculateur!CG82*Calculateur!CI82*VLOOKUP('Données projet'!$B$12,Paramètres!$A$1:$I$89,3,0)*0.475*44/12</f>
        <v>40.143929252734971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67.478111166982842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3</v>
      </c>
      <c r="CT82" s="12">
        <f>IF('Données projet'!$A$140&gt;35,CT81+CS82-DB81,IF(A82&lt;'Données projet'!$A$140,$CQ$205^A82,IF(A82='Données projet'!$A$140,'Données projet'!$B$140,CT81+CS82-DB81)))</f>
        <v>264.00000000000006</v>
      </c>
      <c r="CU82" s="17">
        <f>CT82*VLOOKUP('Données projet'!$B$13,Paramètres!$A$1:$I$89,3,0)*VLOOKUP('Données projet'!$B$13,Paramètres!$A$1:$I$89,5,0)</f>
        <v>210.03840000000008</v>
      </c>
      <c r="CV82" s="13">
        <f t="shared" si="95"/>
        <v>51.943976975133623</v>
      </c>
      <c r="CW82" s="20">
        <f t="shared" si="67"/>
        <v>456.28597323169123</v>
      </c>
      <c r="CX82" s="59">
        <f t="shared" si="68"/>
        <v>749.61930656502454</v>
      </c>
      <c r="CY82" s="59">
        <f ca="1">AVERAGE(OFFSET($CX$3,0,0,'Données projet'!$E$13+1,1))-AVERAGE(OFFSET($H$3,0,0,'Données projet'!$E$13+1,1))</f>
        <v>198.11534486400666</v>
      </c>
      <c r="CZ82" s="59">
        <f t="shared" si="96"/>
        <v>174.29856796517652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4.2655326949173435</v>
      </c>
      <c r="DG82" s="21">
        <f>EXP(-LN(2)/25)*DG81+(1-EXP(-LN(2)/25))/(LN(2)/25)*Calculateur!DB82*Calculateur!DD82*VLOOKUP('Données projet'!$B$13,Paramètres!$A$1:$I$89,3,0)*0.475*44/12</f>
        <v>13.227431467509858</v>
      </c>
      <c r="DH82" s="21">
        <f>EXP(-LN(2)/2)*DH81+(1-EXP(-LN(2)/2))/(LN(2)/2)*DB82*DE82*VLOOKUP('Données projet'!$B$13,Paramètres!$A$1:$I$89,3,0)*0.475*44/12</f>
        <v>0.44506209752992631</v>
      </c>
      <c r="DI82" s="22">
        <f t="shared" si="69"/>
        <v>17.938026259957127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</v>
      </c>
      <c r="DO82" s="12">
        <f>IF('Données projet'!$A$166&gt;35,DO81+DN82-DW81,IF(A82&lt;'Données projet'!$A$166,$DL$205^A82,IF(A82='Données projet'!$A$166,'Données projet'!$B$166,DO81+DN82-DW81)))</f>
        <v>163</v>
      </c>
      <c r="DP82" s="17">
        <f>DO82*VLOOKUP('Données projet'!$B$14,Paramètres!$A$1:$I$89,3,0)*VLOOKUP('Données projet'!$B$14,Paramètres!$A$1:$I$89,5,0)</f>
        <v>165.28200000000001</v>
      </c>
      <c r="DQ82" s="13">
        <f t="shared" si="97"/>
        <v>42.031623878204442</v>
      </c>
      <c r="DR82" s="20">
        <f t="shared" si="70"/>
        <v>361.07122825453939</v>
      </c>
      <c r="DS82" s="59">
        <f t="shared" si="71"/>
        <v>654.40456158787265</v>
      </c>
      <c r="DT82" s="59">
        <f ca="1">AVERAGE(OFFSET($DS$3,0,0,'Données projet'!$E$14+1,1))-AVERAGE(OFFSET($H$3,0,0,'Données projet'!$E$14+1,1))</f>
        <v>247.92503505485405</v>
      </c>
      <c r="DU82" s="59">
        <f t="shared" si="98"/>
        <v>148.26437652597514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17.948108938197514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17.948108938197514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5</v>
      </c>
      <c r="EJ82" s="12">
        <f>IF('Données projet'!$A$192&gt;35,EJ81+EI82-ER81,IF(A82&lt;'Données projet'!$A$192,$EG$205^A82,IF(A82='Données projet'!$A$192,'Données projet'!$B$192,EJ81+EI82-ER81)))</f>
        <v>163</v>
      </c>
      <c r="EK82" s="17">
        <f>EJ82*VLOOKUP('Données projet'!$B$15,Paramètres!$A$1:$I$89,3,0)*VLOOKUP('Données projet'!$B$15,Paramètres!$A$1:$I$89,5,0)</f>
        <v>157.65360000000001</v>
      </c>
      <c r="EL82" s="13">
        <f t="shared" si="99"/>
        <v>40.31282414727238</v>
      </c>
      <c r="EM82" s="20">
        <f t="shared" si="73"/>
        <v>344.79152205649939</v>
      </c>
      <c r="EN82" s="59">
        <f t="shared" si="74"/>
        <v>638.12485538983265</v>
      </c>
      <c r="EO82" s="59">
        <f ca="1">AVERAGE(OFFSET($EN$3,0,0,'Données projet'!$E$15+1,1))-AVERAGE(OFFSET($H$3,0,0,'Données projet'!$E$15+1,1))</f>
        <v>232.99870507181964</v>
      </c>
      <c r="EP82" s="59">
        <f t="shared" si="100"/>
        <v>140.07662669226278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17.119734679511467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17.119734679511467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3</v>
      </c>
      <c r="FE82" s="12">
        <f>IF('Données projet'!$A$218&gt;35,FE81+FD82-FM81,IF(A82&lt;'Données projet'!$A$218,$FB$205^A82,IF(A82='Données projet'!$A$218,'Données projet'!$B$218,FE81+FD82-FM81)))</f>
        <v>264.00000000000006</v>
      </c>
      <c r="FF82" s="17">
        <f>FE82*VLOOKUP('Données projet'!$B$16,Paramètres!$A$1:$I$89,3,0)*VLOOKUP('Données projet'!$B$16,Paramètres!$A$1:$I$89,5,0)</f>
        <v>205.92000000000004</v>
      </c>
      <c r="FG82" s="13">
        <f t="shared" si="101"/>
        <v>51.042987531485686</v>
      </c>
      <c r="FH82" s="20">
        <f t="shared" si="76"/>
        <v>447.54386995067097</v>
      </c>
      <c r="FI82" s="59">
        <f t="shared" si="77"/>
        <v>740.87720328400428</v>
      </c>
      <c r="FJ82" s="59">
        <f ca="1">AVERAGE(OFFSET($FI$3,0,0,'Données projet'!$E$16+1,1))-AVERAGE(OFFSET($H$3,0,0,'Données projet'!$E$16+1,1))</f>
        <v>193.47609744163839</v>
      </c>
      <c r="FK82" s="59">
        <f t="shared" si="102"/>
        <v>170.3221892406973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3.3928580444218603</v>
      </c>
      <c r="FR82" s="21">
        <f>EXP(-LN(2)/25)*FR81+(1-EXP(-LN(2)/25))/(LN(2)/25)*Calculateur!FM82*Calculateur!FO82*VLOOKUP('Données projet'!$B$16,Paramètres!$A$1:$I$89,3,0)*0.475*44/12</f>
        <v>10.521264393320827</v>
      </c>
      <c r="FS82" s="21">
        <f>EXP(-LN(2)/2)*FS81+(1-EXP(-LN(2)/2))/(LN(2)/2)*FM82*FP82*VLOOKUP('Données projet'!$B$16,Paramètres!$A$1:$I$89,3,0)*0.475*44/12</f>
        <v>0.43633538973522179</v>
      </c>
      <c r="FT82" s="22">
        <f t="shared" si="78"/>
        <v>14.350457827477909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>
        <f>FZ82*VLOOKUP('Données projet'!$B$17,Paramètres!$A$1:$I$89,3,0)*VLOOKUP('Données projet'!$B$17,Paramètres!$A$1:$I$89,5,0)</f>
        <v>0</v>
      </c>
      <c r="GB82" s="13" t="e">
        <f t="shared" si="103"/>
        <v>#NUM!</v>
      </c>
      <c r="GC82" s="20" t="e">
        <f t="shared" si="79"/>
        <v>#NUM!</v>
      </c>
      <c r="GD82" s="59" t="e">
        <f t="shared" si="80"/>
        <v>#NUM!</v>
      </c>
      <c r="GE82" s="59">
        <f ca="1">AVERAGE(OFFSET($GD$3,0,0,'Données projet'!$E$17+1,1))-AVERAGE(OFFSET($H$3,0,0,'Données projet'!$E$17+1,1))</f>
        <v>153.43773674911449</v>
      </c>
      <c r="GF82" s="59">
        <f t="shared" si="104"/>
        <v>235.49395036616602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84.099921416042264</v>
      </c>
      <c r="GM82" s="21">
        <f>EXP(-LN(2)/25)*GM81+(1-EXP(-LN(2)/25))/(LN(2)/25)*Calculateur!GH82*Calculateur!GJ82*VLOOKUP('Données projet'!$B$17,Paramètres!$A$1:$I$89,3,0)*0.475*44/12</f>
        <v>50.714638692699872</v>
      </c>
      <c r="GN82" s="21">
        <f>EXP(-LN(2)/2)*GN81+(1-EXP(-LN(2)/2))/(LN(2)/2)*GH82*GK82*VLOOKUP('Données projet'!$B$17,Paramètres!$A$1:$I$89,3,0)*0.475*44/12</f>
        <v>0</v>
      </c>
      <c r="GO82" s="21">
        <f t="shared" si="81"/>
        <v>134.81456010874214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3</v>
      </c>
      <c r="GU82" s="12">
        <f>IF('Données projet'!$A$270&gt;35,GU81+GT82-HC81,IF(A82&lt;'Données projet'!$A$270,$GR$205^A82,IF(A82='Données projet'!$A$270,'Données projet'!$B$270,GU81+GT82-HC81)))</f>
        <v>264.00000000000006</v>
      </c>
      <c r="GV82" s="17">
        <f>GU82*VLOOKUP('Données projet'!$B$18,Paramètres!$A$1:$I$89,3,0)*VLOOKUP('Données projet'!$B$18,Paramètres!$A$1:$I$89,5,0)</f>
        <v>210.03840000000008</v>
      </c>
      <c r="GW82" s="13">
        <f t="shared" si="105"/>
        <v>51.943976975133623</v>
      </c>
      <c r="GX82" s="20">
        <f t="shared" si="82"/>
        <v>456.28597323169123</v>
      </c>
      <c r="GY82" s="59">
        <f t="shared" si="83"/>
        <v>749.61930656502454</v>
      </c>
      <c r="GZ82" s="59">
        <f ca="1">AVERAGE(OFFSET($GY$3,0,0,'Données projet'!$E$18+1,1))-AVERAGE(OFFSET($H$3,0,0,'Données projet'!$E$18+1,1))</f>
        <v>198.11534486400666</v>
      </c>
      <c r="HA82" s="59">
        <f t="shared" si="106"/>
        <v>174.29856796517652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>
        <f>EXP(-LN(2)/35)*HG81+(1-EXP(-LN(2)/35))/(LN(2)/35)*HC82*HD82*VLOOKUP('Données projet'!$B$18,Paramètres!$A$1:$I$89,3,0)*0.475*44/12</f>
        <v>4.2655326949173435</v>
      </c>
      <c r="HH82" s="21">
        <f>EXP(-LN(2)/25)*HH81+(1-EXP(-LN(2)/25))/(LN(2)/25)*Calculateur!HC82*Calculateur!HE82*VLOOKUP('Données projet'!$B$18,Paramètres!$A$1:$I$89,3,0)*0.475*44/12</f>
        <v>13.227431467509858</v>
      </c>
      <c r="HI82" s="21">
        <f>EXP(-LN(2)/2)*HI81+(1-EXP(-LN(2)/2))/(LN(2)/2)*HC82*HF82*VLOOKUP('Données projet'!$B$18,Paramètres!$A$1:$I$89,3,0)*0.475*44/12</f>
        <v>0.44506209752992631</v>
      </c>
      <c r="HJ82" s="22">
        <f t="shared" si="84"/>
        <v>17.938026259957127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456</v>
      </c>
      <c r="L83" s="12">
        <f>VLOOKUP(A83,'Données projet'!$A$35:$I$55,9,0)</f>
        <v>6</v>
      </c>
      <c r="M83" s="12">
        <f t="array" ref="M83">INDEX(L:L,MIN(IF(ISNUMBER(L83:L279),ROW(L83:L279),"")))</f>
        <v>6</v>
      </c>
      <c r="N83" s="13">
        <f>IF('Données projet'!$A$36&gt;35,N82+M83-V82,IF(A83&lt;'Données projet'!$A$36,$K$205^A83,IF(A83='Données projet'!$A$36,'Données projet'!$B$36,N82+M83-V82)))</f>
        <v>456.00000000000023</v>
      </c>
      <c r="O83" s="13">
        <f>N83*VLOOKUP('Données projet'!$B$9,Paramètres!$A$1:$I$89,3,0)*VLOOKUP('Données projet'!$B$9,Paramètres!$A$1:$I$89,5,0)</f>
        <v>272.68800000000016</v>
      </c>
      <c r="P83" s="13">
        <f t="shared" si="87"/>
        <v>65.419401413587593</v>
      </c>
      <c r="Q83" s="20">
        <f t="shared" si="54"/>
        <v>588.87039079533201</v>
      </c>
      <c r="R83" s="59">
        <f t="shared" si="55"/>
        <v>882.20372412866527</v>
      </c>
      <c r="S83" s="59">
        <f ca="1">AVERAGE(OFFSET($R$3,0,0,'Données projet'!$E$9+1,1))-AVERAGE(OFFSET($H$3,0,0,'Données projet'!$E$9+1,1))</f>
        <v>295.19075440119076</v>
      </c>
      <c r="T83" s="59">
        <f t="shared" si="88"/>
        <v>173.0182327988216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24</v>
      </c>
      <c r="W83" s="16">
        <f>IF(ISNA(VLOOKUP(A83,'Données projet'!$A$35:$I$55,5,0)),0%,VLOOKUP(A83,'Données projet'!$A$35:$I$55,5,0)*VLOOKUP('Données projet'!$B$9,Paramètres!$A$1:$I$89,7,0))</f>
        <v>0.18000000000000002</v>
      </c>
      <c r="X83" s="16">
        <f>IF(ISNA(VLOOKUP(A83,'Données projet'!$A$35:$I$55,6,0)),0%,VLOOKUP(A83,'Données projet'!$A$35:$I$55,6,0)*VLOOKUP('Données projet'!$B$9,Paramètres!$A$1:$I$89,7,0))</f>
        <v>0.27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9.4804754149965458</v>
      </c>
      <c r="AA83" s="21">
        <f>EXP(-LN(2)/25)*AA82+(1-EXP(-LN(2)/25))/(LN(2)/25)*Calculateur!V83*Calculateur!X83*VLOOKUP('Données projet'!$B$9,Paramètres!$A$1:$I$89,3,0)*0.475*44/12</f>
        <v>19.910540819992519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29.391016234989067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8.875</v>
      </c>
      <c r="AI83" s="13">
        <f>IF('Données projet'!$A$62&gt;35,AI82+AH83-AQ82,IF(A83&lt;'Données projet'!$A$62,$AF$205^A83,IF(A83='Données projet'!$A$62,'Données projet'!$B$62,AI82+AH83-AQ82)))</f>
        <v>549.25</v>
      </c>
      <c r="AJ83" s="13">
        <f>AI83*VLOOKUP('Données projet'!$B$10,Paramètres!$A$1:$I$89,3,0)*VLOOKUP('Données projet'!$B$10,Paramètres!$A$1:$I$89,5,0)</f>
        <v>328.45150000000001</v>
      </c>
      <c r="AK83" s="13">
        <f t="shared" si="89"/>
        <v>77.109175784158708</v>
      </c>
      <c r="AL83" s="20">
        <f t="shared" si="58"/>
        <v>706.35151032407646</v>
      </c>
      <c r="AM83" s="59">
        <f t="shared" si="59"/>
        <v>999.68484365740983</v>
      </c>
      <c r="AN83" s="59">
        <f ca="1">AVERAGE(OFFSET($AM$3,0,0,'Données projet'!$E$10+1,1))-AVERAGE(OFFSET($H$3,0,0,'Données projet'!$E$10+1,1))</f>
        <v>294.45857786714919</v>
      </c>
      <c r="AO83" s="59">
        <f t="shared" si="90"/>
        <v>221.9773436301067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36.029453638532644</v>
      </c>
      <c r="AV83" s="21">
        <f>EXP(-LN(2)/25)*AV82+(1-EXP(-LN(2)/25))/(LN(2)/25)*Calculateur!AQ83*Calculateur!AS83*VLOOKUP('Données projet'!$B$10,Paramètres!$A$1:$I$89,3,0)*0.475*44/12</f>
        <v>36.61285852308017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72.642312161612807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179.44051550872138</v>
      </c>
      <c r="BJ83" s="59">
        <f t="shared" si="92"/>
        <v>272.9500808380069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94.229455146240795</v>
      </c>
      <c r="BQ83" s="21">
        <f>EXP(-LN(2)/25)*BQ82+(1-EXP(-LN(2)/25))/(LN(2)/25)*Calculateur!BL83*Calculateur!BN83*VLOOKUP('Données projet'!$B$11,Paramètres!$A$1:$I$89,3,0)*0.475*44/12</f>
        <v>56.37467912077836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150.60413426701916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552</v>
      </c>
      <c r="BW83" s="12">
        <f>VLOOKUP(A83,'Données projet'!$A$113:$I$133,9,0)</f>
        <v>17</v>
      </c>
      <c r="BX83" s="12">
        <f t="array" ref="BX83">INDEX(BW:BW,MIN(IF(ISNUMBER(BW83:BW279),ROW(BW83:BW279),"")))</f>
        <v>17</v>
      </c>
      <c r="BY83" s="12">
        <f>IF('Données projet'!$A$114&gt;35,BY82+BX83-CG82,IF(A83&lt;'Données projet'!$A$114,$BV$205^A83,IF(A83='Données projet'!$A$114,'Données projet'!$B$114,BY82+BX83-CG82)))</f>
        <v>551.99999999999989</v>
      </c>
      <c r="BZ83" s="13">
        <f>BY83*VLOOKUP('Données projet'!$B$12,Paramètres!$A$1:$I$89,3,0)*VLOOKUP('Données projet'!$B$12,Paramètres!$A$1:$I$89,5,0)</f>
        <v>258.33599999999996</v>
      </c>
      <c r="CA83" s="13">
        <f t="shared" si="93"/>
        <v>62.367547966451262</v>
      </c>
      <c r="CB83" s="20">
        <f t="shared" si="64"/>
        <v>558.55867937490245</v>
      </c>
      <c r="CC83" s="59">
        <f t="shared" si="65"/>
        <v>851.89201270823582</v>
      </c>
      <c r="CD83" s="59">
        <f ca="1">AVERAGE(OFFSET($CC$3,0,0,'Données projet'!$E$12+1,1))-AVERAGE(OFFSET($H$3,0,0,'Données projet'!$E$12+1,1))</f>
        <v>259.87681411271632</v>
      </c>
      <c r="CE83" s="59">
        <f t="shared" si="94"/>
        <v>191.8684235641158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110</v>
      </c>
      <c r="CH83" s="16">
        <f>IF(ISNA(VLOOKUP(A83,'Données projet'!$A$113:$I$133,5,0)),0%,VLOOKUP(A83,'Données projet'!$A$113:$I$133,5,0)*VLOOKUP('Données projet'!$B$12,Paramètres!$A$1:$I$89,7,0))</f>
        <v>0.33</v>
      </c>
      <c r="CI83" s="16">
        <f>IF(ISNA(VLOOKUP(A83,'Données projet'!$A$113:$I$133,6,0)),0%,VLOOKUP(A83,'Données projet'!$A$113:$I$133,6,0)*VLOOKUP('Données projet'!$B$12,Paramètres!$A$1:$I$89,7,0))</f>
        <v>0.22000000000000003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49.33438287390328</v>
      </c>
      <c r="CL83" s="21">
        <f>EXP(-LN(2)/25)*CL82+(1-EXP(-LN(2)/25))/(LN(2)/25)*Calculateur!CG83*Calculateur!CI83*VLOOKUP('Données projet'!$B$12,Paramètres!$A$1:$I$89,3,0)*0.475*44/12</f>
        <v>54.011174035254847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103.34555690915812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267</v>
      </c>
      <c r="CR83" s="12">
        <f>VLOOKUP(A83,'Données projet'!$A$139:$I$159,9,0)</f>
        <v>3</v>
      </c>
      <c r="CS83" s="12">
        <f t="array" ref="CS83">INDEX(CR:CR,MIN(IF(ISNUMBER(CR83:CR279),ROW(CR83:CR279),"")))</f>
        <v>3</v>
      </c>
      <c r="CT83" s="12">
        <f>IF('Données projet'!$A$140&gt;35,CT82+CS83-DB82,IF(A83&lt;'Données projet'!$A$140,$CQ$205^A83,IF(A83='Données projet'!$A$140,'Données projet'!$B$140,CT82+CS83-DB82)))</f>
        <v>267.00000000000006</v>
      </c>
      <c r="CU83" s="17">
        <f>CT83*VLOOKUP('Données projet'!$B$13,Paramètres!$A$1:$I$89,3,0)*VLOOKUP('Données projet'!$B$13,Paramètres!$A$1:$I$89,5,0)</f>
        <v>212.42520000000007</v>
      </c>
      <c r="CV83" s="13">
        <f t="shared" si="95"/>
        <v>52.465198231787234</v>
      </c>
      <c r="CW83" s="20">
        <f t="shared" si="67"/>
        <v>461.35077692036288</v>
      </c>
      <c r="CX83" s="59">
        <f t="shared" si="68"/>
        <v>754.68411025369619</v>
      </c>
      <c r="CY83" s="59">
        <f ca="1">AVERAGE(OFFSET($CX$3,0,0,'Données projet'!$E$13+1,1))-AVERAGE(OFFSET($H$3,0,0,'Données projet'!$E$13+1,1))</f>
        <v>198.11534486400666</v>
      </c>
      <c r="CZ83" s="59">
        <f t="shared" si="96"/>
        <v>174.29856796517652</v>
      </c>
      <c r="DA83" s="15" t="str">
        <f>IF(ISNA(VLOOKUP(A83,'Données projet'!$A$139:$I$159,3,0)),0,VLOOKUP(A83,'Données projet'!$A$139:$I$159,3,0))</f>
        <v>CR</v>
      </c>
      <c r="DB83" s="15">
        <f>IF(ISNA(VLOOKUP(A83,'Données projet'!$A$139:$I$159,4,0)),0,VLOOKUP(A83,'Données projet'!$A$139:$I$159,4,0))</f>
        <v>267</v>
      </c>
      <c r="DC83" s="16">
        <f>IF(ISNA(VLOOKUP(A83,'Données projet'!$A$139:$I$159,5,0)),0%,VLOOKUP(A83,'Données projet'!$A$139:$I$159,5,0)*VLOOKUP('Données projet'!$B$13,Paramètres!$A$1:$I$89,7,0))</f>
        <v>0.318</v>
      </c>
      <c r="DD83" s="16">
        <f>IF(ISNA(VLOOKUP(A83,'Données projet'!$A$139:$I$159,6,0)),0%,VLOOKUP(A83,'Données projet'!$A$139:$I$159,6,0)*VLOOKUP('Données projet'!$B$13,Paramètres!$A$1:$I$89,7,0))</f>
        <v>5.3000000000000005E-2</v>
      </c>
      <c r="DE83" s="16">
        <f>IF(ISNA(VLOOKUP(A83,'Données projet'!$A$139:$I$159,7,0)),0%,VLOOKUP(A83,'Données projet'!$A$139:$I$159,7,0))</f>
        <v>0.1</v>
      </c>
      <c r="DF83" s="21">
        <f>EXP(-LN(2)/35)*DF82+(1-EXP(-LN(2)/35))/(LN(2)/35)*DB83*DC83*VLOOKUP('Données projet'!$B$13,Paramètres!$A$1:$I$89,3,0)*0.475*44/12</f>
        <v>78.85775393679144</v>
      </c>
      <c r="DG83" s="21">
        <f>EXP(-LN(2)/25)*DG82+(1-EXP(-LN(2)/25))/(LN(2)/25)*Calculateur!DB83*Calculateur!DD83*VLOOKUP('Données projet'!$B$13,Paramètres!$A$1:$I$89,3,0)*0.475*44/12</f>
        <v>25.262699724957741</v>
      </c>
      <c r="DH83" s="21">
        <f>EXP(-LN(2)/2)*DH82+(1-EXP(-LN(2)/2))/(LN(2)/2)*DB83*DE83*VLOOKUP('Données projet'!$B$13,Paramètres!$A$1:$I$89,3,0)*0.475*44/12</f>
        <v>20.357595781255771</v>
      </c>
      <c r="DI83" s="22">
        <f t="shared" si="69"/>
        <v>124.47804944300495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5</v>
      </c>
      <c r="DO83" s="12">
        <f>IF('Données projet'!$A$166&gt;35,DO82+DN83-DW82,IF(A83&lt;'Données projet'!$A$166,$DL$205^A83,IF(A83='Données projet'!$A$166,'Données projet'!$B$166,DO82+DN83-DW82)))</f>
        <v>168</v>
      </c>
      <c r="DP83" s="17">
        <f>DO83*VLOOKUP('Données projet'!$B$14,Paramètres!$A$1:$I$89,3,0)*VLOOKUP('Données projet'!$B$14,Paramètres!$A$1:$I$89,5,0)</f>
        <v>170.352</v>
      </c>
      <c r="DQ83" s="13">
        <f t="shared" si="97"/>
        <v>43.168850382694451</v>
      </c>
      <c r="DR83" s="20">
        <f t="shared" si="70"/>
        <v>371.88214774985948</v>
      </c>
      <c r="DS83" s="59">
        <f t="shared" si="71"/>
        <v>665.2154810831928</v>
      </c>
      <c r="DT83" s="59">
        <f ca="1">AVERAGE(OFFSET($DS$3,0,0,'Données projet'!$E$14+1,1))-AVERAGE(OFFSET($H$3,0,0,'Données projet'!$E$14+1,1))</f>
        <v>247.92503505485405</v>
      </c>
      <c r="DU83" s="59">
        <f t="shared" si="98"/>
        <v>148.26437652597514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17.457316955432475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17.457316955432475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5</v>
      </c>
      <c r="EJ83" s="12">
        <f>IF('Données projet'!$A$192&gt;35,EJ82+EI83-ER82,IF(A83&lt;'Données projet'!$A$192,$EG$205^A83,IF(A83='Données projet'!$A$192,'Données projet'!$B$192,EJ82+EI83-ER82)))</f>
        <v>168</v>
      </c>
      <c r="EK83" s="17">
        <f>EJ83*VLOOKUP('Données projet'!$B$15,Paramètres!$A$1:$I$89,3,0)*VLOOKUP('Données projet'!$B$15,Paramètres!$A$1:$I$89,5,0)</f>
        <v>162.4896</v>
      </c>
      <c r="EL83" s="13">
        <f t="shared" si="99"/>
        <v>41.403546033820696</v>
      </c>
      <c r="EM83" s="20">
        <f t="shared" si="73"/>
        <v>355.11389600890431</v>
      </c>
      <c r="EN83" s="59">
        <f t="shared" si="74"/>
        <v>648.44722934223762</v>
      </c>
      <c r="EO83" s="59">
        <f ca="1">AVERAGE(OFFSET($EN$3,0,0,'Données projet'!$E$15+1,1))-AVERAGE(OFFSET($H$3,0,0,'Données projet'!$E$15+1,1))</f>
        <v>232.99870507181964</v>
      </c>
      <c r="EP83" s="59">
        <f t="shared" si="100"/>
        <v>140.07662669226278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16.651594634412508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16.651594634412508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>
        <f>VLOOKUP(A83,'Données projet'!$A$217:$I$237,2,0)</f>
        <v>267</v>
      </c>
      <c r="FC83" s="12">
        <f>VLOOKUP(A83,'Données projet'!$A$217:$I$237,9,0)</f>
        <v>3</v>
      </c>
      <c r="FD83" s="12">
        <f t="array" ref="FD83">INDEX(FC:FC,MIN(IF(ISNUMBER(FC83:FC279),ROW(FC83:FC279),"")))</f>
        <v>3</v>
      </c>
      <c r="FE83" s="12">
        <f>IF('Données projet'!$A$218&gt;35,FE82+FD83-FM82,IF(A83&lt;'Données projet'!$A$218,$FB$205^A83,IF(A83='Données projet'!$A$218,'Données projet'!$B$218,FE82+FD83-FM82)))</f>
        <v>267.00000000000006</v>
      </c>
      <c r="FF83" s="17">
        <f>FE83*VLOOKUP('Données projet'!$B$16,Paramètres!$A$1:$I$89,3,0)*VLOOKUP('Données projet'!$B$16,Paramètres!$A$1:$I$89,5,0)</f>
        <v>208.26000000000005</v>
      </c>
      <c r="FG83" s="13">
        <f t="shared" si="101"/>
        <v>51.555167993086684</v>
      </c>
      <c r="FH83" s="20">
        <f t="shared" si="76"/>
        <v>452.51141758795939</v>
      </c>
      <c r="FI83" s="59">
        <f t="shared" si="77"/>
        <v>745.84475092129264</v>
      </c>
      <c r="FJ83" s="59">
        <f ca="1">AVERAGE(OFFSET($FI$3,0,0,'Données projet'!$E$16+1,1))-AVERAGE(OFFSET($H$3,0,0,'Données projet'!$E$16+1,1))</f>
        <v>193.47609744163839</v>
      </c>
      <c r="FK83" s="59">
        <f t="shared" si="102"/>
        <v>170.3221892406973</v>
      </c>
      <c r="FL83" s="15" t="str">
        <f>IF(ISNA(VLOOKUP(A83,'Données projet'!$A$217:$I$237,3,0)),0,VLOOKUP(A83,'Données projet'!$A$217:$I$237,3,0))</f>
        <v>CR</v>
      </c>
      <c r="FM83" s="15">
        <f>IF(ISNA(VLOOKUP(A83,'Données projet'!$A$217:$I$237,4,0)),0,VLOOKUP(A83,'Données projet'!$A$217:$I$237,4,0))</f>
        <v>267</v>
      </c>
      <c r="FN83" s="16">
        <f>IF(ISNA(VLOOKUP(A83,'Données projet'!$A$217:$I$237,5,0)),0%,VLOOKUP(A83,'Données projet'!$A$217:$I$237,5,0)*VLOOKUP('Données projet'!$B$16,Paramètres!$A$1:$I$89,7,0))</f>
        <v>0.25800000000000001</v>
      </c>
      <c r="FO83" s="16">
        <f>IF(ISNA(VLOOKUP(A83,'Données projet'!$A$217:$I$237,6,0)),0%,VLOOKUP(A83,'Données projet'!$A$217:$I$237,6,0)*VLOOKUP('Données projet'!$B$16,Paramètres!$A$1:$I$89,7,0))</f>
        <v>4.3000000000000003E-2</v>
      </c>
      <c r="FP83" s="16">
        <f>IF(ISNA(VLOOKUP(A83,'Données projet'!$A$217:$I$237,7,0)),0%,VLOOKUP(A83,'Données projet'!$A$217:$I$237,7,0))</f>
        <v>0.1</v>
      </c>
      <c r="FQ83" s="21">
        <f>EXP(-LN(2)/35)*FQ82+(1-EXP(-LN(2)/35))/(LN(2)/35)*FM83*FN83*VLOOKUP('Données projet'!$B$16,Paramètres!$A$1:$I$89,3,0)*0.475*44/12</f>
        <v>62.724443567925135</v>
      </c>
      <c r="FR83" s="21">
        <f>EXP(-LN(2)/25)*FR82+(1-EXP(-LN(2)/25))/(LN(2)/25)*Calculateur!FM83*Calculateur!FO83*VLOOKUP('Données projet'!$B$16,Paramètres!$A$1:$I$89,3,0)*0.475*44/12</f>
        <v>20.094267261805086</v>
      </c>
      <c r="FS83" s="21">
        <f>EXP(-LN(2)/2)*FS82+(1-EXP(-LN(2)/2))/(LN(2)/2)*FM83*FP83*VLOOKUP('Données projet'!$B$16,Paramètres!$A$1:$I$89,3,0)*0.475*44/12</f>
        <v>19.958427236525264</v>
      </c>
      <c r="FT83" s="22">
        <f t="shared" si="78"/>
        <v>102.77713806625549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>
        <f>FZ83*VLOOKUP('Données projet'!$B$17,Paramètres!$A$1:$I$89,3,0)*VLOOKUP('Données projet'!$B$17,Paramètres!$A$1:$I$89,5,0)</f>
        <v>0</v>
      </c>
      <c r="GB83" s="13" t="e">
        <f t="shared" si="103"/>
        <v>#NUM!</v>
      </c>
      <c r="GC83" s="20" t="e">
        <f t="shared" si="79"/>
        <v>#NUM!</v>
      </c>
      <c r="GD83" s="59" t="e">
        <f t="shared" si="80"/>
        <v>#NUM!</v>
      </c>
      <c r="GE83" s="59">
        <f ca="1">AVERAGE(OFFSET($GD$3,0,0,'Données projet'!$E$17+1,1))-AVERAGE(OFFSET($H$3,0,0,'Données projet'!$E$17+1,1))</f>
        <v>153.43773674911449</v>
      </c>
      <c r="GF83" s="59">
        <f t="shared" si="104"/>
        <v>235.49395036616602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82.450773252960687</v>
      </c>
      <c r="GM83" s="21">
        <f>EXP(-LN(2)/25)*GM82+(1-EXP(-LN(2)/25))/(LN(2)/25)*Calculateur!GH83*Calculateur!GJ83*VLOOKUP('Données projet'!$B$17,Paramètres!$A$1:$I$89,3,0)*0.475*44/12</f>
        <v>49.327844230681052</v>
      </c>
      <c r="GN83" s="21">
        <f>EXP(-LN(2)/2)*GN82+(1-EXP(-LN(2)/2))/(LN(2)/2)*GH83*GK83*VLOOKUP('Données projet'!$B$17,Paramètres!$A$1:$I$89,3,0)*0.475*44/12</f>
        <v>0</v>
      </c>
      <c r="GO83" s="21">
        <f t="shared" si="81"/>
        <v>131.77861748364174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>
        <f>VLOOKUP(A83,'Données projet'!$A$269:$I$289,2,0)</f>
        <v>267</v>
      </c>
      <c r="GS83" s="12">
        <f>VLOOKUP(A83,'Données projet'!$A$269:$I$289,9,0)</f>
        <v>3</v>
      </c>
      <c r="GT83" s="12">
        <f t="array" ref="GT83">INDEX(GS:GS,MIN(IF(ISNUMBER(GS83:GS279),ROW(GS83:GS279),"")))</f>
        <v>3</v>
      </c>
      <c r="GU83" s="12">
        <f>IF('Données projet'!$A$270&gt;35,GU82+GT83-HC82,IF(A83&lt;'Données projet'!$A$270,$GR$205^A83,IF(A83='Données projet'!$A$270,'Données projet'!$B$270,GU82+GT83-HC82)))</f>
        <v>267.00000000000006</v>
      </c>
      <c r="GV83" s="17">
        <f>GU83*VLOOKUP('Données projet'!$B$18,Paramètres!$A$1:$I$89,3,0)*VLOOKUP('Données projet'!$B$18,Paramètres!$A$1:$I$89,5,0)</f>
        <v>212.42520000000007</v>
      </c>
      <c r="GW83" s="13">
        <f t="shared" si="105"/>
        <v>52.465198231787234</v>
      </c>
      <c r="GX83" s="20">
        <f t="shared" si="82"/>
        <v>461.35077692036288</v>
      </c>
      <c r="GY83" s="59">
        <f t="shared" si="83"/>
        <v>754.68411025369619</v>
      </c>
      <c r="GZ83" s="59">
        <f ca="1">AVERAGE(OFFSET($GY$3,0,0,'Données projet'!$E$18+1,1))-AVERAGE(OFFSET($H$3,0,0,'Données projet'!$E$18+1,1))</f>
        <v>198.11534486400666</v>
      </c>
      <c r="HA83" s="59">
        <f t="shared" si="106"/>
        <v>174.29856796517652</v>
      </c>
      <c r="HB83" s="15" t="str">
        <f>IF(ISNA(VLOOKUP(A83,'Données projet'!$A$269:$I$289,3,0)),0,VLOOKUP(A83,'Données projet'!$A$269:$I$289,3,0))</f>
        <v>CR</v>
      </c>
      <c r="HC83" s="15">
        <f>IF(ISNA(VLOOKUP(A83,'Données projet'!$A$269:$I$289,4,0)),0,VLOOKUP(A83,'Données projet'!$A$269:$I$289,4,0))</f>
        <v>267</v>
      </c>
      <c r="HD83" s="16">
        <f>IF(ISNA(VLOOKUP(A83,'Données projet'!$A$269:$I$289,5,0)),0%,VLOOKUP(A83,'Données projet'!$A$269:$I$289,5,0)*VLOOKUP('Données projet'!$B$18,Paramètres!$A$1:$I$89,7,0))</f>
        <v>0.318</v>
      </c>
      <c r="HE83" s="16">
        <f>IF(ISNA(VLOOKUP(A83,'Données projet'!$A$269:$I$289,6,0)),0%,VLOOKUP(A83,'Données projet'!$A$269:$I$289,6,0)*VLOOKUP('Données projet'!$B$18,Paramètres!$A$1:$I$89,7,0))</f>
        <v>5.3000000000000005E-2</v>
      </c>
      <c r="HF83" s="16">
        <f>IF(ISNA(VLOOKUP(A83,'Données projet'!$A$269:$I$289,7,0)),0%,VLOOKUP(A83,'Données projet'!$A$269:$I$289,7,0))</f>
        <v>0.1</v>
      </c>
      <c r="HG83" s="21">
        <f>EXP(-LN(2)/35)*HG82+(1-EXP(-LN(2)/35))/(LN(2)/35)*HC83*HD83*VLOOKUP('Données projet'!$B$18,Paramètres!$A$1:$I$89,3,0)*0.475*44/12</f>
        <v>78.85775393679144</v>
      </c>
      <c r="HH83" s="21">
        <f>EXP(-LN(2)/25)*HH82+(1-EXP(-LN(2)/25))/(LN(2)/25)*Calculateur!HC83*Calculateur!HE83*VLOOKUP('Données projet'!$B$18,Paramètres!$A$1:$I$89,3,0)*0.475*44/12</f>
        <v>25.262699724957741</v>
      </c>
      <c r="HI83" s="21">
        <f>EXP(-LN(2)/2)*HI82+(1-EXP(-LN(2)/2))/(LN(2)/2)*HC83*HF83*VLOOKUP('Données projet'!$B$18,Paramètres!$A$1:$I$89,3,0)*0.475*44/12</f>
        <v>20.357595781255771</v>
      </c>
      <c r="HJ83" s="22">
        <f t="shared" si="84"/>
        <v>124.47804944300495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5.4</v>
      </c>
      <c r="N84" s="13">
        <f>IF('Données projet'!$A$36&gt;35,N83+M84-V83,IF(A84&lt;'Données projet'!$A$36,$K$205^A84,IF(A84='Données projet'!$A$36,'Données projet'!$B$36,N83+M84-V83)))</f>
        <v>437.4000000000002</v>
      </c>
      <c r="O84" s="13">
        <f>N84*VLOOKUP('Données projet'!$B$9,Paramètres!$A$1:$I$89,3,0)*VLOOKUP('Données projet'!$B$9,Paramètres!$A$1:$I$89,5,0)</f>
        <v>261.56520000000012</v>
      </c>
      <c r="P84" s="13">
        <f t="shared" si="87"/>
        <v>63.055898711509336</v>
      </c>
      <c r="Q84" s="20">
        <f t="shared" si="54"/>
        <v>565.38174692254552</v>
      </c>
      <c r="R84" s="59">
        <f t="shared" si="55"/>
        <v>858.71508025587877</v>
      </c>
      <c r="S84" s="59">
        <f ca="1">AVERAGE(OFFSET($R$3,0,0,'Données projet'!$E$9+1,1))-AVERAGE(OFFSET($H$3,0,0,'Données projet'!$E$9+1,1))</f>
        <v>295.19075440119076</v>
      </c>
      <c r="T84" s="59">
        <f t="shared" si="88"/>
        <v>173.0182327988216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9.2945690746274909</v>
      </c>
      <c r="AA84" s="21">
        <f>EXP(-LN(2)/25)*AA83+(1-EXP(-LN(2)/25))/(LN(2)/25)*Calculateur!V84*Calculateur!X84*VLOOKUP('Données projet'!$B$9,Paramètres!$A$1:$I$89,3,0)*0.475*44/12</f>
        <v>19.36608603421999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28.660655108847479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8.875</v>
      </c>
      <c r="AI84" s="13">
        <f>IF('Données projet'!$A$62&gt;35,AI83+AH84-AQ83,IF(A84&lt;'Données projet'!$A$62,$AF$205^A84,IF(A84='Données projet'!$A$62,'Données projet'!$B$62,AI83+AH84-AQ83)))</f>
        <v>558.125</v>
      </c>
      <c r="AJ84" s="13">
        <f>AI84*VLOOKUP('Données projet'!$B$10,Paramètres!$A$1:$I$89,3,0)*VLOOKUP('Données projet'!$B$10,Paramètres!$A$1:$I$89,5,0)</f>
        <v>333.75875000000002</v>
      </c>
      <c r="AK84" s="13">
        <f t="shared" si="89"/>
        <v>78.209077528625059</v>
      </c>
      <c r="AL84" s="20">
        <f t="shared" si="58"/>
        <v>717.5106329456886</v>
      </c>
      <c r="AM84" s="59">
        <f t="shared" si="59"/>
        <v>1010.843966279022</v>
      </c>
      <c r="AN84" s="59">
        <f ca="1">AVERAGE(OFFSET($AM$3,0,0,'Données projet'!$E$10+1,1))-AVERAGE(OFFSET($H$3,0,0,'Données projet'!$E$10+1,1))</f>
        <v>294.45857786714919</v>
      </c>
      <c r="AO84" s="59">
        <f t="shared" si="90"/>
        <v>221.9773436301067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35.322938028477807</v>
      </c>
      <c r="AV84" s="21">
        <f>EXP(-LN(2)/25)*AV83+(1-EXP(-LN(2)/25))/(LN(2)/25)*Calculateur!AQ84*Calculateur!AS84*VLOOKUP('Données projet'!$B$10,Paramètres!$A$1:$I$89,3,0)*0.475*44/12</f>
        <v>35.611677981379991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70.934616009857791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179.44051550872138</v>
      </c>
      <c r="BJ84" s="59">
        <f t="shared" si="92"/>
        <v>272.9500808380069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92.38167300511553</v>
      </c>
      <c r="BQ84" s="21">
        <f>EXP(-LN(2)/25)*BQ83+(1-EXP(-LN(2)/25))/(LN(2)/25)*Calculateur!BL84*Calculateur!BN84*VLOOKUP('Données projet'!$B$11,Paramètres!$A$1:$I$89,3,0)*0.475*44/12</f>
        <v>54.833110555605145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147.21478356072066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17.399999999999999</v>
      </c>
      <c r="BY84" s="12">
        <f>IF('Données projet'!$A$114&gt;35,BY83+BX84-CG83,IF(A84&lt;'Données projet'!$A$114,$BV$205^A84,IF(A84='Données projet'!$A$114,'Données projet'!$B$114,BY83+BX84-CG83)))</f>
        <v>459.39999999999986</v>
      </c>
      <c r="BZ84" s="13">
        <f>BY84*VLOOKUP('Données projet'!$B$12,Paramètres!$A$1:$I$89,3,0)*VLOOKUP('Données projet'!$B$12,Paramètres!$A$1:$I$89,5,0)</f>
        <v>214.99919999999995</v>
      </c>
      <c r="CA84" s="13">
        <f t="shared" si="93"/>
        <v>53.026536335878575</v>
      </c>
      <c r="CB84" s="20">
        <f t="shared" si="64"/>
        <v>466.81149078498834</v>
      </c>
      <c r="CC84" s="59">
        <f t="shared" si="65"/>
        <v>760.14482411832159</v>
      </c>
      <c r="CD84" s="59">
        <f ca="1">AVERAGE(OFFSET($CC$3,0,0,'Données projet'!$E$12+1,1))-AVERAGE(OFFSET($H$3,0,0,'Données projet'!$E$12+1,1))</f>
        <v>259.87681411271632</v>
      </c>
      <c r="CE84" s="59">
        <f t="shared" si="94"/>
        <v>191.8684235641158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48.366965716748354</v>
      </c>
      <c r="CL84" s="21">
        <f>EXP(-LN(2)/25)*CL83+(1-EXP(-LN(2)/25))/(LN(2)/25)*Calculateur!CG84*Calculateur!CI84*VLOOKUP('Données projet'!$B$12,Paramètres!$A$1:$I$89,3,0)*0.475*44/12</f>
        <v>52.534235640936608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100.90120135768495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5.6843418860808015E-14</v>
      </c>
      <c r="CU84" s="17">
        <f>CT84*VLOOKUP('Données projet'!$B$13,Paramètres!$A$1:$I$89,3,0)*VLOOKUP('Données projet'!$B$13,Paramètres!$A$1:$I$89,5,0)</f>
        <v>4.5224624045658861E-14</v>
      </c>
      <c r="CV84" s="13">
        <f t="shared" si="95"/>
        <v>7.4514601661523691E-13</v>
      </c>
      <c r="CW84" s="20">
        <f t="shared" si="67"/>
        <v>1.3765621991510601E-12</v>
      </c>
      <c r="CX84" s="59">
        <f t="shared" si="68"/>
        <v>293.33333333333468</v>
      </c>
      <c r="CY84" s="59">
        <f ca="1">AVERAGE(OFFSET($CX$3,0,0,'Données projet'!$E$13+1,1))-AVERAGE(OFFSET($H$3,0,0,'Données projet'!$E$13+1,1))</f>
        <v>198.11534486400666</v>
      </c>
      <c r="CZ84" s="59">
        <f t="shared" si="96"/>
        <v>174.29856796517652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77.311401480571533</v>
      </c>
      <c r="DG84" s="21">
        <f>EXP(-LN(2)/25)*DG83+(1-EXP(-LN(2)/25))/(LN(2)/25)*Calculateur!DB84*Calculateur!DD84*VLOOKUP('Données projet'!$B$13,Paramètres!$A$1:$I$89,3,0)*0.475*44/12</f>
        <v>24.571889872471132</v>
      </c>
      <c r="DH84" s="21">
        <f>EXP(-LN(2)/2)*DH83+(1-EXP(-LN(2)/2))/(LN(2)/2)*DB84*DE84*VLOOKUP('Données projet'!$B$13,Paramètres!$A$1:$I$89,3,0)*0.475*44/12</f>
        <v>14.394994025580608</v>
      </c>
      <c r="DI84" s="22">
        <f t="shared" si="69"/>
        <v>116.27828537862328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>
        <f>VLOOKUP(A84,'Données projet'!$A$165:$I$185,2,0)</f>
        <v>173</v>
      </c>
      <c r="DM84" s="12">
        <f>VLOOKUP(A84,'Données projet'!$A$165:$I$185,9,0)</f>
        <v>5</v>
      </c>
      <c r="DN84" s="12">
        <f t="array" ref="DN84">INDEX(DM:DM,MIN(IF(ISNUMBER(DM84:DM280),ROW(DM84:DM280),"")))</f>
        <v>5</v>
      </c>
      <c r="DO84" s="12">
        <f>IF('Données projet'!$A$166&gt;35,DO83+DN84-DW83,IF(A84&lt;'Données projet'!$A$166,$DL$205^A84,IF(A84='Données projet'!$A$166,'Données projet'!$B$166,DO83+DN84-DW83)))</f>
        <v>173</v>
      </c>
      <c r="DP84" s="17">
        <f>DO84*VLOOKUP('Données projet'!$B$14,Paramètres!$A$1:$I$89,3,0)*VLOOKUP('Données projet'!$B$14,Paramètres!$A$1:$I$89,5,0)</f>
        <v>175.422</v>
      </c>
      <c r="DQ84" s="13">
        <f t="shared" si="97"/>
        <v>44.302143412304737</v>
      </c>
      <c r="DR84" s="20">
        <f t="shared" si="70"/>
        <v>382.68621644309741</v>
      </c>
      <c r="DS84" s="59">
        <f t="shared" si="71"/>
        <v>676.01954977643072</v>
      </c>
      <c r="DT84" s="59">
        <f ca="1">AVERAGE(OFFSET($DS$3,0,0,'Données projet'!$E$14+1,1))-AVERAGE(OFFSET($H$3,0,0,'Données projet'!$E$14+1,1))</f>
        <v>247.92503505485405</v>
      </c>
      <c r="DU84" s="59">
        <f t="shared" si="98"/>
        <v>148.26437652597514</v>
      </c>
      <c r="DV84" s="15">
        <f>IF(ISNA(VLOOKUP(A84,'Données projet'!$A$165:$I$185,3,0)),0,VLOOKUP(A84,'Données projet'!$A$165:$I$185,3,0))</f>
        <v>6</v>
      </c>
      <c r="DW84" s="15">
        <f>IF(ISNA(VLOOKUP(A84,'Données projet'!$A$165:$I$185,4,0)),0,VLOOKUP(A84,'Données projet'!$A$165:$I$185,4,0))</f>
        <v>31</v>
      </c>
      <c r="DX84" s="16">
        <f>IF(ISNA(VLOOKUP(A84,'Données projet'!$A$165:$I$185,5,0)),0%,VLOOKUP(A84,'Données projet'!$A$165:$I$185,5,0)*VLOOKUP('Données projet'!$B$14,Paramètres!$A$1:$I$89,7,0))</f>
        <v>8.6000000000000007E-2</v>
      </c>
      <c r="DY84" s="16">
        <f>IF(ISNA(VLOOKUP(A84,'Données projet'!$A$165:$I$185,6,0)),0%,VLOOKUP(A84,'Données projet'!$A$165:$I$185,6,0)*VLOOKUP('Données projet'!$B$14,Paramètres!$A$1:$I$89,7,0))</f>
        <v>0.215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2.9884446082805334</v>
      </c>
      <c r="EB84" s="21">
        <f>EXP(-LN(2)/25)*EB83+(1-EXP(-LN(2)/25))/(LN(2)/25)*Calculateur!DW84*Calculateur!DY84*VLOOKUP('Données projet'!$B$14,Paramètres!$A$1:$I$89,3,0)*0.475*44/12</f>
        <v>24.421640613173441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27.410085221453976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>
        <f>VLOOKUP(A84,'Données projet'!$A$191:$I$211,2,0)</f>
        <v>173</v>
      </c>
      <c r="EH84" s="12">
        <f>VLOOKUP(A84,'Données projet'!$A$191:$I$211,9,0)</f>
        <v>5</v>
      </c>
      <c r="EI84" s="12">
        <f t="array" ref="EI84">INDEX(EH:EH,MIN(IF(ISNUMBER(EH84:EH280),ROW(EH84:EH280),"")))</f>
        <v>5</v>
      </c>
      <c r="EJ84" s="12">
        <f>IF('Données projet'!$A$192&gt;35,EJ83+EI84-ER83,IF(A84&lt;'Données projet'!$A$192,$EG$205^A84,IF(A84='Données projet'!$A$192,'Données projet'!$B$192,EJ83+EI84-ER83)))</f>
        <v>173</v>
      </c>
      <c r="EK84" s="17">
        <f>EJ84*VLOOKUP('Données projet'!$B$15,Paramètres!$A$1:$I$89,3,0)*VLOOKUP('Données projet'!$B$15,Paramètres!$A$1:$I$89,5,0)</f>
        <v>167.32560000000001</v>
      </c>
      <c r="EL84" s="13">
        <f t="shared" si="99"/>
        <v>42.490495297127609</v>
      </c>
      <c r="EM84" s="20">
        <f t="shared" si="73"/>
        <v>365.42969930916388</v>
      </c>
      <c r="EN84" s="59">
        <f t="shared" si="74"/>
        <v>658.76303264249714</v>
      </c>
      <c r="EO84" s="59">
        <f ca="1">AVERAGE(OFFSET($EN$3,0,0,'Données projet'!$E$15+1,1))-AVERAGE(OFFSET($H$3,0,0,'Données projet'!$E$15+1,1))</f>
        <v>232.99870507181964</v>
      </c>
      <c r="EP84" s="59">
        <f t="shared" si="100"/>
        <v>140.07662669226278</v>
      </c>
      <c r="EQ84" s="15">
        <f>IF(ISNA(VLOOKUP(A84,'Données projet'!$A$191:$I$211,3,0)),0,VLOOKUP(A84,'Données projet'!$A$191:$I$211,3,0))</f>
        <v>6</v>
      </c>
      <c r="ER84" s="15">
        <f>IF(ISNA(VLOOKUP(A84,'Données projet'!$A$191:$I$211,4,0)),0,VLOOKUP(A84,'Données projet'!$A$191:$I$211,4,0))</f>
        <v>31</v>
      </c>
      <c r="ES84" s="16">
        <f>IF(ISNA(VLOOKUP(A84,'Données projet'!$A$191:$I$211,5,0)),0%,VLOOKUP(A84,'Données projet'!$A$191:$I$211,5,0)*VLOOKUP('Données projet'!$B$15,Paramètres!$A$1:$I$89,7,0))</f>
        <v>8.6000000000000007E-2</v>
      </c>
      <c r="ET84" s="16">
        <f>IF(ISNA(VLOOKUP(A84,'Données projet'!$A$191:$I$211,6,0)),0%,VLOOKUP(A84,'Données projet'!$A$191:$I$211,6,0)*VLOOKUP('Données projet'!$B$15,Paramètres!$A$1:$I$89,7,0))</f>
        <v>0.215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2.8505163955906627</v>
      </c>
      <c r="EW84" s="21">
        <f>EXP(-LN(2)/25)*EW83+(1-EXP(-LN(2)/25))/(LN(2)/25)*Calculateur!ER84*Calculateur!ET84*VLOOKUP('Données projet'!$B$15,Paramètres!$A$1:$I$89,3,0)*0.475*44/12</f>
        <v>23.294487969488504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26.145004365079167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5.6843418860808015E-14</v>
      </c>
      <c r="FF84" s="17">
        <f>FE84*VLOOKUP('Données projet'!$B$16,Paramètres!$A$1:$I$89,3,0)*VLOOKUP('Données projet'!$B$16,Paramètres!$A$1:$I$89,5,0)</f>
        <v>4.4337866711430253E-14</v>
      </c>
      <c r="FG84" s="13">
        <f t="shared" si="101"/>
        <v>7.3222115536967035E-13</v>
      </c>
      <c r="FH84" s="20">
        <f t="shared" si="76"/>
        <v>1.3525069634579169E-12</v>
      </c>
      <c r="FI84" s="59">
        <f t="shared" si="77"/>
        <v>293.33333333333468</v>
      </c>
      <c r="FJ84" s="59">
        <f ca="1">AVERAGE(OFFSET($FI$3,0,0,'Données projet'!$E$16+1,1))-AVERAGE(OFFSET($H$3,0,0,'Données projet'!$E$16+1,1))</f>
        <v>193.47609744163839</v>
      </c>
      <c r="FK84" s="59">
        <f t="shared" si="102"/>
        <v>170.3221892406973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61.49445548769102</v>
      </c>
      <c r="FR84" s="21">
        <f>EXP(-LN(2)/25)*FR83+(1-EXP(-LN(2)/25))/(LN(2)/25)*Calculateur!FM84*Calculateur!FO84*VLOOKUP('Données projet'!$B$16,Paramètres!$A$1:$I$89,3,0)*0.475*44/12</f>
        <v>19.544788466819437</v>
      </c>
      <c r="FS84" s="21">
        <f>EXP(-LN(2)/2)*FS83+(1-EXP(-LN(2)/2))/(LN(2)/2)*FM84*FP84*VLOOKUP('Données projet'!$B$16,Paramètres!$A$1:$I$89,3,0)*0.475*44/12</f>
        <v>14.112739240765301</v>
      </c>
      <c r="FT84" s="22">
        <f t="shared" si="78"/>
        <v>95.151983195275761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>
        <f>FZ84*VLOOKUP('Données projet'!$B$17,Paramètres!$A$1:$I$89,3,0)*VLOOKUP('Données projet'!$B$17,Paramètres!$A$1:$I$89,5,0)</f>
        <v>0</v>
      </c>
      <c r="GB84" s="13" t="e">
        <f t="shared" si="103"/>
        <v>#NUM!</v>
      </c>
      <c r="GC84" s="20" t="e">
        <f t="shared" si="79"/>
        <v>#NUM!</v>
      </c>
      <c r="GD84" s="59" t="e">
        <f t="shared" si="80"/>
        <v>#NUM!</v>
      </c>
      <c r="GE84" s="59">
        <f ca="1">AVERAGE(OFFSET($GD$3,0,0,'Données projet'!$E$17+1,1))-AVERAGE(OFFSET($H$3,0,0,'Données projet'!$E$17+1,1))</f>
        <v>153.43773674911449</v>
      </c>
      <c r="GF84" s="59">
        <f t="shared" si="104"/>
        <v>235.49395036616602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80.833963879476087</v>
      </c>
      <c r="GM84" s="21">
        <f>EXP(-LN(2)/25)*GM83+(1-EXP(-LN(2)/25))/(LN(2)/25)*Calculateur!GH84*Calculateur!GJ84*VLOOKUP('Données projet'!$B$17,Paramètres!$A$1:$I$89,3,0)*0.475*44/12</f>
        <v>47.978971736154492</v>
      </c>
      <c r="GN84" s="21">
        <f>EXP(-LN(2)/2)*GN83+(1-EXP(-LN(2)/2))/(LN(2)/2)*GH84*GK84*VLOOKUP('Données projet'!$B$17,Paramètres!$A$1:$I$89,3,0)*0.475*44/12</f>
        <v>0</v>
      </c>
      <c r="GO84" s="21">
        <f t="shared" si="81"/>
        <v>128.81293561563058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5.6843418860808015E-14</v>
      </c>
      <c r="GV84" s="17">
        <f>GU84*VLOOKUP('Données projet'!$B$18,Paramètres!$A$1:$I$89,3,0)*VLOOKUP('Données projet'!$B$18,Paramètres!$A$1:$I$89,5,0)</f>
        <v>4.5224624045658861E-14</v>
      </c>
      <c r="GW84" s="13">
        <f t="shared" si="105"/>
        <v>7.4514601661523691E-13</v>
      </c>
      <c r="GX84" s="20">
        <f t="shared" si="82"/>
        <v>1.3765621991510601E-12</v>
      </c>
      <c r="GY84" s="59">
        <f t="shared" si="83"/>
        <v>293.33333333333468</v>
      </c>
      <c r="GZ84" s="59">
        <f ca="1">AVERAGE(OFFSET($GY$3,0,0,'Données projet'!$E$18+1,1))-AVERAGE(OFFSET($H$3,0,0,'Données projet'!$E$18+1,1))</f>
        <v>198.11534486400666</v>
      </c>
      <c r="HA84" s="59">
        <f t="shared" si="106"/>
        <v>174.29856796517652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>
        <f>EXP(-LN(2)/35)*HG83+(1-EXP(-LN(2)/35))/(LN(2)/35)*HC84*HD84*VLOOKUP('Données projet'!$B$18,Paramètres!$A$1:$I$89,3,0)*0.475*44/12</f>
        <v>77.311401480571533</v>
      </c>
      <c r="HH84" s="21">
        <f>EXP(-LN(2)/25)*HH83+(1-EXP(-LN(2)/25))/(LN(2)/25)*Calculateur!HC84*Calculateur!HE84*VLOOKUP('Données projet'!$B$18,Paramètres!$A$1:$I$89,3,0)*0.475*44/12</f>
        <v>24.571889872471132</v>
      </c>
      <c r="HI84" s="21">
        <f>EXP(-LN(2)/2)*HI83+(1-EXP(-LN(2)/2))/(LN(2)/2)*HC84*HF84*VLOOKUP('Données projet'!$B$18,Paramètres!$A$1:$I$89,3,0)*0.475*44/12</f>
        <v>14.394994025580608</v>
      </c>
      <c r="HJ84" s="22">
        <f t="shared" si="84"/>
        <v>116.27828537862328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5.4</v>
      </c>
      <c r="N85" s="13">
        <f>IF('Données projet'!$A$36&gt;35,N84+M85-V84,IF(A85&lt;'Données projet'!$A$36,$K$205^A85,IF(A85='Données projet'!$A$36,'Données projet'!$B$36,N84+M85-V84)))</f>
        <v>442.80000000000018</v>
      </c>
      <c r="O85" s="13">
        <f>N85*VLOOKUP('Données projet'!$B$9,Paramètres!$A$1:$I$89,3,0)*VLOOKUP('Données projet'!$B$9,Paramètres!$A$1:$I$89,5,0)</f>
        <v>264.79440000000017</v>
      </c>
      <c r="P85" s="13">
        <f t="shared" si="87"/>
        <v>63.743260954906233</v>
      </c>
      <c r="Q85" s="20">
        <f t="shared" si="54"/>
        <v>572.20309282979531</v>
      </c>
      <c r="R85" s="59">
        <f t="shared" si="55"/>
        <v>865.53642616312868</v>
      </c>
      <c r="S85" s="59">
        <f ca="1">AVERAGE(OFFSET($R$3,0,0,'Données projet'!$E$9+1,1))-AVERAGE(OFFSET($H$3,0,0,'Données projet'!$E$9+1,1))</f>
        <v>295.19075440119076</v>
      </c>
      <c r="T85" s="59">
        <f t="shared" si="88"/>
        <v>173.0182327988216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9.112308244201401</v>
      </c>
      <c r="AA85" s="21">
        <f>EXP(-LN(2)/25)*AA84+(1-EXP(-LN(2)/25))/(LN(2)/25)*Calculateur!V85*Calculateur!X85*VLOOKUP('Données projet'!$B$9,Paramètres!$A$1:$I$89,3,0)*0.475*44/12</f>
        <v>18.836519393196042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27.948827637397443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>
        <f>VLOOKUP(A85,'Données projet'!$A$61:$I$81,2,0)</f>
        <v>567</v>
      </c>
      <c r="AG85" s="12">
        <f>VLOOKUP(A85,'Données projet'!$A$61:$I$81,9,0)</f>
        <v>8.875</v>
      </c>
      <c r="AH85" s="12">
        <f t="array" ref="AH85">INDEX(AG:AG,MIN(IF(ISNUMBER(AG85:AG281),ROW(AG85:AG281),"")))</f>
        <v>8.875</v>
      </c>
      <c r="AI85" s="13">
        <f>IF('Données projet'!$A$62&gt;35,AI84+AH85-AQ84,IF(A85&lt;'Données projet'!$A$62,$AF$205^A85,IF(A85='Données projet'!$A$62,'Données projet'!$B$62,AI84+AH85-AQ84)))</f>
        <v>567</v>
      </c>
      <c r="AJ85" s="13">
        <f>AI85*VLOOKUP('Données projet'!$B$10,Paramètres!$A$1:$I$89,3,0)*VLOOKUP('Données projet'!$B$10,Paramètres!$A$1:$I$89,5,0)</f>
        <v>339.06600000000003</v>
      </c>
      <c r="AK85" s="13">
        <f t="shared" si="89"/>
        <v>79.30694522486489</v>
      </c>
      <c r="AL85" s="20">
        <f t="shared" si="58"/>
        <v>728.66621293330627</v>
      </c>
      <c r="AM85" s="59">
        <f t="shared" si="59"/>
        <v>1021.9995462666395</v>
      </c>
      <c r="AN85" s="59">
        <f ca="1">AVERAGE(OFFSET($AM$3,0,0,'Données projet'!$E$10+1,1))-AVERAGE(OFFSET($H$3,0,0,'Données projet'!$E$10+1,1))</f>
        <v>294.45857786714919</v>
      </c>
      <c r="AO85" s="59">
        <f t="shared" si="90"/>
        <v>221.9773436301067</v>
      </c>
      <c r="AP85" s="15" t="str">
        <f>IF(ISNA(VLOOKUP(A85,'Données projet'!$A$61:$I$81,3,0)),0,VLOOKUP(A85,'Données projet'!$A$61:$I$81,3,0))</f>
        <v>CR</v>
      </c>
      <c r="AQ85" s="15">
        <f>IF(ISNA(VLOOKUP(A85,'Données projet'!$A$61:$I$81,4,0)),0,VLOOKUP(A85,'Données projet'!$A$61:$I$81,4,0))</f>
        <v>567</v>
      </c>
      <c r="AR85" s="16">
        <f>IF(ISNA(VLOOKUP(A85,'Données projet'!$A$61:$I$81,5,0)),0%,VLOOKUP(A85,'Données projet'!$A$61:$I$81,5,0)*VLOOKUP('Données projet'!$B$10,Paramètres!$A$1:$I$89,7,0))</f>
        <v>0.315</v>
      </c>
      <c r="AS85" s="16">
        <f>IF(ISNA(VLOOKUP(A85,'Données projet'!$A$61:$I$81,6,0)),0%,VLOOKUP(A85,'Données projet'!$A$61:$I$81,6,0)*VLOOKUP('Données projet'!$B$10,Paramètres!$A$1:$I$89,7,0))</f>
        <v>0.13500000000000001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176.31504140774405</v>
      </c>
      <c r="AV85" s="21">
        <f>EXP(-LN(2)/25)*AV84+(1-EXP(-LN(2)/25))/(LN(2)/25)*Calculateur!AQ85*Calculateur!AS85*VLOOKUP('Données projet'!$B$10,Paramètres!$A$1:$I$89,3,0)*0.475*44/12</f>
        <v>95.120830950494593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271.43587235823861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179.44051550872138</v>
      </c>
      <c r="BJ85" s="59">
        <f t="shared" si="92"/>
        <v>272.9500808380069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90.570124744741918</v>
      </c>
      <c r="BQ85" s="21">
        <f>EXP(-LN(2)/25)*BQ84+(1-EXP(-LN(2)/25))/(LN(2)/25)*Calculateur!BL85*Calculateur!BN85*VLOOKUP('Données projet'!$B$11,Paramètres!$A$1:$I$89,3,0)*0.475*44/12</f>
        <v>53.333696263914163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143.90382100865608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17.399999999999999</v>
      </c>
      <c r="BY85" s="12">
        <f>IF('Données projet'!$A$114&gt;35,BY84+BX85-CG84,IF(A85&lt;'Données projet'!$A$114,$BV$205^A85,IF(A85='Données projet'!$A$114,'Données projet'!$B$114,BY84+BX85-CG84)))</f>
        <v>476.79999999999984</v>
      </c>
      <c r="BZ85" s="13">
        <f>BY85*VLOOKUP('Données projet'!$B$12,Paramètres!$A$1:$I$89,3,0)*VLOOKUP('Données projet'!$B$12,Paramètres!$A$1:$I$89,5,0)</f>
        <v>223.14239999999992</v>
      </c>
      <c r="CA85" s="13">
        <f t="shared" si="93"/>
        <v>54.797306059198448</v>
      </c>
      <c r="CB85" s="20">
        <f t="shared" si="64"/>
        <v>484.07832138643715</v>
      </c>
      <c r="CC85" s="59">
        <f t="shared" si="65"/>
        <v>777.41165471977047</v>
      </c>
      <c r="CD85" s="59">
        <f ca="1">AVERAGE(OFFSET($CC$3,0,0,'Données projet'!$E$12+1,1))-AVERAGE(OFFSET($H$3,0,0,'Données projet'!$E$12+1,1))</f>
        <v>259.87681411271632</v>
      </c>
      <c r="CE85" s="59">
        <f t="shared" si="94"/>
        <v>191.8684235641158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47.41851901997903</v>
      </c>
      <c r="CL85" s="21">
        <f>EXP(-LN(2)/25)*CL84+(1-EXP(-LN(2)/25))/(LN(2)/25)*Calculateur!CG85*Calculateur!CI85*VLOOKUP('Données projet'!$B$12,Paramètres!$A$1:$I$89,3,0)*0.475*44/12</f>
        <v>51.097684204679815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98.516203224658852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5.6843418860808015E-14</v>
      </c>
      <c r="CU85" s="17">
        <f>CT85*VLOOKUP('Données projet'!$B$13,Paramètres!$A$1:$I$89,3,0)*VLOOKUP('Données projet'!$B$13,Paramètres!$A$1:$I$89,5,0)</f>
        <v>4.5224624045658861E-14</v>
      </c>
      <c r="CV85" s="13">
        <f t="shared" si="95"/>
        <v>7.4514601661523691E-13</v>
      </c>
      <c r="CW85" s="20">
        <f t="shared" si="67"/>
        <v>1.3765621991510601E-12</v>
      </c>
      <c r="CX85" s="59">
        <f t="shared" si="68"/>
        <v>293.33333333333468</v>
      </c>
      <c r="CY85" s="59">
        <f ca="1">AVERAGE(OFFSET($CX$3,0,0,'Données projet'!$E$13+1,1))-AVERAGE(OFFSET($H$3,0,0,'Données projet'!$E$13+1,1))</f>
        <v>198.11534486400666</v>
      </c>
      <c r="CZ85" s="59">
        <f t="shared" si="96"/>
        <v>174.29856796517652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75.795372052836228</v>
      </c>
      <c r="DG85" s="21">
        <f>EXP(-LN(2)/25)*DG84+(1-EXP(-LN(2)/25))/(LN(2)/25)*Calculateur!DB85*Calculateur!DD85*VLOOKUP('Données projet'!$B$13,Paramètres!$A$1:$I$89,3,0)*0.475*44/12</f>
        <v>23.899970251728881</v>
      </c>
      <c r="DH85" s="21">
        <f>EXP(-LN(2)/2)*DH84+(1-EXP(-LN(2)/2))/(LN(2)/2)*DB85*DE85*VLOOKUP('Données projet'!$B$13,Paramètres!$A$1:$I$89,3,0)*0.475*44/12</f>
        <v>10.178797890627887</v>
      </c>
      <c r="DI85" s="22">
        <f t="shared" si="69"/>
        <v>109.87414019519301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4.666666666666667</v>
      </c>
      <c r="DO85" s="12">
        <f>IF('Données projet'!$A$166&gt;35,DO84+DN85-DW84,IF(A85&lt;'Données projet'!$A$166,$DL$205^A85,IF(A85='Données projet'!$A$166,'Données projet'!$B$166,DO84+DN85-DW84)))</f>
        <v>146.66666666666666</v>
      </c>
      <c r="DP85" s="17">
        <f>DO85*VLOOKUP('Données projet'!$B$14,Paramètres!$A$1:$I$89,3,0)*VLOOKUP('Données projet'!$B$14,Paramètres!$A$1:$I$89,5,0)</f>
        <v>148.72</v>
      </c>
      <c r="DQ85" s="13">
        <f t="shared" si="97"/>
        <v>38.287556101987391</v>
      </c>
      <c r="DR85" s="20">
        <f t="shared" si="70"/>
        <v>325.70482687762802</v>
      </c>
      <c r="DS85" s="59">
        <f t="shared" si="71"/>
        <v>619.03816021096134</v>
      </c>
      <c r="DT85" s="59">
        <f ca="1">AVERAGE(OFFSET($DS$3,0,0,'Données projet'!$E$14+1,1))-AVERAGE(OFFSET($H$3,0,0,'Données projet'!$E$14+1,1))</f>
        <v>247.92503505485405</v>
      </c>
      <c r="DU85" s="59">
        <f t="shared" si="98"/>
        <v>148.26437652597514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2.9298430322833795</v>
      </c>
      <c r="EB85" s="21">
        <f>EXP(-LN(2)/25)*EB84+(1-EXP(-LN(2)/25))/(LN(2)/25)*Calculateur!DW85*Calculateur!DY85*VLOOKUP('Données projet'!$B$14,Paramètres!$A$1:$I$89,3,0)*0.475*44/12</f>
        <v>23.753829566327951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26.683672598611331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4.666666666666667</v>
      </c>
      <c r="EJ85" s="12">
        <f>IF('Données projet'!$A$192&gt;35,EJ84+EI85-ER84,IF(A85&lt;'Données projet'!$A$192,$EG$205^A85,IF(A85='Données projet'!$A$192,'Données projet'!$B$192,EJ84+EI85-ER84)))</f>
        <v>146.66666666666666</v>
      </c>
      <c r="EK85" s="17">
        <f>EJ85*VLOOKUP('Données projet'!$B$15,Paramètres!$A$1:$I$89,3,0)*VLOOKUP('Données projet'!$B$15,Paramètres!$A$1:$I$89,5,0)</f>
        <v>141.85599999999999</v>
      </c>
      <c r="EL85" s="13">
        <f t="shared" si="99"/>
        <v>36.72186258234521</v>
      </c>
      <c r="EM85" s="20">
        <f t="shared" si="73"/>
        <v>311.02311066425125</v>
      </c>
      <c r="EN85" s="59">
        <f t="shared" si="74"/>
        <v>604.35644399758462</v>
      </c>
      <c r="EO85" s="59">
        <f ca="1">AVERAGE(OFFSET($EN$3,0,0,'Données projet'!$E$15+1,1))-AVERAGE(OFFSET($H$3,0,0,'Données projet'!$E$15+1,1))</f>
        <v>232.99870507181964</v>
      </c>
      <c r="EP85" s="59">
        <f t="shared" si="100"/>
        <v>140.07662669226278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2.7946195077164542</v>
      </c>
      <c r="EW85" s="21">
        <f>EXP(-LN(2)/25)*EW84+(1-EXP(-LN(2)/25))/(LN(2)/25)*Calculateur!ER85*Calculateur!ET85*VLOOKUP('Données projet'!$B$15,Paramètres!$A$1:$I$89,3,0)*0.475*44/12</f>
        <v>22.657498970958958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25.452118478675413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5.6843418860808015E-14</v>
      </c>
      <c r="FF85" s="17">
        <f>FE85*VLOOKUP('Données projet'!$B$16,Paramètres!$A$1:$I$89,3,0)*VLOOKUP('Données projet'!$B$16,Paramètres!$A$1:$I$89,5,0)</f>
        <v>4.4337866711430253E-14</v>
      </c>
      <c r="FG85" s="13">
        <f t="shared" si="101"/>
        <v>7.3222115536967035E-13</v>
      </c>
      <c r="FH85" s="20">
        <f t="shared" si="76"/>
        <v>1.3525069634579169E-12</v>
      </c>
      <c r="FI85" s="59">
        <f t="shared" si="77"/>
        <v>293.33333333333468</v>
      </c>
      <c r="FJ85" s="59">
        <f ca="1">AVERAGE(OFFSET($FI$3,0,0,'Données projet'!$E$16+1,1))-AVERAGE(OFFSET($H$3,0,0,'Données projet'!$E$16+1,1))</f>
        <v>193.47609744163839</v>
      </c>
      <c r="FK85" s="59">
        <f t="shared" si="102"/>
        <v>170.3221892406973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60.288586723491647</v>
      </c>
      <c r="FR85" s="21">
        <f>EXP(-LN(2)/25)*FR84+(1-EXP(-LN(2)/25))/(LN(2)/25)*Calculateur!FM85*Calculateur!FO85*VLOOKUP('Données projet'!$B$16,Paramètres!$A$1:$I$89,3,0)*0.475*44/12</f>
        <v>19.010335198378502</v>
      </c>
      <c r="FS85" s="21">
        <f>EXP(-LN(2)/2)*FS84+(1-EXP(-LN(2)/2))/(LN(2)/2)*FM85*FP85*VLOOKUP('Données projet'!$B$16,Paramètres!$A$1:$I$89,3,0)*0.475*44/12</f>
        <v>9.9792136182626336</v>
      </c>
      <c r="FT85" s="22">
        <f t="shared" si="78"/>
        <v>89.27813554013278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>
        <f>FZ85*VLOOKUP('Données projet'!$B$17,Paramètres!$A$1:$I$89,3,0)*VLOOKUP('Données projet'!$B$17,Paramètres!$A$1:$I$89,5,0)</f>
        <v>0</v>
      </c>
      <c r="GB85" s="13" t="e">
        <f t="shared" si="103"/>
        <v>#NUM!</v>
      </c>
      <c r="GC85" s="20" t="e">
        <f t="shared" si="79"/>
        <v>#NUM!</v>
      </c>
      <c r="GD85" s="59" t="e">
        <f t="shared" si="80"/>
        <v>#NUM!</v>
      </c>
      <c r="GE85" s="59">
        <f ca="1">AVERAGE(OFFSET($GD$3,0,0,'Données projet'!$E$17+1,1))-AVERAGE(OFFSET($H$3,0,0,'Données projet'!$E$17+1,1))</f>
        <v>153.43773674911449</v>
      </c>
      <c r="GF85" s="59">
        <f t="shared" si="104"/>
        <v>235.49395036616602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79.248859151649171</v>
      </c>
      <c r="GM85" s="21">
        <f>EXP(-LN(2)/25)*GM84+(1-EXP(-LN(2)/25))/(LN(2)/25)*Calculateur!GH85*Calculateur!GJ85*VLOOKUP('Données projet'!$B$17,Paramètres!$A$1:$I$89,3,0)*0.475*44/12</f>
        <v>46.666984230924882</v>
      </c>
      <c r="GN85" s="21">
        <f>EXP(-LN(2)/2)*GN84+(1-EXP(-LN(2)/2))/(LN(2)/2)*GH85*GK85*VLOOKUP('Données projet'!$B$17,Paramètres!$A$1:$I$89,3,0)*0.475*44/12</f>
        <v>0</v>
      </c>
      <c r="GO85" s="21">
        <f t="shared" si="81"/>
        <v>125.91584338257405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5.6843418860808015E-14</v>
      </c>
      <c r="GV85" s="17">
        <f>GU85*VLOOKUP('Données projet'!$B$18,Paramètres!$A$1:$I$89,3,0)*VLOOKUP('Données projet'!$B$18,Paramètres!$A$1:$I$89,5,0)</f>
        <v>4.5224624045658861E-14</v>
      </c>
      <c r="GW85" s="13">
        <f t="shared" si="105"/>
        <v>7.4514601661523691E-13</v>
      </c>
      <c r="GX85" s="20">
        <f t="shared" si="82"/>
        <v>1.3765621991510601E-12</v>
      </c>
      <c r="GY85" s="59">
        <f t="shared" si="83"/>
        <v>293.33333333333468</v>
      </c>
      <c r="GZ85" s="59">
        <f ca="1">AVERAGE(OFFSET($GY$3,0,0,'Données projet'!$E$18+1,1))-AVERAGE(OFFSET($H$3,0,0,'Données projet'!$E$18+1,1))</f>
        <v>198.11534486400666</v>
      </c>
      <c r="HA85" s="59">
        <f t="shared" si="106"/>
        <v>174.29856796517652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>
        <f>EXP(-LN(2)/35)*HG84+(1-EXP(-LN(2)/35))/(LN(2)/35)*HC85*HD85*VLOOKUP('Données projet'!$B$18,Paramètres!$A$1:$I$89,3,0)*0.475*44/12</f>
        <v>75.795372052836228</v>
      </c>
      <c r="HH85" s="21">
        <f>EXP(-LN(2)/25)*HH84+(1-EXP(-LN(2)/25))/(LN(2)/25)*Calculateur!HC85*Calculateur!HE85*VLOOKUP('Données projet'!$B$18,Paramètres!$A$1:$I$89,3,0)*0.475*44/12</f>
        <v>23.899970251728881</v>
      </c>
      <c r="HI85" s="21">
        <f>EXP(-LN(2)/2)*HI84+(1-EXP(-LN(2)/2))/(LN(2)/2)*HC85*HF85*VLOOKUP('Données projet'!$B$18,Paramètres!$A$1:$I$89,3,0)*0.475*44/12</f>
        <v>10.178797890627887</v>
      </c>
      <c r="HJ85" s="22">
        <f t="shared" si="84"/>
        <v>109.87414019519301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5.4</v>
      </c>
      <c r="N86" s="13">
        <f>IF('Données projet'!$A$36&gt;35,N85+M86-V85,IF(A86&lt;'Données projet'!$A$36,$K$205^A86,IF(A86='Données projet'!$A$36,'Données projet'!$B$36,N85+M86-V85)))</f>
        <v>448.20000000000016</v>
      </c>
      <c r="O86" s="13">
        <f>N86*VLOOKUP('Données projet'!$B$9,Paramètres!$A$1:$I$89,3,0)*VLOOKUP('Données projet'!$B$9,Paramètres!$A$1:$I$89,5,0)</f>
        <v>268.0236000000001</v>
      </c>
      <c r="P86" s="13">
        <f t="shared" si="87"/>
        <v>64.429648145853221</v>
      </c>
      <c r="Q86" s="20">
        <f t="shared" si="54"/>
        <v>579.02274052069447</v>
      </c>
      <c r="R86" s="59">
        <f t="shared" si="55"/>
        <v>872.35607385402773</v>
      </c>
      <c r="S86" s="59">
        <f ca="1">AVERAGE(OFFSET($R$3,0,0,'Données projet'!$E$9+1,1))-AVERAGE(OFFSET($H$3,0,0,'Données projet'!$E$9+1,1))</f>
        <v>295.19075440119076</v>
      </c>
      <c r="T86" s="59">
        <f t="shared" si="88"/>
        <v>173.0182327988216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8.933621437491837</v>
      </c>
      <c r="AA86" s="21">
        <f>EXP(-LN(2)/25)*AA85+(1-EXP(-LN(2)/25))/(LN(2)/25)*Calculateur!V86*Calculateur!X86*VLOOKUP('Données projet'!$B$9,Paramètres!$A$1:$I$89,3,0)*0.475*44/12</f>
        <v>18.321433779819593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27.25505521731143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294.45857786714919</v>
      </c>
      <c r="AO86" s="59">
        <f t="shared" si="90"/>
        <v>221.9773436301067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172.85761098729461</v>
      </c>
      <c r="AV86" s="21">
        <f>EXP(-LN(2)/25)*AV85+(1-EXP(-LN(2)/25))/(LN(2)/25)*Calculateur!AQ86*Calculateur!AS86*VLOOKUP('Données projet'!$B$10,Paramètres!$A$1:$I$89,3,0)*0.475*44/12</f>
        <v>92.519746825966223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265.3773578132608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179.44051550872138</v>
      </c>
      <c r="BJ86" s="59">
        <f t="shared" si="92"/>
        <v>272.9500808380069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88.794099840818902</v>
      </c>
      <c r="BQ86" s="21">
        <f>EXP(-LN(2)/25)*BQ85+(1-EXP(-LN(2)/25))/(LN(2)/25)*Calculateur!BL86*Calculateur!BN86*VLOOKUP('Données projet'!$B$11,Paramètres!$A$1:$I$89,3,0)*0.475*44/12</f>
        <v>51.875283534880239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140.66938337569914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17.399999999999999</v>
      </c>
      <c r="BY86" s="12">
        <f>IF('Données projet'!$A$114&gt;35,BY85+BX86-CG85,IF(A86&lt;'Données projet'!$A$114,$BV$205^A86,IF(A86='Données projet'!$A$114,'Données projet'!$B$114,BY85+BX86-CG85)))</f>
        <v>494.19999999999982</v>
      </c>
      <c r="BZ86" s="13">
        <f>BY86*VLOOKUP('Données projet'!$B$12,Paramètres!$A$1:$I$89,3,0)*VLOOKUP('Données projet'!$B$12,Paramètres!$A$1:$I$89,5,0)</f>
        <v>231.2855999999999</v>
      </c>
      <c r="CA86" s="13">
        <f t="shared" si="93"/>
        <v>56.560568066643818</v>
      </c>
      <c r="CB86" s="20">
        <f t="shared" si="64"/>
        <v>501.33207604940441</v>
      </c>
      <c r="CC86" s="59">
        <f t="shared" si="65"/>
        <v>794.66540938273772</v>
      </c>
      <c r="CD86" s="59">
        <f ca="1">AVERAGE(OFFSET($CC$3,0,0,'Données projet'!$E$12+1,1))-AVERAGE(OFFSET($H$3,0,0,'Données projet'!$E$12+1,1))</f>
        <v>259.87681411271632</v>
      </c>
      <c r="CE86" s="59">
        <f t="shared" si="94"/>
        <v>191.8684235641158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46.488670784437993</v>
      </c>
      <c r="CL86" s="21">
        <f>EXP(-LN(2)/25)*CL85+(1-EXP(-LN(2)/25))/(LN(2)/25)*Calculateur!CG86*Calculateur!CI86*VLOOKUP('Données projet'!$B$12,Paramètres!$A$1:$I$89,3,0)*0.475*44/12</f>
        <v>49.700415342992422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96.189086127430414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5.6843418860808015E-14</v>
      </c>
      <c r="CU86" s="17">
        <f>CT86*VLOOKUP('Données projet'!$B$13,Paramètres!$A$1:$I$89,3,0)*VLOOKUP('Données projet'!$B$13,Paramètres!$A$1:$I$89,5,0)</f>
        <v>4.5224624045658861E-14</v>
      </c>
      <c r="CV86" s="13">
        <f t="shared" si="95"/>
        <v>7.4514601661523691E-13</v>
      </c>
      <c r="CW86" s="20">
        <f t="shared" si="67"/>
        <v>1.3765621991510601E-12</v>
      </c>
      <c r="CX86" s="59">
        <f t="shared" si="68"/>
        <v>293.33333333333468</v>
      </c>
      <c r="CY86" s="59">
        <f ca="1">AVERAGE(OFFSET($CX$3,0,0,'Données projet'!$E$13+1,1))-AVERAGE(OFFSET($H$3,0,0,'Données projet'!$E$13+1,1))</f>
        <v>198.11534486400666</v>
      </c>
      <c r="CZ86" s="59">
        <f t="shared" si="96"/>
        <v>174.29856796517652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74.309071037492174</v>
      </c>
      <c r="DG86" s="21">
        <f>EXP(-LN(2)/25)*DG85+(1-EXP(-LN(2)/25))/(LN(2)/25)*Calculateur!DB86*Calculateur!DD86*VLOOKUP('Données projet'!$B$13,Paramètres!$A$1:$I$89,3,0)*0.475*44/12</f>
        <v>23.246424308350544</v>
      </c>
      <c r="DH86" s="21">
        <f>EXP(-LN(2)/2)*DH85+(1-EXP(-LN(2)/2))/(LN(2)/2)*DB86*DE86*VLOOKUP('Données projet'!$B$13,Paramètres!$A$1:$I$89,3,0)*0.475*44/12</f>
        <v>7.1974970127903051</v>
      </c>
      <c r="DI86" s="22">
        <f t="shared" si="69"/>
        <v>104.75299235863302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4.666666666666667</v>
      </c>
      <c r="DO86" s="12">
        <f>IF('Données projet'!$A$166&gt;35,DO85+DN86-DW85,IF(A86&lt;'Données projet'!$A$166,$DL$205^A86,IF(A86='Données projet'!$A$166,'Données projet'!$B$166,DO85+DN86-DW85)))</f>
        <v>151.33333333333331</v>
      </c>
      <c r="DP86" s="17">
        <f>DO86*VLOOKUP('Données projet'!$B$14,Paramètres!$A$1:$I$89,3,0)*VLOOKUP('Données projet'!$B$14,Paramètres!$A$1:$I$89,5,0)</f>
        <v>153.452</v>
      </c>
      <c r="DQ86" s="13">
        <f t="shared" si="97"/>
        <v>39.362023185337527</v>
      </c>
      <c r="DR86" s="20">
        <f t="shared" si="70"/>
        <v>335.81775704779619</v>
      </c>
      <c r="DS86" s="59">
        <f t="shared" si="71"/>
        <v>629.15109038112951</v>
      </c>
      <c r="DT86" s="59">
        <f ca="1">AVERAGE(OFFSET($DS$3,0,0,'Données projet'!$E$14+1,1))-AVERAGE(OFFSET($H$3,0,0,'Données projet'!$E$14+1,1))</f>
        <v>247.92503505485405</v>
      </c>
      <c r="DU86" s="59">
        <f t="shared" si="98"/>
        <v>148.26437652597514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2.8723905974480979</v>
      </c>
      <c r="EB86" s="21">
        <f>EXP(-LN(2)/25)*EB85+(1-EXP(-LN(2)/25))/(LN(2)/25)*Calculateur!DW86*Calculateur!DY86*VLOOKUP('Données projet'!$B$14,Paramètres!$A$1:$I$89,3,0)*0.475*44/12</f>
        <v>23.104279847677105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25.976670445125205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4.666666666666667</v>
      </c>
      <c r="EJ86" s="12">
        <f>IF('Données projet'!$A$192&gt;35,EJ85+EI86-ER85,IF(A86&lt;'Données projet'!$A$192,$EG$205^A86,IF(A86='Données projet'!$A$192,'Données projet'!$B$192,EJ85+EI86-ER85)))</f>
        <v>151.33333333333331</v>
      </c>
      <c r="EK86" s="17">
        <f>EJ86*VLOOKUP('Données projet'!$B$15,Paramètres!$A$1:$I$89,3,0)*VLOOKUP('Données projet'!$B$15,Paramètres!$A$1:$I$89,5,0)</f>
        <v>146.36959999999999</v>
      </c>
      <c r="EL86" s="13">
        <f t="shared" si="99"/>
        <v>37.752391469562149</v>
      </c>
      <c r="EM86" s="20">
        <f t="shared" si="73"/>
        <v>320.67913514282071</v>
      </c>
      <c r="EN86" s="59">
        <f t="shared" si="74"/>
        <v>614.01246847615403</v>
      </c>
      <c r="EO86" s="59">
        <f ca="1">AVERAGE(OFFSET($EN$3,0,0,'Données projet'!$E$15+1,1))-AVERAGE(OFFSET($H$3,0,0,'Données projet'!$E$15+1,1))</f>
        <v>232.99870507181964</v>
      </c>
      <c r="EP86" s="59">
        <f t="shared" si="100"/>
        <v>140.07662669226278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2.7398187237197238</v>
      </c>
      <c r="EW86" s="21">
        <f>EXP(-LN(2)/25)*EW85+(1-EXP(-LN(2)/25))/(LN(2)/25)*Calculateur!ER86*Calculateur!ET86*VLOOKUP('Données projet'!$B$15,Paramètres!$A$1:$I$89,3,0)*0.475*44/12</f>
        <v>22.037928470091998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24.77774719381172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5.6843418860808015E-14</v>
      </c>
      <c r="FF86" s="17">
        <f>FE86*VLOOKUP('Données projet'!$B$16,Paramètres!$A$1:$I$89,3,0)*VLOOKUP('Données projet'!$B$16,Paramètres!$A$1:$I$89,5,0)</f>
        <v>4.4337866711430253E-14</v>
      </c>
      <c r="FG86" s="13">
        <f t="shared" si="101"/>
        <v>7.3222115536967035E-13</v>
      </c>
      <c r="FH86" s="20">
        <f t="shared" si="76"/>
        <v>1.3525069634579169E-12</v>
      </c>
      <c r="FI86" s="59">
        <f t="shared" si="77"/>
        <v>293.33333333333468</v>
      </c>
      <c r="FJ86" s="59">
        <f ca="1">AVERAGE(OFFSET($FI$3,0,0,'Données projet'!$E$16+1,1))-AVERAGE(OFFSET($H$3,0,0,'Données projet'!$E$16+1,1))</f>
        <v>193.47609744163839</v>
      </c>
      <c r="FK86" s="59">
        <f t="shared" si="102"/>
        <v>170.3221892406973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59.106364310250903</v>
      </c>
      <c r="FR86" s="21">
        <f>EXP(-LN(2)/25)*FR85+(1-EXP(-LN(2)/25))/(LN(2)/25)*Calculateur!FM86*Calculateur!FO86*VLOOKUP('Données projet'!$B$16,Paramètres!$A$1:$I$89,3,0)*0.475*44/12</f>
        <v>18.490496582668762</v>
      </c>
      <c r="FS86" s="21">
        <f>EXP(-LN(2)/2)*FS85+(1-EXP(-LN(2)/2))/(LN(2)/2)*FM86*FP86*VLOOKUP('Données projet'!$B$16,Paramètres!$A$1:$I$89,3,0)*0.475*44/12</f>
        <v>7.056369620382652</v>
      </c>
      <c r="FT86" s="22">
        <f t="shared" si="78"/>
        <v>84.653230513302319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>
        <f>FZ86*VLOOKUP('Données projet'!$B$17,Paramètres!$A$1:$I$89,3,0)*VLOOKUP('Données projet'!$B$17,Paramètres!$A$1:$I$89,5,0)</f>
        <v>0</v>
      </c>
      <c r="GB86" s="13" t="e">
        <f t="shared" si="103"/>
        <v>#NUM!</v>
      </c>
      <c r="GC86" s="20" t="e">
        <f t="shared" si="79"/>
        <v>#NUM!</v>
      </c>
      <c r="GD86" s="59" t="e">
        <f t="shared" si="80"/>
        <v>#NUM!</v>
      </c>
      <c r="GE86" s="59">
        <f ca="1">AVERAGE(OFFSET($GD$3,0,0,'Données projet'!$E$17+1,1))-AVERAGE(OFFSET($H$3,0,0,'Données projet'!$E$17+1,1))</f>
        <v>153.43773674911449</v>
      </c>
      <c r="GF86" s="59">
        <f t="shared" si="104"/>
        <v>235.49395036616602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77.694837360716534</v>
      </c>
      <c r="GM86" s="21">
        <f>EXP(-LN(2)/25)*GM85+(1-EXP(-LN(2)/25))/(LN(2)/25)*Calculateur!GH86*Calculateur!GJ86*VLOOKUP('Données projet'!$B$17,Paramètres!$A$1:$I$89,3,0)*0.475*44/12</f>
        <v>45.390873093020197</v>
      </c>
      <c r="GN86" s="21">
        <f>EXP(-LN(2)/2)*GN85+(1-EXP(-LN(2)/2))/(LN(2)/2)*GH86*GK86*VLOOKUP('Données projet'!$B$17,Paramètres!$A$1:$I$89,3,0)*0.475*44/12</f>
        <v>0</v>
      </c>
      <c r="GO86" s="21">
        <f t="shared" si="81"/>
        <v>123.08571045373674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5.6843418860808015E-14</v>
      </c>
      <c r="GV86" s="17">
        <f>GU86*VLOOKUP('Données projet'!$B$18,Paramètres!$A$1:$I$89,3,0)*VLOOKUP('Données projet'!$B$18,Paramètres!$A$1:$I$89,5,0)</f>
        <v>4.5224624045658861E-14</v>
      </c>
      <c r="GW86" s="13">
        <f t="shared" si="105"/>
        <v>7.4514601661523691E-13</v>
      </c>
      <c r="GX86" s="20">
        <f t="shared" si="82"/>
        <v>1.3765621991510601E-12</v>
      </c>
      <c r="GY86" s="59">
        <f t="shared" si="83"/>
        <v>293.33333333333468</v>
      </c>
      <c r="GZ86" s="59">
        <f ca="1">AVERAGE(OFFSET($GY$3,0,0,'Données projet'!$E$18+1,1))-AVERAGE(OFFSET($H$3,0,0,'Données projet'!$E$18+1,1))</f>
        <v>198.11534486400666</v>
      </c>
      <c r="HA86" s="59">
        <f t="shared" si="106"/>
        <v>174.29856796517652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>
        <f>EXP(-LN(2)/35)*HG85+(1-EXP(-LN(2)/35))/(LN(2)/35)*HC86*HD86*VLOOKUP('Données projet'!$B$18,Paramètres!$A$1:$I$89,3,0)*0.475*44/12</f>
        <v>74.309071037492174</v>
      </c>
      <c r="HH86" s="21">
        <f>EXP(-LN(2)/25)*HH85+(1-EXP(-LN(2)/25))/(LN(2)/25)*Calculateur!HC86*Calculateur!HE86*VLOOKUP('Données projet'!$B$18,Paramètres!$A$1:$I$89,3,0)*0.475*44/12</f>
        <v>23.246424308350544</v>
      </c>
      <c r="HI86" s="21">
        <f>EXP(-LN(2)/2)*HI85+(1-EXP(-LN(2)/2))/(LN(2)/2)*HC86*HF86*VLOOKUP('Données projet'!$B$18,Paramètres!$A$1:$I$89,3,0)*0.475*44/12</f>
        <v>7.1974970127903051</v>
      </c>
      <c r="HJ86" s="22">
        <f t="shared" si="84"/>
        <v>104.75299235863302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5.4</v>
      </c>
      <c r="N87" s="13">
        <f>IF('Données projet'!$A$36&gt;35,N86+M87-V86,IF(A87&lt;'Données projet'!$A$36,$K$205^A87,IF(A87='Données projet'!$A$36,'Données projet'!$B$36,N86+M87-V86)))</f>
        <v>453.60000000000014</v>
      </c>
      <c r="O87" s="13">
        <f>N87*VLOOKUP('Données projet'!$B$9,Paramètres!$A$1:$I$89,3,0)*VLOOKUP('Données projet'!$B$9,Paramètres!$A$1:$I$89,5,0)</f>
        <v>271.25280000000009</v>
      </c>
      <c r="P87" s="13">
        <f t="shared" si="87"/>
        <v>65.115073390838916</v>
      </c>
      <c r="Q87" s="20">
        <f t="shared" si="54"/>
        <v>585.8407128223779</v>
      </c>
      <c r="R87" s="59">
        <f t="shared" si="55"/>
        <v>879.17404615571127</v>
      </c>
      <c r="S87" s="59">
        <f ca="1">AVERAGE(OFFSET($R$3,0,0,'Données projet'!$E$9+1,1))-AVERAGE(OFFSET($H$3,0,0,'Données projet'!$E$9+1,1))</f>
        <v>295.19075440119076</v>
      </c>
      <c r="T87" s="59">
        <f t="shared" si="88"/>
        <v>173.0182327988216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8.7584385700736576</v>
      </c>
      <c r="AA87" s="21">
        <f>EXP(-LN(2)/25)*AA86+(1-EXP(-LN(2)/25))/(LN(2)/25)*Calculateur!V87*Calculateur!X87*VLOOKUP('Données projet'!$B$9,Paramètres!$A$1:$I$89,3,0)*0.475*44/12</f>
        <v>17.820433209628099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26.578871779701757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294.45857786714919</v>
      </c>
      <c r="AO87" s="59">
        <f t="shared" si="90"/>
        <v>221.9773436301067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169.46797866856585</v>
      </c>
      <c r="AV87" s="21">
        <f>EXP(-LN(2)/25)*AV86+(1-EXP(-LN(2)/25))/(LN(2)/25)*Calculateur!AQ87*Calculateur!AS87*VLOOKUP('Données projet'!$B$10,Paramètres!$A$1:$I$89,3,0)*0.475*44/12</f>
        <v>89.989789483608149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259.45776815217403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179.44051550872138</v>
      </c>
      <c r="BJ87" s="59">
        <f t="shared" si="92"/>
        <v>272.9500808380069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87.052901701993591</v>
      </c>
      <c r="BQ87" s="21">
        <f>EXP(-LN(2)/25)*BQ86+(1-EXP(-LN(2)/25))/(LN(2)/25)*Calculateur!BL87*Calculateur!BN87*VLOOKUP('Données projet'!$B$11,Paramètres!$A$1:$I$89,3,0)*0.475*44/12</f>
        <v>50.456751178616344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137.50965288060993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17.399999999999999</v>
      </c>
      <c r="BY87" s="12">
        <f>IF('Données projet'!$A$114&gt;35,BY86+BX87-CG86,IF(A87&lt;'Données projet'!$A$114,$BV$205^A87,IF(A87='Données projet'!$A$114,'Données projet'!$B$114,BY86+BX87-CG86)))</f>
        <v>511.5999999999998</v>
      </c>
      <c r="BZ87" s="13">
        <f>BY87*VLOOKUP('Données projet'!$B$12,Paramètres!$A$1:$I$89,3,0)*VLOOKUP('Données projet'!$B$12,Paramètres!$A$1:$I$89,5,0)</f>
        <v>239.42879999999991</v>
      </c>
      <c r="CA87" s="13">
        <f t="shared" si="93"/>
        <v>58.316616981453002</v>
      </c>
      <c r="CB87" s="20">
        <f t="shared" si="64"/>
        <v>518.57326790936384</v>
      </c>
      <c r="CC87" s="59">
        <f t="shared" si="65"/>
        <v>811.90660124269721</v>
      </c>
      <c r="CD87" s="59">
        <f ca="1">AVERAGE(OFFSET($CC$3,0,0,'Données projet'!$E$12+1,1))-AVERAGE(OFFSET($H$3,0,0,'Données projet'!$E$12+1,1))</f>
        <v>259.87681411271632</v>
      </c>
      <c r="CE87" s="59">
        <f t="shared" si="94"/>
        <v>191.8684235641158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45.57705630564449</v>
      </c>
      <c r="CL87" s="21">
        <f>EXP(-LN(2)/25)*CL86+(1-EXP(-LN(2)/25))/(LN(2)/25)*Calculateur!CG87*Calculateur!CI87*VLOOKUP('Données projet'!$B$12,Paramètres!$A$1:$I$89,3,0)*0.475*44/12</f>
        <v>48.341354871807042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93.918411177451532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5.6843418860808015E-14</v>
      </c>
      <c r="CU87" s="17">
        <f>CT87*VLOOKUP('Données projet'!$B$13,Paramètres!$A$1:$I$89,3,0)*VLOOKUP('Données projet'!$B$13,Paramètres!$A$1:$I$89,5,0)</f>
        <v>4.5224624045658861E-14</v>
      </c>
      <c r="CV87" s="13">
        <f t="shared" si="95"/>
        <v>7.4514601661523691E-13</v>
      </c>
      <c r="CW87" s="20">
        <f t="shared" si="67"/>
        <v>1.3765621991510601E-12</v>
      </c>
      <c r="CX87" s="59">
        <f t="shared" si="68"/>
        <v>293.33333333333468</v>
      </c>
      <c r="CY87" s="59">
        <f ca="1">AVERAGE(OFFSET($CX$3,0,0,'Données projet'!$E$13+1,1))-AVERAGE(OFFSET($H$3,0,0,'Données projet'!$E$13+1,1))</f>
        <v>198.11534486400666</v>
      </c>
      <c r="CZ87" s="59">
        <f t="shared" si="96"/>
        <v>174.29856796517652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72.851915478504907</v>
      </c>
      <c r="DG87" s="21">
        <f>EXP(-LN(2)/25)*DG86+(1-EXP(-LN(2)/25))/(LN(2)/25)*Calculateur!DB87*Calculateur!DD87*VLOOKUP('Données projet'!$B$13,Paramètres!$A$1:$I$89,3,0)*0.475*44/12</f>
        <v>22.610749613162376</v>
      </c>
      <c r="DH87" s="21">
        <f>EXP(-LN(2)/2)*DH86+(1-EXP(-LN(2)/2))/(LN(2)/2)*DB87*DE87*VLOOKUP('Données projet'!$B$13,Paramètres!$A$1:$I$89,3,0)*0.475*44/12</f>
        <v>5.0893989453139437</v>
      </c>
      <c r="DI87" s="22">
        <f t="shared" si="69"/>
        <v>100.55206403698122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4.666666666666667</v>
      </c>
      <c r="DO87" s="12">
        <f>IF('Données projet'!$A$166&gt;35,DO86+DN87-DW86,IF(A87&lt;'Données projet'!$A$166,$DL$205^A87,IF(A87='Données projet'!$A$166,'Données projet'!$B$166,DO86+DN87-DW86)))</f>
        <v>155.99999999999997</v>
      </c>
      <c r="DP87" s="17">
        <f>DO87*VLOOKUP('Données projet'!$B$14,Paramètres!$A$1:$I$89,3,0)*VLOOKUP('Données projet'!$B$14,Paramètres!$A$1:$I$89,5,0)</f>
        <v>158.184</v>
      </c>
      <c r="DQ87" s="13">
        <f t="shared" si="97"/>
        <v>40.432639815875881</v>
      </c>
      <c r="DR87" s="20">
        <f t="shared" si="70"/>
        <v>345.92398101265053</v>
      </c>
      <c r="DS87" s="59">
        <f t="shared" si="71"/>
        <v>639.25731434598379</v>
      </c>
      <c r="DT87" s="59">
        <f ca="1">AVERAGE(OFFSET($DS$3,0,0,'Données projet'!$E$14+1,1))-AVERAGE(OFFSET($H$3,0,0,'Données projet'!$E$14+1,1))</f>
        <v>247.92503505485405</v>
      </c>
      <c r="DU87" s="59">
        <f t="shared" si="98"/>
        <v>148.26437652597514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2.8160647698174111</v>
      </c>
      <c r="EB87" s="21">
        <f>EXP(-LN(2)/25)*EB86+(1-EXP(-LN(2)/25))/(LN(2)/25)*Calculateur!DW87*Calculateur!DY87*VLOOKUP('Données projet'!$B$14,Paramètres!$A$1:$I$89,3,0)*0.475*44/12</f>
        <v>22.472492100241102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25.288556870058514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4.666666666666667</v>
      </c>
      <c r="EJ87" s="12">
        <f>IF('Données projet'!$A$192&gt;35,EJ86+EI87-ER86,IF(A87&lt;'Données projet'!$A$192,$EG$205^A87,IF(A87='Données projet'!$A$192,'Données projet'!$B$192,EJ86+EI87-ER86)))</f>
        <v>155.99999999999997</v>
      </c>
      <c r="EK87" s="17">
        <f>EJ87*VLOOKUP('Données projet'!$B$15,Paramètres!$A$1:$I$89,3,0)*VLOOKUP('Données projet'!$B$15,Paramètres!$A$1:$I$89,5,0)</f>
        <v>150.88319999999999</v>
      </c>
      <c r="EL87" s="13">
        <f t="shared" si="99"/>
        <v>38.779227360583199</v>
      </c>
      <c r="EM87" s="20">
        <f t="shared" si="73"/>
        <v>330.32872765301573</v>
      </c>
      <c r="EN87" s="59">
        <f t="shared" si="74"/>
        <v>623.66206098634905</v>
      </c>
      <c r="EO87" s="59">
        <f ca="1">AVERAGE(OFFSET($EN$3,0,0,'Données projet'!$E$15+1,1))-AVERAGE(OFFSET($H$3,0,0,'Données projet'!$E$15+1,1))</f>
        <v>232.99870507181964</v>
      </c>
      <c r="EP87" s="59">
        <f t="shared" si="100"/>
        <v>140.07662669226278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2.6860925496719918</v>
      </c>
      <c r="EW87" s="21">
        <f>EXP(-LN(2)/25)*EW86+(1-EXP(-LN(2)/25))/(LN(2)/25)*Calculateur!ER87*Calculateur!ET87*VLOOKUP('Données projet'!$B$15,Paramètres!$A$1:$I$89,3,0)*0.475*44/12</f>
        <v>21.435300157153044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24.121392706825034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5.6843418860808015E-14</v>
      </c>
      <c r="FF87" s="17">
        <f>FE87*VLOOKUP('Données projet'!$B$16,Paramètres!$A$1:$I$89,3,0)*VLOOKUP('Données projet'!$B$16,Paramètres!$A$1:$I$89,5,0)</f>
        <v>4.4337866711430253E-14</v>
      </c>
      <c r="FG87" s="13">
        <f t="shared" si="101"/>
        <v>7.3222115536967035E-13</v>
      </c>
      <c r="FH87" s="20">
        <f t="shared" si="76"/>
        <v>1.3525069634579169E-12</v>
      </c>
      <c r="FI87" s="59">
        <f t="shared" si="77"/>
        <v>293.33333333333468</v>
      </c>
      <c r="FJ87" s="59">
        <f ca="1">AVERAGE(OFFSET($FI$3,0,0,'Données projet'!$E$16+1,1))-AVERAGE(OFFSET($H$3,0,0,'Données projet'!$E$16+1,1))</f>
        <v>193.47609744163839</v>
      </c>
      <c r="FK87" s="59">
        <f t="shared" si="102"/>
        <v>170.3221892406973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57.947324557449342</v>
      </c>
      <c r="FR87" s="21">
        <f>EXP(-LN(2)/25)*FR86+(1-EXP(-LN(2)/25))/(LN(2)/25)*Calculateur!FM87*Calculateur!FO87*VLOOKUP('Données projet'!$B$16,Paramètres!$A$1:$I$89,3,0)*0.475*44/12</f>
        <v>17.984872981242731</v>
      </c>
      <c r="FS87" s="21">
        <f>EXP(-LN(2)/2)*FS86+(1-EXP(-LN(2)/2))/(LN(2)/2)*FM87*FP87*VLOOKUP('Données projet'!$B$16,Paramètres!$A$1:$I$89,3,0)*0.475*44/12</f>
        <v>4.9896068091313177</v>
      </c>
      <c r="FT87" s="22">
        <f t="shared" si="78"/>
        <v>80.921804347823382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>
        <f>FZ87*VLOOKUP('Données projet'!$B$17,Paramètres!$A$1:$I$89,3,0)*VLOOKUP('Données projet'!$B$17,Paramètres!$A$1:$I$89,5,0)</f>
        <v>0</v>
      </c>
      <c r="GB87" s="13" t="e">
        <f t="shared" si="103"/>
        <v>#NUM!</v>
      </c>
      <c r="GC87" s="20" t="e">
        <f t="shared" si="79"/>
        <v>#NUM!</v>
      </c>
      <c r="GD87" s="59" t="e">
        <f t="shared" si="80"/>
        <v>#NUM!</v>
      </c>
      <c r="GE87" s="59">
        <f ca="1">AVERAGE(OFFSET($GD$3,0,0,'Données projet'!$E$17+1,1))-AVERAGE(OFFSET($H$3,0,0,'Données projet'!$E$17+1,1))</f>
        <v>153.43773674911449</v>
      </c>
      <c r="GF87" s="59">
        <f t="shared" si="104"/>
        <v>235.49395036616602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76.171288989244374</v>
      </c>
      <c r="GM87" s="21">
        <f>EXP(-LN(2)/25)*GM86+(1-EXP(-LN(2)/25))/(LN(2)/25)*Calculateur!GH87*Calculateur!GJ87*VLOOKUP('Données projet'!$B$17,Paramètres!$A$1:$I$89,3,0)*0.475*44/12</f>
        <v>44.149657281289286</v>
      </c>
      <c r="GN87" s="21">
        <f>EXP(-LN(2)/2)*GN86+(1-EXP(-LN(2)/2))/(LN(2)/2)*GH87*GK87*VLOOKUP('Données projet'!$B$17,Paramètres!$A$1:$I$89,3,0)*0.475*44/12</f>
        <v>0</v>
      </c>
      <c r="GO87" s="21">
        <f t="shared" si="81"/>
        <v>120.32094627053365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5.6843418860808015E-14</v>
      </c>
      <c r="GV87" s="17">
        <f>GU87*VLOOKUP('Données projet'!$B$18,Paramètres!$A$1:$I$89,3,0)*VLOOKUP('Données projet'!$B$18,Paramètres!$A$1:$I$89,5,0)</f>
        <v>4.5224624045658861E-14</v>
      </c>
      <c r="GW87" s="13">
        <f t="shared" si="105"/>
        <v>7.4514601661523691E-13</v>
      </c>
      <c r="GX87" s="20">
        <f t="shared" si="82"/>
        <v>1.3765621991510601E-12</v>
      </c>
      <c r="GY87" s="59">
        <f t="shared" si="83"/>
        <v>293.33333333333468</v>
      </c>
      <c r="GZ87" s="59">
        <f ca="1">AVERAGE(OFFSET($GY$3,0,0,'Données projet'!$E$18+1,1))-AVERAGE(OFFSET($H$3,0,0,'Données projet'!$E$18+1,1))</f>
        <v>198.11534486400666</v>
      </c>
      <c r="HA87" s="59">
        <f t="shared" si="106"/>
        <v>174.29856796517652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>
        <f>EXP(-LN(2)/35)*HG86+(1-EXP(-LN(2)/35))/(LN(2)/35)*HC87*HD87*VLOOKUP('Données projet'!$B$18,Paramètres!$A$1:$I$89,3,0)*0.475*44/12</f>
        <v>72.851915478504907</v>
      </c>
      <c r="HH87" s="21">
        <f>EXP(-LN(2)/25)*HH86+(1-EXP(-LN(2)/25))/(LN(2)/25)*Calculateur!HC87*Calculateur!HE87*VLOOKUP('Données projet'!$B$18,Paramètres!$A$1:$I$89,3,0)*0.475*44/12</f>
        <v>22.610749613162376</v>
      </c>
      <c r="HI87" s="21">
        <f>EXP(-LN(2)/2)*HI86+(1-EXP(-LN(2)/2))/(LN(2)/2)*HC87*HF87*VLOOKUP('Données projet'!$B$18,Paramètres!$A$1:$I$89,3,0)*0.475*44/12</f>
        <v>5.0893989453139437</v>
      </c>
      <c r="HJ87" s="22">
        <f t="shared" si="84"/>
        <v>100.55206403698122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5.4</v>
      </c>
      <c r="N88" s="13">
        <f>IF('Données projet'!$A$36&gt;35,N87+M88-V87,IF(A88&lt;'Données projet'!$A$36,$K$205^A88,IF(A88='Données projet'!$A$36,'Données projet'!$B$36,N87+M88-V87)))</f>
        <v>459.00000000000011</v>
      </c>
      <c r="O88" s="13">
        <f>N88*VLOOKUP('Données projet'!$B$9,Paramètres!$A$1:$I$89,3,0)*VLOOKUP('Données projet'!$B$9,Paramètres!$A$1:$I$89,5,0)</f>
        <v>274.48200000000008</v>
      </c>
      <c r="P88" s="13">
        <f t="shared" si="87"/>
        <v>65.799549466335947</v>
      </c>
      <c r="Q88" s="20">
        <f t="shared" si="54"/>
        <v>592.65703198720189</v>
      </c>
      <c r="R88" s="59">
        <f t="shared" si="55"/>
        <v>885.99036532053515</v>
      </c>
      <c r="S88" s="59">
        <f ca="1">AVERAGE(OFFSET($R$3,0,0,'Données projet'!$E$9+1,1))-AVERAGE(OFFSET($H$3,0,0,'Données projet'!$E$9+1,1))</f>
        <v>295.19075440119076</v>
      </c>
      <c r="T88" s="59">
        <f t="shared" si="88"/>
        <v>173.0182327988216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8.5866909318345499</v>
      </c>
      <c r="AA88" s="21">
        <f>EXP(-LN(2)/25)*AA87+(1-EXP(-LN(2)/25))/(LN(2)/25)*Calculateur!V88*Calculateur!X88*VLOOKUP('Données projet'!$B$9,Paramètres!$A$1:$I$89,3,0)*0.475*44/12</f>
        <v>17.333132526374964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25.919823458209514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294.45857786714919</v>
      </c>
      <c r="AO88" s="59">
        <f t="shared" si="90"/>
        <v>221.9773436301067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166.14481497213578</v>
      </c>
      <c r="AV88" s="21">
        <f>EXP(-LN(2)/25)*AV87+(1-EXP(-LN(2)/25))/(LN(2)/25)*Calculateur!AQ88*Calculateur!AS88*VLOOKUP('Données projet'!$B$10,Paramètres!$A$1:$I$89,3,0)*0.475*44/12</f>
        <v>87.529013957821533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253.67382892995732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179.44051550872138</v>
      </c>
      <c r="BJ88" s="59">
        <f t="shared" si="92"/>
        <v>272.9500808380069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85.345847396644643</v>
      </c>
      <c r="BQ88" s="21">
        <f>EXP(-LN(2)/25)*BQ87+(1-EXP(-LN(2)/25))/(LN(2)/25)*Calculateur!BL88*Calculateur!BN88*VLOOKUP('Données projet'!$B$11,Paramètres!$A$1:$I$89,3,0)*0.475*44/12</f>
        <v>49.077008664231855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134.42285606087648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17.399999999999999</v>
      </c>
      <c r="BY88" s="12">
        <f>IF('Données projet'!$A$114&gt;35,BY87+BX88-CG87,IF(A88&lt;'Données projet'!$A$114,$BV$205^A88,IF(A88='Données projet'!$A$114,'Données projet'!$B$114,BY87+BX88-CG87)))</f>
        <v>528.99999999999977</v>
      </c>
      <c r="BZ88" s="13">
        <f>BY88*VLOOKUP('Données projet'!$B$12,Paramètres!$A$1:$I$89,3,0)*VLOOKUP('Données projet'!$B$12,Paramètres!$A$1:$I$89,5,0)</f>
        <v>247.57199999999989</v>
      </c>
      <c r="CA88" s="13">
        <f t="shared" si="93"/>
        <v>60.065726249156526</v>
      </c>
      <c r="CB88" s="20">
        <f t="shared" si="64"/>
        <v>535.80237321728066</v>
      </c>
      <c r="CC88" s="59">
        <f t="shared" si="65"/>
        <v>829.13570655061403</v>
      </c>
      <c r="CD88" s="59">
        <f ca="1">AVERAGE(OFFSET($CC$3,0,0,'Données projet'!$E$12+1,1))-AVERAGE(OFFSET($H$3,0,0,'Données projet'!$E$12+1,1))</f>
        <v>259.87681411271632</v>
      </c>
      <c r="CE88" s="59">
        <f t="shared" si="94"/>
        <v>191.8684235641158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44.6833180307502</v>
      </c>
      <c r="CL88" s="21">
        <f>EXP(-LN(2)/25)*CL87+(1-EXP(-LN(2)/25))/(LN(2)/25)*Calculateur!CG88*Calculateur!CI88*VLOOKUP('Données projet'!$B$12,Paramètres!$A$1:$I$89,3,0)*0.475*44/12</f>
        <v>47.019457980676108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91.702776011426309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5.6843418860808015E-14</v>
      </c>
      <c r="CU88" s="17">
        <f>CT88*VLOOKUP('Données projet'!$B$13,Paramètres!$A$1:$I$89,3,0)*VLOOKUP('Données projet'!$B$13,Paramètres!$A$1:$I$89,5,0)</f>
        <v>4.5224624045658861E-14</v>
      </c>
      <c r="CV88" s="13">
        <f t="shared" si="95"/>
        <v>7.4514601661523691E-13</v>
      </c>
      <c r="CW88" s="20">
        <f t="shared" si="67"/>
        <v>1.3765621991510601E-12</v>
      </c>
      <c r="CX88" s="59">
        <f t="shared" si="68"/>
        <v>293.33333333333468</v>
      </c>
      <c r="CY88" s="59">
        <f ca="1">AVERAGE(OFFSET($CX$3,0,0,'Données projet'!$E$13+1,1))-AVERAGE(OFFSET($H$3,0,0,'Données projet'!$E$13+1,1))</f>
        <v>198.11534486400666</v>
      </c>
      <c r="CZ88" s="59">
        <f t="shared" si="96"/>
        <v>174.29856796517652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71.423333851252252</v>
      </c>
      <c r="DG88" s="21">
        <f>EXP(-LN(2)/25)*DG87+(1-EXP(-LN(2)/25))/(LN(2)/25)*Calculateur!DB88*Calculateur!DD88*VLOOKUP('Données projet'!$B$13,Paramètres!$A$1:$I$89,3,0)*0.475*44/12</f>
        <v>21.992457475942807</v>
      </c>
      <c r="DH88" s="21">
        <f>EXP(-LN(2)/2)*DH87+(1-EXP(-LN(2)/2))/(LN(2)/2)*DB88*DE88*VLOOKUP('Données projet'!$B$13,Paramètres!$A$1:$I$89,3,0)*0.475*44/12</f>
        <v>3.5987485063951525</v>
      </c>
      <c r="DI88" s="22">
        <f t="shared" si="69"/>
        <v>97.014539833590206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4.666666666666667</v>
      </c>
      <c r="DO88" s="12">
        <f>IF('Données projet'!$A$166&gt;35,DO87+DN88-DW87,IF(A88&lt;'Données projet'!$A$166,$DL$205^A88,IF(A88='Données projet'!$A$166,'Données projet'!$B$166,DO87+DN88-DW87)))</f>
        <v>160.66666666666663</v>
      </c>
      <c r="DP88" s="17">
        <f>DO88*VLOOKUP('Données projet'!$B$14,Paramètres!$A$1:$I$89,3,0)*VLOOKUP('Données projet'!$B$14,Paramètres!$A$1:$I$89,5,0)</f>
        <v>162.91599999999997</v>
      </c>
      <c r="DQ88" s="13">
        <f t="shared" si="97"/>
        <v>41.499534400775282</v>
      </c>
      <c r="DR88" s="20">
        <f t="shared" si="70"/>
        <v>356.02372241468356</v>
      </c>
      <c r="DS88" s="59">
        <f t="shared" si="71"/>
        <v>649.35705574801682</v>
      </c>
      <c r="DT88" s="59">
        <f ca="1">AVERAGE(OFFSET($DS$3,0,0,'Données projet'!$E$14+1,1))-AVERAGE(OFFSET($H$3,0,0,'Données projet'!$E$14+1,1))</f>
        <v>247.92503505485405</v>
      </c>
      <c r="DU88" s="59">
        <f t="shared" si="98"/>
        <v>148.26437652597514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2.7608434573111995</v>
      </c>
      <c r="EB88" s="21">
        <f>EXP(-LN(2)/25)*EB87+(1-EXP(-LN(2)/25))/(LN(2)/25)*Calculateur!DW88*Calculateur!DY88*VLOOKUP('Données projet'!$B$14,Paramètres!$A$1:$I$89,3,0)*0.475*44/12</f>
        <v>21.85798062198301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24.61882407929421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4.666666666666667</v>
      </c>
      <c r="EJ88" s="12">
        <f>IF('Données projet'!$A$192&gt;35,EJ87+EI88-ER87,IF(A88&lt;'Données projet'!$A$192,$EG$205^A88,IF(A88='Données projet'!$A$192,'Données projet'!$B$192,EJ87+EI88-ER87)))</f>
        <v>160.66666666666663</v>
      </c>
      <c r="EK88" s="17">
        <f>EJ88*VLOOKUP('Données projet'!$B$15,Paramètres!$A$1:$I$89,3,0)*VLOOKUP('Données projet'!$B$15,Paramètres!$A$1:$I$89,5,0)</f>
        <v>155.39679999999998</v>
      </c>
      <c r="EL88" s="13">
        <f t="shared" si="99"/>
        <v>39.802493411625051</v>
      </c>
      <c r="EM88" s="20">
        <f t="shared" si="73"/>
        <v>339.97210269191356</v>
      </c>
      <c r="EN88" s="59">
        <f t="shared" si="74"/>
        <v>633.30543602524688</v>
      </c>
      <c r="EO88" s="59">
        <f ca="1">AVERAGE(OFFSET($EN$3,0,0,'Données projet'!$E$15+1,1))-AVERAGE(OFFSET($H$3,0,0,'Données projet'!$E$15+1,1))</f>
        <v>232.99870507181964</v>
      </c>
      <c r="EP88" s="59">
        <f t="shared" si="100"/>
        <v>140.07662669226278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2.6334199131276055</v>
      </c>
      <c r="EW88" s="21">
        <f>EXP(-LN(2)/25)*EW87+(1-EXP(-LN(2)/25))/(LN(2)/25)*Calculateur!ER88*Calculateur!ET88*VLOOKUP('Données projet'!$B$15,Paramètres!$A$1:$I$89,3,0)*0.475*44/12</f>
        <v>20.849150747122248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23.482570660249856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5.6843418860808015E-14</v>
      </c>
      <c r="FF88" s="17">
        <f>FE88*VLOOKUP('Données projet'!$B$16,Paramètres!$A$1:$I$89,3,0)*VLOOKUP('Données projet'!$B$16,Paramètres!$A$1:$I$89,5,0)</f>
        <v>4.4337866711430253E-14</v>
      </c>
      <c r="FG88" s="13">
        <f t="shared" si="101"/>
        <v>7.3222115536967035E-13</v>
      </c>
      <c r="FH88" s="20">
        <f t="shared" si="76"/>
        <v>1.3525069634579169E-12</v>
      </c>
      <c r="FI88" s="59">
        <f t="shared" si="77"/>
        <v>293.33333333333468</v>
      </c>
      <c r="FJ88" s="59">
        <f ca="1">AVERAGE(OFFSET($FI$3,0,0,'Données projet'!$E$16+1,1))-AVERAGE(OFFSET($H$3,0,0,'Données projet'!$E$16+1,1))</f>
        <v>193.47609744163839</v>
      </c>
      <c r="FK88" s="59">
        <f t="shared" si="102"/>
        <v>170.3221892406973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56.811012867255776</v>
      </c>
      <c r="FR88" s="21">
        <f>EXP(-LN(2)/25)*FR87+(1-EXP(-LN(2)/25))/(LN(2)/25)*Calculateur!FM88*Calculateur!FO88*VLOOKUP('Données projet'!$B$16,Paramètres!$A$1:$I$89,3,0)*0.475*44/12</f>
        <v>17.493075683787282</v>
      </c>
      <c r="FS88" s="21">
        <f>EXP(-LN(2)/2)*FS87+(1-EXP(-LN(2)/2))/(LN(2)/2)*FM88*FP88*VLOOKUP('Données projet'!$B$16,Paramètres!$A$1:$I$89,3,0)*0.475*44/12</f>
        <v>3.5281848101913265</v>
      </c>
      <c r="FT88" s="22">
        <f t="shared" si="78"/>
        <v>77.832273361234385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>
        <f>FZ88*VLOOKUP('Données projet'!$B$17,Paramètres!$A$1:$I$89,3,0)*VLOOKUP('Données projet'!$B$17,Paramètres!$A$1:$I$89,5,0)</f>
        <v>0</v>
      </c>
      <c r="GB88" s="13" t="e">
        <f t="shared" si="103"/>
        <v>#NUM!</v>
      </c>
      <c r="GC88" s="20" t="e">
        <f t="shared" si="79"/>
        <v>#NUM!</v>
      </c>
      <c r="GD88" s="59" t="e">
        <f t="shared" si="80"/>
        <v>#NUM!</v>
      </c>
      <c r="GE88" s="59">
        <f ca="1">AVERAGE(OFFSET($GD$3,0,0,'Données projet'!$E$17+1,1))-AVERAGE(OFFSET($H$3,0,0,'Données projet'!$E$17+1,1))</f>
        <v>153.43773674911449</v>
      </c>
      <c r="GF88" s="59">
        <f t="shared" si="104"/>
        <v>235.49395036616602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74.677616472064045</v>
      </c>
      <c r="GM88" s="21">
        <f>EXP(-LN(2)/25)*GM87+(1-EXP(-LN(2)/25))/(LN(2)/25)*Calculateur!GH88*Calculateur!GJ88*VLOOKUP('Données projet'!$B$17,Paramètres!$A$1:$I$89,3,0)*0.475*44/12</f>
        <v>42.942382581202857</v>
      </c>
      <c r="GN88" s="21">
        <f>EXP(-LN(2)/2)*GN87+(1-EXP(-LN(2)/2))/(LN(2)/2)*GH88*GK88*VLOOKUP('Données projet'!$B$17,Paramètres!$A$1:$I$89,3,0)*0.475*44/12</f>
        <v>0</v>
      </c>
      <c r="GO88" s="21">
        <f t="shared" si="81"/>
        <v>117.61999905326689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5.6843418860808015E-14</v>
      </c>
      <c r="GV88" s="17">
        <f>GU88*VLOOKUP('Données projet'!$B$18,Paramètres!$A$1:$I$89,3,0)*VLOOKUP('Données projet'!$B$18,Paramètres!$A$1:$I$89,5,0)</f>
        <v>4.5224624045658861E-14</v>
      </c>
      <c r="GW88" s="13">
        <f t="shared" si="105"/>
        <v>7.4514601661523691E-13</v>
      </c>
      <c r="GX88" s="20">
        <f t="shared" si="82"/>
        <v>1.3765621991510601E-12</v>
      </c>
      <c r="GY88" s="59">
        <f t="shared" si="83"/>
        <v>293.33333333333468</v>
      </c>
      <c r="GZ88" s="59">
        <f ca="1">AVERAGE(OFFSET($GY$3,0,0,'Données projet'!$E$18+1,1))-AVERAGE(OFFSET($H$3,0,0,'Données projet'!$E$18+1,1))</f>
        <v>198.11534486400666</v>
      </c>
      <c r="HA88" s="59">
        <f t="shared" si="106"/>
        <v>174.29856796517652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>
        <f>EXP(-LN(2)/35)*HG87+(1-EXP(-LN(2)/35))/(LN(2)/35)*HC88*HD88*VLOOKUP('Données projet'!$B$18,Paramètres!$A$1:$I$89,3,0)*0.475*44/12</f>
        <v>71.423333851252252</v>
      </c>
      <c r="HH88" s="21">
        <f>EXP(-LN(2)/25)*HH87+(1-EXP(-LN(2)/25))/(LN(2)/25)*Calculateur!HC88*Calculateur!HE88*VLOOKUP('Données projet'!$B$18,Paramètres!$A$1:$I$89,3,0)*0.475*44/12</f>
        <v>21.992457475942807</v>
      </c>
      <c r="HI88" s="21">
        <f>EXP(-LN(2)/2)*HI87+(1-EXP(-LN(2)/2))/(LN(2)/2)*HC88*HF88*VLOOKUP('Données projet'!$B$18,Paramètres!$A$1:$I$89,3,0)*0.475*44/12</f>
        <v>3.5987485063951525</v>
      </c>
      <c r="HJ88" s="22">
        <f t="shared" si="84"/>
        <v>97.014539833590206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5.4</v>
      </c>
      <c r="N89" s="13">
        <f>IF('Données projet'!$A$36&gt;35,N88+M89-V88,IF(A89&lt;'Données projet'!$A$36,$K$205^A89,IF(A89='Données projet'!$A$36,'Données projet'!$B$36,N88+M89-V88)))</f>
        <v>464.40000000000009</v>
      </c>
      <c r="O89" s="13">
        <f>N89*VLOOKUP('Données projet'!$B$9,Paramètres!$A$1:$I$89,3,0)*VLOOKUP('Données projet'!$B$9,Paramètres!$A$1:$I$89,5,0)</f>
        <v>277.71120000000008</v>
      </c>
      <c r="P89" s="13">
        <f t="shared" si="87"/>
        <v>66.483088830894033</v>
      </c>
      <c r="Q89" s="20">
        <f t="shared" si="54"/>
        <v>599.47171971380715</v>
      </c>
      <c r="R89" s="59">
        <f t="shared" si="55"/>
        <v>892.80505304714052</v>
      </c>
      <c r="S89" s="59">
        <f ca="1">AVERAGE(OFFSET($R$3,0,0,'Données projet'!$E$9+1,1))-AVERAGE(OFFSET($H$3,0,0,'Données projet'!$E$9+1,1))</f>
        <v>295.19075440119076</v>
      </c>
      <c r="T89" s="59">
        <f t="shared" si="88"/>
        <v>173.0182327988216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8.4183111600255955</v>
      </c>
      <c r="AA89" s="21">
        <f>EXP(-LN(2)/25)*AA88+(1-EXP(-LN(2)/25))/(LN(2)/25)*Calculateur!V89*Calculateur!X89*VLOOKUP('Données projet'!$B$9,Paramètres!$A$1:$I$89,3,0)*0.475*44/12</f>
        <v>16.859157105931416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25.277468265957012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294.45857786714919</v>
      </c>
      <c r="AO89" s="59">
        <f t="shared" si="90"/>
        <v>221.9773436301067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162.88681648886299</v>
      </c>
      <c r="AV89" s="21">
        <f>EXP(-LN(2)/25)*AV88+(1-EXP(-LN(2)/25))/(LN(2)/25)*Calculateur!AQ89*Calculateur!AS89*VLOOKUP('Données projet'!$B$10,Paramètres!$A$1:$I$89,3,0)*0.475*44/12</f>
        <v>85.13552846819411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248.0223449570571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179.44051550872138</v>
      </c>
      <c r="BJ89" s="59">
        <f t="shared" si="92"/>
        <v>272.9500808380069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83.672267385023261</v>
      </c>
      <c r="BQ89" s="21">
        <f>EXP(-LN(2)/25)*BQ88+(1-EXP(-LN(2)/25))/(LN(2)/25)*Calculateur!BL89*Calculateur!BN89*VLOOKUP('Données projet'!$B$11,Paramètres!$A$1:$I$89,3,0)*0.475*44/12</f>
        <v>47.734995281460719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131.40726266648397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17.399999999999999</v>
      </c>
      <c r="BY89" s="12">
        <f>IF('Données projet'!$A$114&gt;35,BY88+BX89-CG88,IF(A89&lt;'Données projet'!$A$114,$BV$205^A89,IF(A89='Données projet'!$A$114,'Données projet'!$B$114,BY88+BX89-CG88)))</f>
        <v>546.39999999999975</v>
      </c>
      <c r="BZ89" s="13">
        <f>BY89*VLOOKUP('Données projet'!$B$12,Paramètres!$A$1:$I$89,3,0)*VLOOKUP('Données projet'!$B$12,Paramètres!$A$1:$I$89,5,0)</f>
        <v>255.71519999999987</v>
      </c>
      <c r="CA89" s="13">
        <f t="shared" si="93"/>
        <v>61.808150305854021</v>
      </c>
      <c r="CB89" s="20">
        <f t="shared" si="64"/>
        <v>553.01983511602884</v>
      </c>
      <c r="CC89" s="59">
        <f t="shared" si="65"/>
        <v>846.3531684493621</v>
      </c>
      <c r="CD89" s="59">
        <f ca="1">AVERAGE(OFFSET($CC$3,0,0,'Données projet'!$E$12+1,1))-AVERAGE(OFFSET($H$3,0,0,'Données projet'!$E$12+1,1))</f>
        <v>259.87681411271632</v>
      </c>
      <c r="CE89" s="59">
        <f t="shared" si="94"/>
        <v>191.8684235641158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43.807105418300068</v>
      </c>
      <c r="CL89" s="21">
        <f>EXP(-LN(2)/25)*CL88+(1-EXP(-LN(2)/25))/(LN(2)/25)*Calculateur!CG89*Calculateur!CI89*VLOOKUP('Données projet'!$B$12,Paramètres!$A$1:$I$89,3,0)*0.475*44/12</f>
        <v>45.733708429548692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89.540813847848767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5.6843418860808015E-14</v>
      </c>
      <c r="CU89" s="17">
        <f>CT89*VLOOKUP('Données projet'!$B$13,Paramètres!$A$1:$I$89,3,0)*VLOOKUP('Données projet'!$B$13,Paramètres!$A$1:$I$89,5,0)</f>
        <v>4.5224624045658861E-14</v>
      </c>
      <c r="CV89" s="13">
        <f t="shared" si="95"/>
        <v>7.4514601661523691E-13</v>
      </c>
      <c r="CW89" s="20">
        <f t="shared" si="67"/>
        <v>1.3765621991510601E-12</v>
      </c>
      <c r="CX89" s="59">
        <f t="shared" si="68"/>
        <v>293.33333333333468</v>
      </c>
      <c r="CY89" s="59">
        <f ca="1">AVERAGE(OFFSET($CX$3,0,0,'Données projet'!$E$13+1,1))-AVERAGE(OFFSET($H$3,0,0,'Données projet'!$E$13+1,1))</f>
        <v>198.11534486400666</v>
      </c>
      <c r="CZ89" s="59">
        <f t="shared" si="96"/>
        <v>174.29856796517652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70.022765838361266</v>
      </c>
      <c r="DG89" s="21">
        <f>EXP(-LN(2)/25)*DG88+(1-EXP(-LN(2)/25))/(LN(2)/25)*Calculateur!DB89*Calculateur!DD89*VLOOKUP('Données projet'!$B$13,Paramètres!$A$1:$I$89,3,0)*0.475*44/12</f>
        <v>21.391072569730078</v>
      </c>
      <c r="DH89" s="21">
        <f>EXP(-LN(2)/2)*DH88+(1-EXP(-LN(2)/2))/(LN(2)/2)*DB89*DE89*VLOOKUP('Données projet'!$B$13,Paramètres!$A$1:$I$89,3,0)*0.475*44/12</f>
        <v>2.5446994726569718</v>
      </c>
      <c r="DI89" s="22">
        <f t="shared" si="69"/>
        <v>93.958537880748324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4.666666666666667</v>
      </c>
      <c r="DO89" s="12">
        <f>IF('Données projet'!$A$166&gt;35,DO88+DN89-DW88,IF(A89&lt;'Données projet'!$A$166,$DL$205^A89,IF(A89='Données projet'!$A$166,'Données projet'!$B$166,DO88+DN89-DW88)))</f>
        <v>165.33333333333329</v>
      </c>
      <c r="DP89" s="17">
        <f>DO89*VLOOKUP('Données projet'!$B$14,Paramètres!$A$1:$I$89,3,0)*VLOOKUP('Données projet'!$B$14,Paramètres!$A$1:$I$89,5,0)</f>
        <v>167.64799999999997</v>
      </c>
      <c r="DQ89" s="13">
        <f t="shared" si="97"/>
        <v>42.562827463710214</v>
      </c>
      <c r="DR89" s="20">
        <f t="shared" si="70"/>
        <v>366.11719116596186</v>
      </c>
      <c r="DS89" s="59">
        <f t="shared" si="71"/>
        <v>659.45052449929517</v>
      </c>
      <c r="DT89" s="59">
        <f ca="1">AVERAGE(OFFSET($DS$3,0,0,'Données projet'!$E$14+1,1))-AVERAGE(OFFSET($H$3,0,0,'Données projet'!$E$14+1,1))</f>
        <v>247.92503505485405</v>
      </c>
      <c r="DU89" s="59">
        <f t="shared" si="98"/>
        <v>148.26437652597514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2.7067050010615596</v>
      </c>
      <c r="EB89" s="21">
        <f>EXP(-LN(2)/25)*EB88+(1-EXP(-LN(2)/25))/(LN(2)/25)*Calculateur!DW89*Calculateur!DY89*VLOOKUP('Données projet'!$B$14,Paramètres!$A$1:$I$89,3,0)*0.475*44/12</f>
        <v>21.26027299241364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23.966977993475201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4.666666666666667</v>
      </c>
      <c r="EJ89" s="12">
        <f>IF('Données projet'!$A$192&gt;35,EJ88+EI89-ER88,IF(A89&lt;'Données projet'!$A$192,$EG$205^A89,IF(A89='Données projet'!$A$192,'Données projet'!$B$192,EJ88+EI89-ER88)))</f>
        <v>165.33333333333329</v>
      </c>
      <c r="EK89" s="17">
        <f>EJ89*VLOOKUP('Données projet'!$B$15,Paramètres!$A$1:$I$89,3,0)*VLOOKUP('Données projet'!$B$15,Paramètres!$A$1:$I$89,5,0)</f>
        <v>159.91039999999995</v>
      </c>
      <c r="EL89" s="13">
        <f t="shared" si="99"/>
        <v>40.822305217786031</v>
      </c>
      <c r="EM89" s="20">
        <f t="shared" si="73"/>
        <v>349.60946158764392</v>
      </c>
      <c r="EN89" s="59">
        <f t="shared" si="74"/>
        <v>642.94279492097724</v>
      </c>
      <c r="EO89" s="59">
        <f ca="1">AVERAGE(OFFSET($EN$3,0,0,'Données projet'!$E$15+1,1))-AVERAGE(OFFSET($H$3,0,0,'Données projet'!$E$15+1,1))</f>
        <v>232.99870507181964</v>
      </c>
      <c r="EP89" s="59">
        <f t="shared" si="100"/>
        <v>140.07662669226278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2.5817801548587185</v>
      </c>
      <c r="EW89" s="21">
        <f>EXP(-LN(2)/25)*EW88+(1-EXP(-LN(2)/25))/(LN(2)/25)*Calculateur!ER89*Calculateur!ET89*VLOOKUP('Données projet'!$B$15,Paramètres!$A$1:$I$89,3,0)*0.475*44/12</f>
        <v>20.279029623533003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22.860809778391722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5.6843418860808015E-14</v>
      </c>
      <c r="FF89" s="17">
        <f>FE89*VLOOKUP('Données projet'!$B$16,Paramètres!$A$1:$I$89,3,0)*VLOOKUP('Données projet'!$B$16,Paramètres!$A$1:$I$89,5,0)</f>
        <v>4.4337866711430253E-14</v>
      </c>
      <c r="FG89" s="13">
        <f t="shared" si="101"/>
        <v>7.3222115536967035E-13</v>
      </c>
      <c r="FH89" s="20">
        <f t="shared" si="76"/>
        <v>1.3525069634579169E-12</v>
      </c>
      <c r="FI89" s="59">
        <f t="shared" si="77"/>
        <v>293.33333333333468</v>
      </c>
      <c r="FJ89" s="59">
        <f ca="1">AVERAGE(OFFSET($FI$3,0,0,'Données projet'!$E$16+1,1))-AVERAGE(OFFSET($H$3,0,0,'Données projet'!$E$16+1,1))</f>
        <v>193.47609744163839</v>
      </c>
      <c r="FK89" s="59">
        <f t="shared" si="102"/>
        <v>170.3221892406973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55.696983556225206</v>
      </c>
      <c r="FR89" s="21">
        <f>EXP(-LN(2)/25)*FR88+(1-EXP(-LN(2)/25))/(LN(2)/25)*Calculateur!FM89*Calculateur!FO89*VLOOKUP('Données projet'!$B$16,Paramètres!$A$1:$I$89,3,0)*0.475*44/12</f>
        <v>17.014726609293248</v>
      </c>
      <c r="FS89" s="21">
        <f>EXP(-LN(2)/2)*FS88+(1-EXP(-LN(2)/2))/(LN(2)/2)*FM89*FP89*VLOOKUP('Données projet'!$B$16,Paramètres!$A$1:$I$89,3,0)*0.475*44/12</f>
        <v>2.4948034045656593</v>
      </c>
      <c r="FT89" s="22">
        <f t="shared" si="78"/>
        <v>75.206513570084113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>
        <f>FZ89*VLOOKUP('Données projet'!$B$17,Paramètres!$A$1:$I$89,3,0)*VLOOKUP('Données projet'!$B$17,Paramètres!$A$1:$I$89,5,0)</f>
        <v>0</v>
      </c>
      <c r="GB89" s="13" t="e">
        <f t="shared" si="103"/>
        <v>#NUM!</v>
      </c>
      <c r="GC89" s="20" t="e">
        <f t="shared" si="79"/>
        <v>#NUM!</v>
      </c>
      <c r="GD89" s="59" t="e">
        <f t="shared" si="80"/>
        <v>#NUM!</v>
      </c>
      <c r="GE89" s="59">
        <f ca="1">AVERAGE(OFFSET($GD$3,0,0,'Données projet'!$E$17+1,1))-AVERAGE(OFFSET($H$3,0,0,'Données projet'!$E$17+1,1))</f>
        <v>153.43773674911449</v>
      </c>
      <c r="GF89" s="59">
        <f t="shared" si="104"/>
        <v>235.49395036616602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73.213233961895341</v>
      </c>
      <c r="GM89" s="21">
        <f>EXP(-LN(2)/25)*GM88+(1-EXP(-LN(2)/25))/(LN(2)/25)*Calculateur!GH89*Calculateur!GJ89*VLOOKUP('Données projet'!$B$17,Paramètres!$A$1:$I$89,3,0)*0.475*44/12</f>
        <v>41.768120871278114</v>
      </c>
      <c r="GN89" s="21">
        <f>EXP(-LN(2)/2)*GN88+(1-EXP(-LN(2)/2))/(LN(2)/2)*GH89*GK89*VLOOKUP('Données projet'!$B$17,Paramètres!$A$1:$I$89,3,0)*0.475*44/12</f>
        <v>0</v>
      </c>
      <c r="GO89" s="21">
        <f t="shared" si="81"/>
        <v>114.98135483317346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5.6843418860808015E-14</v>
      </c>
      <c r="GV89" s="17">
        <f>GU89*VLOOKUP('Données projet'!$B$18,Paramètres!$A$1:$I$89,3,0)*VLOOKUP('Données projet'!$B$18,Paramètres!$A$1:$I$89,5,0)</f>
        <v>4.5224624045658861E-14</v>
      </c>
      <c r="GW89" s="13">
        <f t="shared" si="105"/>
        <v>7.4514601661523691E-13</v>
      </c>
      <c r="GX89" s="20">
        <f t="shared" si="82"/>
        <v>1.3765621991510601E-12</v>
      </c>
      <c r="GY89" s="59">
        <f t="shared" si="83"/>
        <v>293.33333333333468</v>
      </c>
      <c r="GZ89" s="59">
        <f ca="1">AVERAGE(OFFSET($GY$3,0,0,'Données projet'!$E$18+1,1))-AVERAGE(OFFSET($H$3,0,0,'Données projet'!$E$18+1,1))</f>
        <v>198.11534486400666</v>
      </c>
      <c r="HA89" s="59">
        <f t="shared" si="106"/>
        <v>174.29856796517652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>
        <f>EXP(-LN(2)/35)*HG88+(1-EXP(-LN(2)/35))/(LN(2)/35)*HC89*HD89*VLOOKUP('Données projet'!$B$18,Paramètres!$A$1:$I$89,3,0)*0.475*44/12</f>
        <v>70.022765838361266</v>
      </c>
      <c r="HH89" s="21">
        <f>EXP(-LN(2)/25)*HH88+(1-EXP(-LN(2)/25))/(LN(2)/25)*Calculateur!HC89*Calculateur!HE89*VLOOKUP('Données projet'!$B$18,Paramètres!$A$1:$I$89,3,0)*0.475*44/12</f>
        <v>21.391072569730078</v>
      </c>
      <c r="HI89" s="21">
        <f>EXP(-LN(2)/2)*HI88+(1-EXP(-LN(2)/2))/(LN(2)/2)*HC89*HF89*VLOOKUP('Données projet'!$B$18,Paramètres!$A$1:$I$89,3,0)*0.475*44/12</f>
        <v>2.5446994726569718</v>
      </c>
      <c r="HJ89" s="22">
        <f t="shared" si="84"/>
        <v>93.958537880748324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5.4</v>
      </c>
      <c r="N90" s="13">
        <f>IF('Données projet'!$A$36&gt;35,N89+M90-V89,IF(A90&lt;'Données projet'!$A$36,$K$205^A90,IF(A90='Données projet'!$A$36,'Données projet'!$B$36,N89+M90-V89)))</f>
        <v>469.80000000000007</v>
      </c>
      <c r="O90" s="13">
        <f>N90*VLOOKUP('Données projet'!$B$9,Paramètres!$A$1:$I$89,3,0)*VLOOKUP('Données projet'!$B$9,Paramètres!$A$1:$I$89,5,0)</f>
        <v>280.94040000000007</v>
      </c>
      <c r="P90" s="13">
        <f t="shared" si="87"/>
        <v>67.165703636653262</v>
      </c>
      <c r="Q90" s="20">
        <f t="shared" si="54"/>
        <v>606.28479716717118</v>
      </c>
      <c r="R90" s="59">
        <f t="shared" si="55"/>
        <v>899.61813050050455</v>
      </c>
      <c r="S90" s="59">
        <f ca="1">AVERAGE(OFFSET($R$3,0,0,'Données projet'!$E$9+1,1))-AVERAGE(OFFSET($H$3,0,0,'Données projet'!$E$9+1,1))</f>
        <v>295.19075440119076</v>
      </c>
      <c r="T90" s="59">
        <f t="shared" si="88"/>
        <v>173.0182327988216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8.2532332128402945</v>
      </c>
      <c r="AA90" s="21">
        <f>EXP(-LN(2)/25)*AA89+(1-EXP(-LN(2)/25))/(LN(2)/25)*Calculateur!V90*Calculateur!X90*VLOOKUP('Données projet'!$B$9,Paramètres!$A$1:$I$89,3,0)*0.475*44/12</f>
        <v>16.398142568285181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24.651375781125473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294.45857786714919</v>
      </c>
      <c r="AO90" s="59">
        <f t="shared" si="90"/>
        <v>221.9773436301067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159.69270536866432</v>
      </c>
      <c r="AV90" s="21">
        <f>EXP(-LN(2)/25)*AV89+(1-EXP(-LN(2)/25))/(LN(2)/25)*Calculateur!AQ90*Calculateur!AS90*VLOOKUP('Données projet'!$B$10,Paramètres!$A$1:$I$89,3,0)*0.475*44/12</f>
        <v>82.807492965148484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242.50019833381282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179.44051550872138</v>
      </c>
      <c r="BJ90" s="59">
        <f t="shared" si="92"/>
        <v>272.9500808380069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82.031505256646767</v>
      </c>
      <c r="BQ90" s="21">
        <f>EXP(-LN(2)/25)*BQ89+(1-EXP(-LN(2)/25))/(LN(2)/25)*Calculateur!BL90*Calculateur!BN90*VLOOKUP('Données projet'!$B$11,Paramètres!$A$1:$I$89,3,0)*0.475*44/12</f>
        <v>46.42967932521487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128.46118458186163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17.399999999999999</v>
      </c>
      <c r="BY90" s="12">
        <f>IF('Données projet'!$A$114&gt;35,BY89+BX90-CG89,IF(A90&lt;'Données projet'!$A$114,$BV$205^A90,IF(A90='Données projet'!$A$114,'Données projet'!$B$114,BY89+BX90-CG89)))</f>
        <v>563.79999999999973</v>
      </c>
      <c r="BZ90" s="13">
        <f>BY90*VLOOKUP('Données projet'!$B$12,Paramètres!$A$1:$I$89,3,0)*VLOOKUP('Données projet'!$B$12,Paramètres!$A$1:$I$89,5,0)</f>
        <v>263.8583999999999</v>
      </c>
      <c r="CA90" s="13">
        <f t="shared" si="93"/>
        <v>63.544126462537939</v>
      </c>
      <c r="CB90" s="20">
        <f t="shared" si="64"/>
        <v>570.22606692225338</v>
      </c>
      <c r="CC90" s="59">
        <f t="shared" si="65"/>
        <v>863.55940025558675</v>
      </c>
      <c r="CD90" s="59">
        <f ca="1">AVERAGE(OFFSET($CC$3,0,0,'Données projet'!$E$12+1,1))-AVERAGE(OFFSET($H$3,0,0,'Données projet'!$E$12+1,1))</f>
        <v>259.87681411271632</v>
      </c>
      <c r="CE90" s="59">
        <f t="shared" si="94"/>
        <v>191.8684235641158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42.948074800743157</v>
      </c>
      <c r="CL90" s="21">
        <f>EXP(-LN(2)/25)*CL89+(1-EXP(-LN(2)/25))/(LN(2)/25)*Calculateur!CG90*Calculateur!CI90*VLOOKUP('Données projet'!$B$12,Paramètres!$A$1:$I$89,3,0)*0.475*44/12</f>
        <v>44.48311776751148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87.43119256825463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5.6843418860808015E-14</v>
      </c>
      <c r="CU90" s="17">
        <f>CT90*VLOOKUP('Données projet'!$B$13,Paramètres!$A$1:$I$89,3,0)*VLOOKUP('Données projet'!$B$13,Paramètres!$A$1:$I$89,5,0)</f>
        <v>4.5224624045658861E-14</v>
      </c>
      <c r="CV90" s="13">
        <f t="shared" si="95"/>
        <v>7.4514601661523691E-13</v>
      </c>
      <c r="CW90" s="20">
        <f t="shared" si="67"/>
        <v>1.3765621991510601E-12</v>
      </c>
      <c r="CX90" s="59">
        <f t="shared" si="68"/>
        <v>293.33333333333468</v>
      </c>
      <c r="CY90" s="59">
        <f ca="1">AVERAGE(OFFSET($CX$3,0,0,'Données projet'!$E$13+1,1))-AVERAGE(OFFSET($H$3,0,0,'Données projet'!$E$13+1,1))</f>
        <v>198.11534486400666</v>
      </c>
      <c r="CZ90" s="59">
        <f t="shared" si="96"/>
        <v>174.29856796517652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68.649662109940934</v>
      </c>
      <c r="DG90" s="21">
        <f>EXP(-LN(2)/25)*DG89+(1-EXP(-LN(2)/25))/(LN(2)/25)*Calculateur!DB90*Calculateur!DD90*VLOOKUP('Données projet'!$B$13,Paramètres!$A$1:$I$89,3,0)*0.475*44/12</f>
        <v>20.806132565403193</v>
      </c>
      <c r="DH90" s="21">
        <f>EXP(-LN(2)/2)*DH89+(1-EXP(-LN(2)/2))/(LN(2)/2)*DB90*DE90*VLOOKUP('Données projet'!$B$13,Paramètres!$A$1:$I$89,3,0)*0.475*44/12</f>
        <v>1.7993742531975763</v>
      </c>
      <c r="DI90" s="22">
        <f t="shared" si="69"/>
        <v>91.255168928541693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4.666666666666667</v>
      </c>
      <c r="DO90" s="12">
        <f>IF('Données projet'!$A$166&gt;35,DO89+DN90-DW89,IF(A90&lt;'Données projet'!$A$166,$DL$205^A90,IF(A90='Données projet'!$A$166,'Données projet'!$B$166,DO89+DN90-DW89)))</f>
        <v>169.99999999999994</v>
      </c>
      <c r="DP90" s="17">
        <f>DO90*VLOOKUP('Données projet'!$B$14,Paramètres!$A$1:$I$89,3,0)*VLOOKUP('Données projet'!$B$14,Paramètres!$A$1:$I$89,5,0)</f>
        <v>172.37999999999997</v>
      </c>
      <c r="DQ90" s="13">
        <f t="shared" si="97"/>
        <v>43.622632337547088</v>
      </c>
      <c r="DR90" s="20">
        <f t="shared" si="70"/>
        <v>376.20458465456113</v>
      </c>
      <c r="DS90" s="59">
        <f t="shared" si="71"/>
        <v>669.53791798789439</v>
      </c>
      <c r="DT90" s="59">
        <f ca="1">AVERAGE(OFFSET($DS$3,0,0,'Données projet'!$E$14+1,1))-AVERAGE(OFFSET($H$3,0,0,'Données projet'!$E$14+1,1))</f>
        <v>247.92503505485405</v>
      </c>
      <c r="DU90" s="59">
        <f t="shared" si="98"/>
        <v>148.26437652597514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2.6536281669177777</v>
      </c>
      <c r="EB90" s="21">
        <f>EXP(-LN(2)/25)*EB89+(1-EXP(-LN(2)/25))/(LN(2)/25)*Calculateur!DW90*Calculateur!DY90*VLOOKUP('Données projet'!$B$14,Paramètres!$A$1:$I$89,3,0)*0.475*44/12</f>
        <v>20.678909709406923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23.3325378763247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4.666666666666667</v>
      </c>
      <c r="EJ90" s="12">
        <f>IF('Données projet'!$A$192&gt;35,EJ89+EI90-ER89,IF(A90&lt;'Données projet'!$A$192,$EG$205^A90,IF(A90='Données projet'!$A$192,'Données projet'!$B$192,EJ89+EI90-ER89)))</f>
        <v>169.99999999999994</v>
      </c>
      <c r="EK90" s="17">
        <f>EJ90*VLOOKUP('Données projet'!$B$15,Paramètres!$A$1:$I$89,3,0)*VLOOKUP('Données projet'!$B$15,Paramètres!$A$1:$I$89,5,0)</f>
        <v>164.42399999999995</v>
      </c>
      <c r="EL90" s="13">
        <f t="shared" si="99"/>
        <v>41.838771477410191</v>
      </c>
      <c r="EM90" s="20">
        <f t="shared" si="73"/>
        <v>359.24099365648931</v>
      </c>
      <c r="EN90" s="59">
        <f t="shared" si="74"/>
        <v>652.57432698982257</v>
      </c>
      <c r="EO90" s="59">
        <f ca="1">AVERAGE(OFFSET($EN$3,0,0,'Données projet'!$E$15+1,1))-AVERAGE(OFFSET($H$3,0,0,'Données projet'!$E$15+1,1))</f>
        <v>232.99870507181964</v>
      </c>
      <c r="EP90" s="59">
        <f t="shared" si="100"/>
        <v>140.07662669226278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2.5311530207523418</v>
      </c>
      <c r="EW90" s="21">
        <f>EXP(-LN(2)/25)*EW89+(1-EXP(-LN(2)/25))/(LN(2)/25)*Calculateur!ER90*Calculateur!ET90*VLOOKUP('Données projet'!$B$15,Paramètres!$A$1:$I$89,3,0)*0.475*44/12</f>
        <v>19.724498492049673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22.255651512802014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5.6843418860808015E-14</v>
      </c>
      <c r="FF90" s="17">
        <f>FE90*VLOOKUP('Données projet'!$B$16,Paramètres!$A$1:$I$89,3,0)*VLOOKUP('Données projet'!$B$16,Paramètres!$A$1:$I$89,5,0)</f>
        <v>4.4337866711430253E-14</v>
      </c>
      <c r="FG90" s="13">
        <f t="shared" si="101"/>
        <v>7.3222115536967035E-13</v>
      </c>
      <c r="FH90" s="20">
        <f t="shared" si="76"/>
        <v>1.3525069634579169E-12</v>
      </c>
      <c r="FI90" s="59">
        <f t="shared" si="77"/>
        <v>293.33333333333468</v>
      </c>
      <c r="FJ90" s="59">
        <f ca="1">AVERAGE(OFFSET($FI$3,0,0,'Données projet'!$E$16+1,1))-AVERAGE(OFFSET($H$3,0,0,'Données projet'!$E$16+1,1))</f>
        <v>193.47609744163839</v>
      </c>
      <c r="FK90" s="59">
        <f t="shared" si="102"/>
        <v>170.3221892406973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54.604799680493159</v>
      </c>
      <c r="FR90" s="21">
        <f>EXP(-LN(2)/25)*FR89+(1-EXP(-LN(2)/25))/(LN(2)/25)*Calculateur!FM90*Calculateur!FO90*VLOOKUP('Données projet'!$B$16,Paramètres!$A$1:$I$89,3,0)*0.475*44/12</f>
        <v>16.549458015396539</v>
      </c>
      <c r="FS90" s="21">
        <f>EXP(-LN(2)/2)*FS89+(1-EXP(-LN(2)/2))/(LN(2)/2)*FM90*FP90*VLOOKUP('Données projet'!$B$16,Paramètres!$A$1:$I$89,3,0)*0.475*44/12</f>
        <v>1.7640924050956637</v>
      </c>
      <c r="FT90" s="22">
        <f t="shared" si="78"/>
        <v>72.918350100985364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>
        <f>FZ90*VLOOKUP('Données projet'!$B$17,Paramètres!$A$1:$I$89,3,0)*VLOOKUP('Données projet'!$B$17,Paramètres!$A$1:$I$89,5,0)</f>
        <v>0</v>
      </c>
      <c r="GB90" s="13" t="e">
        <f t="shared" si="103"/>
        <v>#NUM!</v>
      </c>
      <c r="GC90" s="20" t="e">
        <f t="shared" si="79"/>
        <v>#NUM!</v>
      </c>
      <c r="GD90" s="59" t="e">
        <f t="shared" si="80"/>
        <v>#NUM!</v>
      </c>
      <c r="GE90" s="59">
        <f ca="1">AVERAGE(OFFSET($GD$3,0,0,'Données projet'!$E$17+1,1))-AVERAGE(OFFSET($H$3,0,0,'Données projet'!$E$17+1,1))</f>
        <v>153.43773674911449</v>
      </c>
      <c r="GF90" s="59">
        <f t="shared" si="104"/>
        <v>235.49395036616602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71.777567099565914</v>
      </c>
      <c r="GM90" s="21">
        <f>EXP(-LN(2)/25)*GM89+(1-EXP(-LN(2)/25))/(LN(2)/25)*Calculateur!GH90*Calculateur!GJ90*VLOOKUP('Données projet'!$B$17,Paramètres!$A$1:$I$89,3,0)*0.475*44/12</f>
        <v>40.625969409562998</v>
      </c>
      <c r="GN90" s="21">
        <f>EXP(-LN(2)/2)*GN89+(1-EXP(-LN(2)/2))/(LN(2)/2)*GH90*GK90*VLOOKUP('Données projet'!$B$17,Paramètres!$A$1:$I$89,3,0)*0.475*44/12</f>
        <v>0</v>
      </c>
      <c r="GO90" s="21">
        <f t="shared" si="81"/>
        <v>112.40353650912891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5.6843418860808015E-14</v>
      </c>
      <c r="GV90" s="17">
        <f>GU90*VLOOKUP('Données projet'!$B$18,Paramètres!$A$1:$I$89,3,0)*VLOOKUP('Données projet'!$B$18,Paramètres!$A$1:$I$89,5,0)</f>
        <v>4.5224624045658861E-14</v>
      </c>
      <c r="GW90" s="13">
        <f t="shared" si="105"/>
        <v>7.4514601661523691E-13</v>
      </c>
      <c r="GX90" s="20">
        <f t="shared" si="82"/>
        <v>1.3765621991510601E-12</v>
      </c>
      <c r="GY90" s="59">
        <f t="shared" si="83"/>
        <v>293.33333333333468</v>
      </c>
      <c r="GZ90" s="59">
        <f ca="1">AVERAGE(OFFSET($GY$3,0,0,'Données projet'!$E$18+1,1))-AVERAGE(OFFSET($H$3,0,0,'Données projet'!$E$18+1,1))</f>
        <v>198.11534486400666</v>
      </c>
      <c r="HA90" s="59">
        <f t="shared" si="106"/>
        <v>174.29856796517652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>
        <f>EXP(-LN(2)/35)*HG89+(1-EXP(-LN(2)/35))/(LN(2)/35)*HC90*HD90*VLOOKUP('Données projet'!$B$18,Paramètres!$A$1:$I$89,3,0)*0.475*44/12</f>
        <v>68.649662109940934</v>
      </c>
      <c r="HH90" s="21">
        <f>EXP(-LN(2)/25)*HH89+(1-EXP(-LN(2)/25))/(LN(2)/25)*Calculateur!HC90*Calculateur!HE90*VLOOKUP('Données projet'!$B$18,Paramètres!$A$1:$I$89,3,0)*0.475*44/12</f>
        <v>20.806132565403193</v>
      </c>
      <c r="HI90" s="21">
        <f>EXP(-LN(2)/2)*HI89+(1-EXP(-LN(2)/2))/(LN(2)/2)*HC90*HF90*VLOOKUP('Données projet'!$B$18,Paramètres!$A$1:$I$89,3,0)*0.475*44/12</f>
        <v>1.7993742531975763</v>
      </c>
      <c r="HJ90" s="22">
        <f t="shared" si="84"/>
        <v>91.255168928541693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5.4</v>
      </c>
      <c r="N91" s="13">
        <f>IF('Données projet'!$A$36&gt;35,N90+M91-V90,IF(A91&lt;'Données projet'!$A$36,$K$205^A91,IF(A91='Données projet'!$A$36,'Données projet'!$B$36,N90+M91-V90)))</f>
        <v>475.20000000000005</v>
      </c>
      <c r="O91" s="13">
        <f>N91*VLOOKUP('Données projet'!$B$9,Paramètres!$A$1:$I$89,3,0)*VLOOKUP('Données projet'!$B$9,Paramètres!$A$1:$I$89,5,0)</f>
        <v>284.16960000000006</v>
      </c>
      <c r="P91" s="13">
        <f t="shared" si="87"/>
        <v>67.847405740313931</v>
      </c>
      <c r="Q91" s="20">
        <f t="shared" si="54"/>
        <v>613.0962849977135</v>
      </c>
      <c r="R91" s="59">
        <f t="shared" si="55"/>
        <v>906.42961833104687</v>
      </c>
      <c r="S91" s="59">
        <f ca="1">AVERAGE(OFFSET($R$3,0,0,'Données projet'!$E$9+1,1))-AVERAGE(OFFSET($H$3,0,0,'Données projet'!$E$9+1,1))</f>
        <v>295.19075440119076</v>
      </c>
      <c r="T91" s="59">
        <f t="shared" si="88"/>
        <v>173.0182327988216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8.0913923435116928</v>
      </c>
      <c r="AA91" s="21">
        <f>EXP(-LN(2)/25)*AA90+(1-EXP(-LN(2)/25))/(LN(2)/25)*Calculateur!V91*Calculateur!X91*VLOOKUP('Données projet'!$B$9,Paramètres!$A$1:$I$89,3,0)*0.475*44/12</f>
        <v>15.949734497414584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24.041126840926275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294.45857786714919</v>
      </c>
      <c r="AO91" s="59">
        <f t="shared" si="90"/>
        <v>221.9773436301067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156.56122881931734</v>
      </c>
      <c r="AV91" s="21">
        <f>EXP(-LN(2)/25)*AV90+(1-EXP(-LN(2)/25))/(LN(2)/25)*Calculateur!AQ91*Calculateur!AS91*VLOOKUP('Données projet'!$B$10,Paramètres!$A$1:$I$89,3,0)*0.475*44/12</f>
        <v>80.543117715359699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237.10434653467703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179.44051550872138</v>
      </c>
      <c r="BJ91" s="59">
        <f t="shared" si="92"/>
        <v>272.9500808380069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80.422917472841661</v>
      </c>
      <c r="BQ91" s="21">
        <f>EXP(-LN(2)/25)*BQ90+(1-EXP(-LN(2)/25))/(LN(2)/25)*Calculateur!BL91*Calculateur!BN91*VLOOKUP('Données projet'!$B$11,Paramètres!$A$1:$I$89,3,0)*0.475*44/12</f>
        <v>45.160057302436151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125.58297477527782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17.399999999999999</v>
      </c>
      <c r="BY91" s="12">
        <f>IF('Données projet'!$A$114&gt;35,BY90+BX91-CG90,IF(A91&lt;'Données projet'!$A$114,$BV$205^A91,IF(A91='Données projet'!$A$114,'Données projet'!$B$114,BY90+BX91-CG90)))</f>
        <v>581.1999999999997</v>
      </c>
      <c r="BZ91" s="13">
        <f>BY91*VLOOKUP('Données projet'!$B$12,Paramètres!$A$1:$I$89,3,0)*VLOOKUP('Données projet'!$B$12,Paramètres!$A$1:$I$89,5,0)</f>
        <v>272.00159999999988</v>
      </c>
      <c r="CA91" s="13">
        <f t="shared" si="93"/>
        <v>65.273876550266948</v>
      </c>
      <c r="CB91" s="20">
        <f t="shared" si="64"/>
        <v>587.42145499171477</v>
      </c>
      <c r="CC91" s="59">
        <f t="shared" si="65"/>
        <v>880.75478832504814</v>
      </c>
      <c r="CD91" s="59">
        <f ca="1">AVERAGE(OFFSET($CC$3,0,0,'Données projet'!$E$12+1,1))-AVERAGE(OFFSET($H$3,0,0,'Données projet'!$E$12+1,1))</f>
        <v>259.87681411271632</v>
      </c>
      <c r="CE91" s="59">
        <f t="shared" si="94"/>
        <v>191.8684235641158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42.105889249639596</v>
      </c>
      <c r="CL91" s="21">
        <f>EXP(-LN(2)/25)*CL90+(1-EXP(-LN(2)/25))/(LN(2)/25)*Calculateur!CG91*Calculateur!CI91*VLOOKUP('Données projet'!$B$12,Paramètres!$A$1:$I$89,3,0)*0.475*44/12</f>
        <v>43.266724572893381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85.372613822532969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5.6843418860808015E-14</v>
      </c>
      <c r="CU91" s="17">
        <f>CT91*VLOOKUP('Données projet'!$B$13,Paramètres!$A$1:$I$89,3,0)*VLOOKUP('Données projet'!$B$13,Paramètres!$A$1:$I$89,5,0)</f>
        <v>4.5224624045658861E-14</v>
      </c>
      <c r="CV91" s="13">
        <f t="shared" si="95"/>
        <v>7.4514601661523691E-13</v>
      </c>
      <c r="CW91" s="20">
        <f t="shared" si="67"/>
        <v>1.3765621991510601E-12</v>
      </c>
      <c r="CX91" s="59">
        <f t="shared" si="68"/>
        <v>293.33333333333468</v>
      </c>
      <c r="CY91" s="59">
        <f ca="1">AVERAGE(OFFSET($CX$3,0,0,'Données projet'!$E$13+1,1))-AVERAGE(OFFSET($H$3,0,0,'Données projet'!$E$13+1,1))</f>
        <v>198.11534486400666</v>
      </c>
      <c r="CZ91" s="59">
        <f t="shared" si="96"/>
        <v>174.29856796517652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67.303484108124351</v>
      </c>
      <c r="DG91" s="21">
        <f>EXP(-LN(2)/25)*DG90+(1-EXP(-LN(2)/25))/(LN(2)/25)*Calculateur!DB91*Calculateur!DD91*VLOOKUP('Données projet'!$B$13,Paramètres!$A$1:$I$89,3,0)*0.475*44/12</f>
        <v>20.237187776255283</v>
      </c>
      <c r="DH91" s="21">
        <f>EXP(-LN(2)/2)*DH90+(1-EXP(-LN(2)/2))/(LN(2)/2)*DB91*DE91*VLOOKUP('Données projet'!$B$13,Paramètres!$A$1:$I$89,3,0)*0.475*44/12</f>
        <v>1.2723497363284859</v>
      </c>
      <c r="DI91" s="22">
        <f t="shared" si="69"/>
        <v>88.813021620708113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4.666666666666667</v>
      </c>
      <c r="DO91" s="12">
        <f>IF('Données projet'!$A$166&gt;35,DO90+DN91-DW90,IF(A91&lt;'Données projet'!$A$166,$DL$205^A91,IF(A91='Données projet'!$A$166,'Données projet'!$B$166,DO90+DN91-DW90)))</f>
        <v>174.6666666666666</v>
      </c>
      <c r="DP91" s="17">
        <f>DO91*VLOOKUP('Données projet'!$B$14,Paramètres!$A$1:$I$89,3,0)*VLOOKUP('Données projet'!$B$14,Paramètres!$A$1:$I$89,5,0)</f>
        <v>177.11199999999994</v>
      </c>
      <c r="DQ91" s="13">
        <f t="shared" si="97"/>
        <v>44.67905577883586</v>
      </c>
      <c r="DR91" s="20">
        <f t="shared" si="70"/>
        <v>386.28608881480568</v>
      </c>
      <c r="DS91" s="59">
        <f t="shared" si="71"/>
        <v>679.61942214813894</v>
      </c>
      <c r="DT91" s="59">
        <f ca="1">AVERAGE(OFFSET($DS$3,0,0,'Données projet'!$E$14+1,1))-AVERAGE(OFFSET($H$3,0,0,'Données projet'!$E$14+1,1))</f>
        <v>247.92503505485405</v>
      </c>
      <c r="DU91" s="59">
        <f t="shared" si="98"/>
        <v>148.26437652597514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2.601592137117883</v>
      </c>
      <c r="EB91" s="21">
        <f>EXP(-LN(2)/25)*EB90+(1-EXP(-LN(2)/25))/(LN(2)/25)*Calculateur!DW91*Calculateur!DY91*VLOOKUP('Données projet'!$B$14,Paramètres!$A$1:$I$89,3,0)*0.475*44/12</f>
        <v>20.11344383594659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22.715035973064474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4.666666666666667</v>
      </c>
      <c r="EJ91" s="12">
        <f>IF('Données projet'!$A$192&gt;35,EJ90+EI91-ER90,IF(A91&lt;'Données projet'!$A$192,$EG$205^A91,IF(A91='Données projet'!$A$192,'Données projet'!$B$192,EJ90+EI91-ER90)))</f>
        <v>174.6666666666666</v>
      </c>
      <c r="EK91" s="17">
        <f>EJ91*VLOOKUP('Données projet'!$B$15,Paramètres!$A$1:$I$89,3,0)*VLOOKUP('Données projet'!$B$15,Paramètres!$A$1:$I$89,5,0)</f>
        <v>168.93759999999995</v>
      </c>
      <c r="EL91" s="13">
        <f t="shared" si="99"/>
        <v>42.851994581450576</v>
      </c>
      <c r="EM91" s="20">
        <f t="shared" si="73"/>
        <v>368.86687722935966</v>
      </c>
      <c r="EN91" s="59">
        <f t="shared" si="74"/>
        <v>662.20021056269297</v>
      </c>
      <c r="EO91" s="59">
        <f ca="1">AVERAGE(OFFSET($EN$3,0,0,'Données projet'!$E$15+1,1))-AVERAGE(OFFSET($H$3,0,0,'Données projet'!$E$15+1,1))</f>
        <v>232.99870507181964</v>
      </c>
      <c r="EP91" s="59">
        <f t="shared" si="100"/>
        <v>140.07662669226278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2.4815186538662886</v>
      </c>
      <c r="EW91" s="21">
        <f>EXP(-LN(2)/25)*EW90+(1-EXP(-LN(2)/25))/(LN(2)/25)*Calculateur!ER91*Calculateur!ET91*VLOOKUP('Données projet'!$B$15,Paramètres!$A$1:$I$89,3,0)*0.475*44/12</f>
        <v>19.185131043518279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21.666649697384567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5.6843418860808015E-14</v>
      </c>
      <c r="FF91" s="17">
        <f>FE91*VLOOKUP('Données projet'!$B$16,Paramètres!$A$1:$I$89,3,0)*VLOOKUP('Données projet'!$B$16,Paramètres!$A$1:$I$89,5,0)</f>
        <v>4.4337866711430253E-14</v>
      </c>
      <c r="FG91" s="13">
        <f t="shared" si="101"/>
        <v>7.3222115536967035E-13</v>
      </c>
      <c r="FH91" s="20">
        <f t="shared" si="76"/>
        <v>1.3525069634579169E-12</v>
      </c>
      <c r="FI91" s="59">
        <f t="shared" si="77"/>
        <v>293.33333333333468</v>
      </c>
      <c r="FJ91" s="59">
        <f ca="1">AVERAGE(OFFSET($FI$3,0,0,'Données projet'!$E$16+1,1))-AVERAGE(OFFSET($H$3,0,0,'Données projet'!$E$16+1,1))</f>
        <v>193.47609744163839</v>
      </c>
      <c r="FK91" s="59">
        <f t="shared" si="102"/>
        <v>170.3221892406973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53.534032864397837</v>
      </c>
      <c r="FR91" s="21">
        <f>EXP(-LN(2)/25)*FR90+(1-EXP(-LN(2)/25))/(LN(2)/25)*Calculateur!FM91*Calculateur!FO91*VLOOKUP('Données projet'!$B$16,Paramètres!$A$1:$I$89,3,0)*0.475*44/12</f>
        <v>16.096912215667349</v>
      </c>
      <c r="FS91" s="21">
        <f>EXP(-LN(2)/2)*FS90+(1-EXP(-LN(2)/2))/(LN(2)/2)*FM91*FP91*VLOOKUP('Données projet'!$B$16,Paramètres!$A$1:$I$89,3,0)*0.475*44/12</f>
        <v>1.2474017022828299</v>
      </c>
      <c r="FT91" s="22">
        <f t="shared" si="78"/>
        <v>70.878346782348018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>
        <f>FZ91*VLOOKUP('Données projet'!$B$17,Paramètres!$A$1:$I$89,3,0)*VLOOKUP('Données projet'!$B$17,Paramètres!$A$1:$I$89,5,0)</f>
        <v>0</v>
      </c>
      <c r="GB91" s="13" t="e">
        <f t="shared" si="103"/>
        <v>#NUM!</v>
      </c>
      <c r="GC91" s="20" t="e">
        <f t="shared" si="79"/>
        <v>#NUM!</v>
      </c>
      <c r="GD91" s="59" t="e">
        <f t="shared" si="80"/>
        <v>#NUM!</v>
      </c>
      <c r="GE91" s="59">
        <f ca="1">AVERAGE(OFFSET($GD$3,0,0,'Données projet'!$E$17+1,1))-AVERAGE(OFFSET($H$3,0,0,'Données projet'!$E$17+1,1))</f>
        <v>153.43773674911449</v>
      </c>
      <c r="GF91" s="59">
        <f t="shared" si="104"/>
        <v>235.49395036616602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70.370052788736444</v>
      </c>
      <c r="GM91" s="21">
        <f>EXP(-LN(2)/25)*GM90+(1-EXP(-LN(2)/25))/(LN(2)/25)*Calculateur!GH91*Calculateur!GJ91*VLOOKUP('Données projet'!$B$17,Paramètres!$A$1:$I$89,3,0)*0.475*44/12</f>
        <v>39.515050139631619</v>
      </c>
      <c r="GN91" s="21">
        <f>EXP(-LN(2)/2)*GN90+(1-EXP(-LN(2)/2))/(LN(2)/2)*GH91*GK91*VLOOKUP('Données projet'!$B$17,Paramètres!$A$1:$I$89,3,0)*0.475*44/12</f>
        <v>0</v>
      </c>
      <c r="GO91" s="21">
        <f t="shared" si="81"/>
        <v>109.88510292836807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5.6843418860808015E-14</v>
      </c>
      <c r="GV91" s="17">
        <f>GU91*VLOOKUP('Données projet'!$B$18,Paramètres!$A$1:$I$89,3,0)*VLOOKUP('Données projet'!$B$18,Paramètres!$A$1:$I$89,5,0)</f>
        <v>4.5224624045658861E-14</v>
      </c>
      <c r="GW91" s="13">
        <f t="shared" si="105"/>
        <v>7.4514601661523691E-13</v>
      </c>
      <c r="GX91" s="20">
        <f t="shared" si="82"/>
        <v>1.3765621991510601E-12</v>
      </c>
      <c r="GY91" s="59">
        <f t="shared" si="83"/>
        <v>293.33333333333468</v>
      </c>
      <c r="GZ91" s="59">
        <f ca="1">AVERAGE(OFFSET($GY$3,0,0,'Données projet'!$E$18+1,1))-AVERAGE(OFFSET($H$3,0,0,'Données projet'!$E$18+1,1))</f>
        <v>198.11534486400666</v>
      </c>
      <c r="HA91" s="59">
        <f t="shared" si="106"/>
        <v>174.29856796517652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>
        <f>EXP(-LN(2)/35)*HG90+(1-EXP(-LN(2)/35))/(LN(2)/35)*HC91*HD91*VLOOKUP('Données projet'!$B$18,Paramètres!$A$1:$I$89,3,0)*0.475*44/12</f>
        <v>67.303484108124351</v>
      </c>
      <c r="HH91" s="21">
        <f>EXP(-LN(2)/25)*HH90+(1-EXP(-LN(2)/25))/(LN(2)/25)*Calculateur!HC91*Calculateur!HE91*VLOOKUP('Données projet'!$B$18,Paramètres!$A$1:$I$89,3,0)*0.475*44/12</f>
        <v>20.237187776255283</v>
      </c>
      <c r="HI91" s="21">
        <f>EXP(-LN(2)/2)*HI90+(1-EXP(-LN(2)/2))/(LN(2)/2)*HC91*HF91*VLOOKUP('Données projet'!$B$18,Paramètres!$A$1:$I$89,3,0)*0.475*44/12</f>
        <v>1.2723497363284859</v>
      </c>
      <c r="HJ91" s="22">
        <f t="shared" si="84"/>
        <v>88.813021620708113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5.4</v>
      </c>
      <c r="N92" s="13">
        <f>IF('Données projet'!$A$36&gt;35,N91+M92-V91,IF(A92&lt;'Données projet'!$A$36,$K$205^A92,IF(A92='Données projet'!$A$36,'Données projet'!$B$36,N91+M92-V91)))</f>
        <v>480.6</v>
      </c>
      <c r="O92" s="13">
        <f>N92*VLOOKUP('Données projet'!$B$9,Paramètres!$A$1:$I$89,3,0)*VLOOKUP('Données projet'!$B$9,Paramètres!$A$1:$I$89,5,0)</f>
        <v>287.39880000000005</v>
      </c>
      <c r="P92" s="13">
        <f t="shared" si="87"/>
        <v>68.528206713592894</v>
      </c>
      <c r="Q92" s="20">
        <f t="shared" si="54"/>
        <v>619.90620335950769</v>
      </c>
      <c r="R92" s="59">
        <f t="shared" si="55"/>
        <v>913.23953669284106</v>
      </c>
      <c r="S92" s="59">
        <f ca="1">AVERAGE(OFFSET($R$3,0,0,'Données projet'!$E$9+1,1))-AVERAGE(OFFSET($H$3,0,0,'Données projet'!$E$9+1,1))</f>
        <v>295.19075440119076</v>
      </c>
      <c r="T92" s="59">
        <f t="shared" si="88"/>
        <v>173.0182327988216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7.9327250749174416</v>
      </c>
      <c r="AA92" s="21">
        <f>EXP(-LN(2)/25)*AA91+(1-EXP(-LN(2)/25))/(LN(2)/25)*Calculateur!V92*Calculateur!X92*VLOOKUP('Données projet'!$B$9,Paramètres!$A$1:$I$89,3,0)*0.475*44/12</f>
        <v>15.513588168822698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23.446313243740139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294.45857786714919</v>
      </c>
      <c r="AO92" s="59">
        <f t="shared" si="90"/>
        <v>221.9773436301067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153.49115861509097</v>
      </c>
      <c r="AV92" s="21">
        <f>EXP(-LN(2)/25)*AV91+(1-EXP(-LN(2)/25))/(LN(2)/25)*Calculateur!AQ92*Calculateur!AS92*VLOOKUP('Données projet'!$B$10,Paramètres!$A$1:$I$89,3,0)*0.475*44/12</f>
        <v>78.340661925854718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231.83182054094567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179.44051550872138</v>
      </c>
      <c r="BJ92" s="59">
        <f t="shared" si="92"/>
        <v>272.9500808380069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78.845873114335305</v>
      </c>
      <c r="BQ92" s="21">
        <f>EXP(-LN(2)/25)*BQ91+(1-EXP(-LN(2)/25))/(LN(2)/25)*Calculateur!BL92*Calculateur!BN92*VLOOKUP('Données projet'!$B$11,Paramètres!$A$1:$I$89,3,0)*0.475*44/12</f>
        <v>43.925153160636839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122.77102627497214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17.399999999999999</v>
      </c>
      <c r="BY92" s="12">
        <f>IF('Données projet'!$A$114&gt;35,BY91+BX92-CG91,IF(A92&lt;'Données projet'!$A$114,$BV$205^A92,IF(A92='Données projet'!$A$114,'Données projet'!$B$114,BY91+BX92-CG91)))</f>
        <v>598.59999999999968</v>
      </c>
      <c r="BZ92" s="13">
        <f>BY92*VLOOKUP('Données projet'!$B$12,Paramètres!$A$1:$I$89,3,0)*VLOOKUP('Données projet'!$B$12,Paramètres!$A$1:$I$89,5,0)</f>
        <v>280.14479999999986</v>
      </c>
      <c r="CA92" s="13">
        <f t="shared" si="93"/>
        <v>66.997608362790359</v>
      </c>
      <c r="CB92" s="20">
        <f t="shared" si="64"/>
        <v>604.60636123185952</v>
      </c>
      <c r="CC92" s="59">
        <f t="shared" si="65"/>
        <v>897.93969456519289</v>
      </c>
      <c r="CD92" s="59">
        <f ca="1">AVERAGE(OFFSET($CC$3,0,0,'Données projet'!$E$12+1,1))-AVERAGE(OFFSET($H$3,0,0,'Données projet'!$E$12+1,1))</f>
        <v>259.87681411271632</v>
      </c>
      <c r="CE92" s="59">
        <f t="shared" si="94"/>
        <v>191.8684235641158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41.280218443510712</v>
      </c>
      <c r="CL92" s="21">
        <f>EXP(-LN(2)/25)*CL91+(1-EXP(-LN(2)/25))/(LN(2)/25)*Calculateur!CG92*Calculateur!CI92*VLOOKUP('Données projet'!$B$12,Paramètres!$A$1:$I$89,3,0)*0.475*44/12</f>
        <v>42.083593714149451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83.363812157660163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5.6843418860808015E-14</v>
      </c>
      <c r="CU92" s="17">
        <f>CT92*VLOOKUP('Données projet'!$B$13,Paramètres!$A$1:$I$89,3,0)*VLOOKUP('Données projet'!$B$13,Paramètres!$A$1:$I$89,5,0)</f>
        <v>4.5224624045658861E-14</v>
      </c>
      <c r="CV92" s="13">
        <f t="shared" si="95"/>
        <v>7.4514601661523691E-13</v>
      </c>
      <c r="CW92" s="20">
        <f t="shared" si="67"/>
        <v>1.3765621991510601E-12</v>
      </c>
      <c r="CX92" s="59">
        <f t="shared" si="68"/>
        <v>293.33333333333468</v>
      </c>
      <c r="CY92" s="59">
        <f ca="1">AVERAGE(OFFSET($CX$3,0,0,'Données projet'!$E$13+1,1))-AVERAGE(OFFSET($H$3,0,0,'Données projet'!$E$13+1,1))</f>
        <v>198.11534486400666</v>
      </c>
      <c r="CZ92" s="59">
        <f t="shared" si="96"/>
        <v>174.29856796517652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65.983703835835883</v>
      </c>
      <c r="DG92" s="21">
        <f>EXP(-LN(2)/25)*DG91+(1-EXP(-LN(2)/25))/(LN(2)/25)*Calculateur!DB92*Calculateur!DD92*VLOOKUP('Données projet'!$B$13,Paramètres!$A$1:$I$89,3,0)*0.475*44/12</f>
        <v>19.68380081228613</v>
      </c>
      <c r="DH92" s="21">
        <f>EXP(-LN(2)/2)*DH91+(1-EXP(-LN(2)/2))/(LN(2)/2)*DB92*DE92*VLOOKUP('Données projet'!$B$13,Paramètres!$A$1:$I$89,3,0)*0.475*44/12</f>
        <v>0.89968712659878813</v>
      </c>
      <c r="DI92" s="22">
        <f t="shared" si="69"/>
        <v>86.567191774720811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4.666666666666667</v>
      </c>
      <c r="DO92" s="12">
        <f>IF('Données projet'!$A$166&gt;35,DO91+DN92-DW91,IF(A92&lt;'Données projet'!$A$166,$DL$205^A92,IF(A92='Données projet'!$A$166,'Données projet'!$B$166,DO91+DN92-DW91)))</f>
        <v>179.33333333333326</v>
      </c>
      <c r="DP92" s="17">
        <f>DO92*VLOOKUP('Données projet'!$B$14,Paramètres!$A$1:$I$89,3,0)*VLOOKUP('Données projet'!$B$14,Paramètres!$A$1:$I$89,5,0)</f>
        <v>181.84399999999994</v>
      </c>
      <c r="DQ92" s="13">
        <f t="shared" si="97"/>
        <v>45.732198514784031</v>
      </c>
      <c r="DR92" s="20">
        <f t="shared" si="70"/>
        <v>396.36187907991547</v>
      </c>
      <c r="DS92" s="59">
        <f t="shared" si="71"/>
        <v>689.69521241324878</v>
      </c>
      <c r="DT92" s="59">
        <f ca="1">AVERAGE(OFFSET($DS$3,0,0,'Données projet'!$E$14+1,1))-AVERAGE(OFFSET($H$3,0,0,'Données projet'!$E$14+1,1))</f>
        <v>247.92503505485405</v>
      </c>
      <c r="DU92" s="59">
        <f t="shared" si="98"/>
        <v>148.26437652597514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2.5505765021235201</v>
      </c>
      <c r="EB92" s="21">
        <f>EXP(-LN(2)/25)*EB91+(1-EXP(-LN(2)/25))/(LN(2)/25)*Calculateur!DW92*Calculateur!DY92*VLOOKUP('Données projet'!$B$14,Paramètres!$A$1:$I$89,3,0)*0.475*44/12</f>
        <v>19.563440656532588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22.114017158656107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4.666666666666667</v>
      </c>
      <c r="EJ92" s="12">
        <f>IF('Données projet'!$A$192&gt;35,EJ91+EI92-ER91,IF(A92&lt;'Données projet'!$A$192,$EG$205^A92,IF(A92='Données projet'!$A$192,'Données projet'!$B$192,EJ91+EI92-ER91)))</f>
        <v>179.33333333333326</v>
      </c>
      <c r="EK92" s="17">
        <f>EJ92*VLOOKUP('Données projet'!$B$15,Paramètres!$A$1:$I$89,3,0)*VLOOKUP('Données projet'!$B$15,Paramètres!$A$1:$I$89,5,0)</f>
        <v>173.45119999999994</v>
      </c>
      <c r="EL92" s="13">
        <f t="shared" si="99"/>
        <v>43.862071138075585</v>
      </c>
      <c r="EM92" s="20">
        <f t="shared" si="73"/>
        <v>378.48728056548151</v>
      </c>
      <c r="EN92" s="59">
        <f t="shared" si="74"/>
        <v>671.82061389881483</v>
      </c>
      <c r="EO92" s="59">
        <f ca="1">AVERAGE(OFFSET($EN$3,0,0,'Données projet'!$E$15+1,1))-AVERAGE(OFFSET($H$3,0,0,'Données projet'!$E$15+1,1))</f>
        <v>232.99870507181964</v>
      </c>
      <c r="EP92" s="59">
        <f t="shared" si="100"/>
        <v>140.07662669226278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2.4328575866408961</v>
      </c>
      <c r="EW92" s="21">
        <f>EXP(-LN(2)/25)*EW91+(1-EXP(-LN(2)/25))/(LN(2)/25)*Calculateur!ER92*Calculateur!ET92*VLOOKUP('Données projet'!$B$15,Paramètres!$A$1:$I$89,3,0)*0.475*44/12</f>
        <v>18.660512626231078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21.093370212871974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5.6843418860808015E-14</v>
      </c>
      <c r="FF92" s="17">
        <f>FE92*VLOOKUP('Données projet'!$B$16,Paramètres!$A$1:$I$89,3,0)*VLOOKUP('Données projet'!$B$16,Paramètres!$A$1:$I$89,5,0)</f>
        <v>4.4337866711430253E-14</v>
      </c>
      <c r="FG92" s="13">
        <f t="shared" si="101"/>
        <v>7.3222115536967035E-13</v>
      </c>
      <c r="FH92" s="20">
        <f t="shared" si="76"/>
        <v>1.3525069634579169E-12</v>
      </c>
      <c r="FI92" s="59">
        <f t="shared" si="77"/>
        <v>293.33333333333468</v>
      </c>
      <c r="FJ92" s="59">
        <f ca="1">AVERAGE(OFFSET($FI$3,0,0,'Données projet'!$E$16+1,1))-AVERAGE(OFFSET($H$3,0,0,'Données projet'!$E$16+1,1))</f>
        <v>193.47609744163839</v>
      </c>
      <c r="FK92" s="59">
        <f t="shared" si="102"/>
        <v>170.3221892406973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52.484263132462871</v>
      </c>
      <c r="FR92" s="21">
        <f>EXP(-LN(2)/25)*FR91+(1-EXP(-LN(2)/25))/(LN(2)/25)*Calculateur!FM92*Calculateur!FO92*VLOOKUP('Données projet'!$B$16,Paramètres!$A$1:$I$89,3,0)*0.475*44/12</f>
        <v>15.656741304630101</v>
      </c>
      <c r="FS92" s="21">
        <f>EXP(-LN(2)/2)*FS91+(1-EXP(-LN(2)/2))/(LN(2)/2)*FM92*FP92*VLOOKUP('Données projet'!$B$16,Paramètres!$A$1:$I$89,3,0)*0.475*44/12</f>
        <v>0.88204620254783195</v>
      </c>
      <c r="FT92" s="22">
        <f t="shared" si="78"/>
        <v>69.0230506396408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>
        <f>FZ92*VLOOKUP('Données projet'!$B$17,Paramètres!$A$1:$I$89,3,0)*VLOOKUP('Données projet'!$B$17,Paramètres!$A$1:$I$89,5,0)</f>
        <v>0</v>
      </c>
      <c r="GB92" s="13" t="e">
        <f t="shared" si="103"/>
        <v>#NUM!</v>
      </c>
      <c r="GC92" s="20" t="e">
        <f t="shared" si="79"/>
        <v>#NUM!</v>
      </c>
      <c r="GD92" s="59" t="e">
        <f t="shared" si="80"/>
        <v>#NUM!</v>
      </c>
      <c r="GE92" s="59">
        <f ca="1">AVERAGE(OFFSET($GD$3,0,0,'Données projet'!$E$17+1,1))-AVERAGE(OFFSET($H$3,0,0,'Données projet'!$E$17+1,1))</f>
        <v>153.43773674911449</v>
      </c>
      <c r="GF92" s="59">
        <f t="shared" si="104"/>
        <v>235.49395036616602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68.990138975043379</v>
      </c>
      <c r="GM92" s="21">
        <f>EXP(-LN(2)/25)*GM91+(1-EXP(-LN(2)/25))/(LN(2)/25)*Calculateur!GH92*Calculateur!GJ92*VLOOKUP('Données projet'!$B$17,Paramètres!$A$1:$I$89,3,0)*0.475*44/12</f>
        <v>38.434509015557218</v>
      </c>
      <c r="GN92" s="21">
        <f>EXP(-LN(2)/2)*GN91+(1-EXP(-LN(2)/2))/(LN(2)/2)*GH92*GK92*VLOOKUP('Données projet'!$B$17,Paramètres!$A$1:$I$89,3,0)*0.475*44/12</f>
        <v>0</v>
      </c>
      <c r="GO92" s="21">
        <f t="shared" si="81"/>
        <v>107.42464799060059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5.6843418860808015E-14</v>
      </c>
      <c r="GV92" s="17">
        <f>GU92*VLOOKUP('Données projet'!$B$18,Paramètres!$A$1:$I$89,3,0)*VLOOKUP('Données projet'!$B$18,Paramètres!$A$1:$I$89,5,0)</f>
        <v>4.5224624045658861E-14</v>
      </c>
      <c r="GW92" s="13">
        <f t="shared" si="105"/>
        <v>7.4514601661523691E-13</v>
      </c>
      <c r="GX92" s="20">
        <f t="shared" si="82"/>
        <v>1.3765621991510601E-12</v>
      </c>
      <c r="GY92" s="59">
        <f t="shared" si="83"/>
        <v>293.33333333333468</v>
      </c>
      <c r="GZ92" s="59">
        <f ca="1">AVERAGE(OFFSET($GY$3,0,0,'Données projet'!$E$18+1,1))-AVERAGE(OFFSET($H$3,0,0,'Données projet'!$E$18+1,1))</f>
        <v>198.11534486400666</v>
      </c>
      <c r="HA92" s="59">
        <f t="shared" si="106"/>
        <v>174.29856796517652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>
        <f>EXP(-LN(2)/35)*HG91+(1-EXP(-LN(2)/35))/(LN(2)/35)*HC92*HD92*VLOOKUP('Données projet'!$B$18,Paramètres!$A$1:$I$89,3,0)*0.475*44/12</f>
        <v>65.983703835835883</v>
      </c>
      <c r="HH92" s="21">
        <f>EXP(-LN(2)/25)*HH91+(1-EXP(-LN(2)/25))/(LN(2)/25)*Calculateur!HC92*Calculateur!HE92*VLOOKUP('Données projet'!$B$18,Paramètres!$A$1:$I$89,3,0)*0.475*44/12</f>
        <v>19.68380081228613</v>
      </c>
      <c r="HI92" s="21">
        <f>EXP(-LN(2)/2)*HI91+(1-EXP(-LN(2)/2))/(LN(2)/2)*HC92*HF92*VLOOKUP('Données projet'!$B$18,Paramètres!$A$1:$I$89,3,0)*0.475*44/12</f>
        <v>0.89968712659878813</v>
      </c>
      <c r="HJ92" s="22">
        <f t="shared" si="84"/>
        <v>86.567191774720811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486</v>
      </c>
      <c r="L93" s="12">
        <f>VLOOKUP(A93,'Données projet'!$A$35:$I$55,9,0)</f>
        <v>5.4</v>
      </c>
      <c r="M93" s="12">
        <f t="array" ref="M93">INDEX(L:L,MIN(IF(ISNUMBER(L93:L289),ROW(L93:L289),"")))</f>
        <v>5.4</v>
      </c>
      <c r="N93" s="13">
        <f>IF('Données projet'!$A$36&gt;35,N92+M93-V92,IF(A93&lt;'Données projet'!$A$36,$K$205^A93,IF(A93='Données projet'!$A$36,'Données projet'!$B$36,N92+M93-V92)))</f>
        <v>486</v>
      </c>
      <c r="O93" s="13">
        <f>N93*VLOOKUP('Données projet'!$B$9,Paramètres!$A$1:$I$89,3,0)*VLOOKUP('Données projet'!$B$9,Paramètres!$A$1:$I$89,5,0)</f>
        <v>290.62799999999999</v>
      </c>
      <c r="P93" s="13">
        <f t="shared" si="87"/>
        <v>69.208117853196882</v>
      </c>
      <c r="Q93" s="20">
        <f t="shared" si="54"/>
        <v>626.71457192765126</v>
      </c>
      <c r="R93" s="59">
        <f t="shared" si="55"/>
        <v>920.04790526098463</v>
      </c>
      <c r="S93" s="59">
        <f ca="1">AVERAGE(OFFSET($R$3,0,0,'Données projet'!$E$9+1,1))-AVERAGE(OFFSET($H$3,0,0,'Données projet'!$E$9+1,1))</f>
        <v>295.19075440119076</v>
      </c>
      <c r="T93" s="59">
        <f t="shared" si="88"/>
        <v>173.0182327988216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24</v>
      </c>
      <c r="W93" s="16">
        <f>IF(ISNA(VLOOKUP(A93,'Données projet'!$A$35:$I$55,5,0)),0%,VLOOKUP(A93,'Données projet'!$A$35:$I$55,5,0)*VLOOKUP('Données projet'!$B$9,Paramètres!$A$1:$I$89,7,0))</f>
        <v>0.315</v>
      </c>
      <c r="X93" s="16">
        <f>IF(ISNA(VLOOKUP(A93,'Données projet'!$A$35:$I$55,6,0)),0%,VLOOKUP(A93,'Données projet'!$A$35:$I$55,6,0)*VLOOKUP('Données projet'!$B$9,Paramètres!$A$1:$I$89,7,0))</f>
        <v>0.13500000000000001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13.774407889990355</v>
      </c>
      <c r="AA93" s="21">
        <f>EXP(-LN(2)/25)*AA92+(1-EXP(-LN(2)/25))/(LN(2)/25)*Calculateur!V93*Calculateur!X93*VLOOKUP('Données projet'!$B$9,Paramètres!$A$1:$I$89,3,0)*0.475*44/12</f>
        <v>17.649493413675629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31.423901303665986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294.45857786714919</v>
      </c>
      <c r="AO93" s="59">
        <f t="shared" si="90"/>
        <v>221.9773436301067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150.48129061501155</v>
      </c>
      <c r="AV93" s="21">
        <f>EXP(-LN(2)/25)*AV92+(1-EXP(-LN(2)/25))/(LN(2)/25)*Calculateur!AQ93*Calculateur!AS93*VLOOKUP('Données projet'!$B$10,Paramètres!$A$1:$I$89,3,0)*0.475*44/12</f>
        <v>76.198432405735858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226.67972302074742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179.44051550872138</v>
      </c>
      <c r="BJ93" s="59">
        <f t="shared" si="92"/>
        <v>272.9500808380069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77.299753633797181</v>
      </c>
      <c r="BQ93" s="21">
        <f>EXP(-LN(2)/25)*BQ92+(1-EXP(-LN(2)/25))/(LN(2)/25)*Calculateur!BL93*Calculateur!BN93*VLOOKUP('Données projet'!$B$11,Paramètres!$A$1:$I$89,3,0)*0.475*44/12</f>
        <v>42.724017537535815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120.023771171333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616</v>
      </c>
      <c r="BW93" s="12">
        <f>VLOOKUP(A93,'Données projet'!$A$113:$I$133,9,0)</f>
        <v>17.399999999999999</v>
      </c>
      <c r="BX93" s="12">
        <f t="array" ref="BX93">INDEX(BW:BW,MIN(IF(ISNUMBER(BW93:BW289),ROW(BW93:BW289),"")))</f>
        <v>17.399999999999999</v>
      </c>
      <c r="BY93" s="12">
        <f>IF('Données projet'!$A$114&gt;35,BY92+BX93-CG92,IF(A93&lt;'Données projet'!$A$114,$BV$205^A93,IF(A93='Données projet'!$A$114,'Données projet'!$B$114,BY92+BX93-CG92)))</f>
        <v>615.99999999999966</v>
      </c>
      <c r="BZ93" s="13">
        <f>BY93*VLOOKUP('Données projet'!$B$12,Paramètres!$A$1:$I$89,3,0)*VLOOKUP('Données projet'!$B$12,Paramètres!$A$1:$I$89,5,0)</f>
        <v>288.28799999999984</v>
      </c>
      <c r="CA93" s="13">
        <f t="shared" si="93"/>
        <v>68.715516926722387</v>
      </c>
      <c r="CB93" s="20">
        <f t="shared" si="64"/>
        <v>621.78112531404122</v>
      </c>
      <c r="CC93" s="59">
        <f t="shared" si="65"/>
        <v>915.11445864737448</v>
      </c>
      <c r="CD93" s="59">
        <f ca="1">AVERAGE(OFFSET($CC$3,0,0,'Données projet'!$E$12+1,1))-AVERAGE(OFFSET($H$3,0,0,'Données projet'!$E$12+1,1))</f>
        <v>259.87681411271632</v>
      </c>
      <c r="CE93" s="59">
        <f t="shared" si="94"/>
        <v>191.8684235641158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123</v>
      </c>
      <c r="CH93" s="16">
        <f>IF(ISNA(VLOOKUP(A93,'Données projet'!$A$113:$I$133,5,0)),0%,VLOOKUP(A93,'Données projet'!$A$113:$I$133,5,0)*VLOOKUP('Données projet'!$B$12,Paramètres!$A$1:$I$89,7,0))</f>
        <v>0.38500000000000001</v>
      </c>
      <c r="CI93" s="16">
        <f>IF(ISNA(VLOOKUP(A93,'Données projet'!$A$113:$I$133,6,0)),0%,VLOOKUP(A93,'Données projet'!$A$113:$I$133,6,0)*VLOOKUP('Données projet'!$B$12,Paramètres!$A$1:$I$89,7,0))</f>
        <v>0.16500000000000001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69.870245718755399</v>
      </c>
      <c r="CL93" s="21">
        <f>EXP(-LN(2)/25)*CL92+(1-EXP(-LN(2)/25))/(LN(2)/25)*Calculateur!CG93*Calculateur!CI93*VLOOKUP('Données projet'!$B$12,Paramètres!$A$1:$I$89,3,0)*0.475*44/12</f>
        <v>53.48299425321953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123.35323997197493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5.6843418860808015E-14</v>
      </c>
      <c r="CU93" s="17">
        <f>CT93*VLOOKUP('Données projet'!$B$13,Paramètres!$A$1:$I$89,3,0)*VLOOKUP('Données projet'!$B$13,Paramètres!$A$1:$I$89,5,0)</f>
        <v>4.5224624045658861E-14</v>
      </c>
      <c r="CV93" s="13">
        <f t="shared" si="95"/>
        <v>7.4514601661523691E-13</v>
      </c>
      <c r="CW93" s="20">
        <f t="shared" si="67"/>
        <v>1.3765621991510601E-12</v>
      </c>
      <c r="CX93" s="59">
        <f t="shared" si="68"/>
        <v>293.33333333333468</v>
      </c>
      <c r="CY93" s="59">
        <f ca="1">AVERAGE(OFFSET($CX$3,0,0,'Données projet'!$E$13+1,1))-AVERAGE(OFFSET($H$3,0,0,'Données projet'!$E$13+1,1))</f>
        <v>198.11534486400666</v>
      </c>
      <c r="CZ93" s="59">
        <f t="shared" si="96"/>
        <v>174.29856796517652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64.689803649700508</v>
      </c>
      <c r="DG93" s="21">
        <f>EXP(-LN(2)/25)*DG92+(1-EXP(-LN(2)/25))/(LN(2)/25)*Calculateur!DB93*Calculateur!DD93*VLOOKUP('Données projet'!$B$13,Paramètres!$A$1:$I$89,3,0)*0.475*44/12</f>
        <v>19.145546243948068</v>
      </c>
      <c r="DH93" s="21">
        <f>EXP(-LN(2)/2)*DH92+(1-EXP(-LN(2)/2))/(LN(2)/2)*DB93*DE93*VLOOKUP('Données projet'!$B$13,Paramètres!$A$1:$I$89,3,0)*0.475*44/12</f>
        <v>0.63617486816424296</v>
      </c>
      <c r="DI93" s="22">
        <f t="shared" si="69"/>
        <v>84.47152476181283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184</v>
      </c>
      <c r="DM93" s="12">
        <f>VLOOKUP(A93,'Données projet'!$A$165:$I$185,9,0)</f>
        <v>4.666666666666667</v>
      </c>
      <c r="DN93" s="12">
        <f t="array" ref="DN93">INDEX(DM:DM,MIN(IF(ISNUMBER(DM93:DM289),ROW(DM93:DM289),"")))</f>
        <v>4.666666666666667</v>
      </c>
      <c r="DO93" s="12">
        <f>IF('Données projet'!$A$166&gt;35,DO92+DN93-DW92,IF(A93&lt;'Données projet'!$A$166,$DL$205^A93,IF(A93='Données projet'!$A$166,'Données projet'!$B$166,DO92+DN93-DW92)))</f>
        <v>183.99999999999991</v>
      </c>
      <c r="DP93" s="17">
        <f>DO93*VLOOKUP('Données projet'!$B$14,Paramètres!$A$1:$I$89,3,0)*VLOOKUP('Données projet'!$B$14,Paramètres!$A$1:$I$89,5,0)</f>
        <v>186.57599999999994</v>
      </c>
      <c r="DQ93" s="13">
        <f t="shared" si="97"/>
        <v>46.782155731694274</v>
      </c>
      <c r="DR93" s="20">
        <f t="shared" si="70"/>
        <v>406.43212123270069</v>
      </c>
      <c r="DS93" s="59">
        <f t="shared" si="71"/>
        <v>699.76545456603401</v>
      </c>
      <c r="DT93" s="59">
        <f ca="1">AVERAGE(OFFSET($DS$3,0,0,'Données projet'!$E$14+1,1))-AVERAGE(OFFSET($H$3,0,0,'Données projet'!$E$14+1,1))</f>
        <v>247.92503505485405</v>
      </c>
      <c r="DU93" s="59">
        <f t="shared" si="98"/>
        <v>148.26437652597514</v>
      </c>
      <c r="DV93" s="15">
        <f>IF(ISNA(VLOOKUP(A93,'Données projet'!$A$165:$I$185,3,0)),0,VLOOKUP(A93,'Données projet'!$A$165:$I$185,3,0))</f>
        <v>7</v>
      </c>
      <c r="DW93" s="15">
        <f>IF(ISNA(VLOOKUP(A93,'Données projet'!$A$165:$I$185,4,0)),0,VLOOKUP(A93,'Données projet'!$A$165:$I$185,4,0))</f>
        <v>30</v>
      </c>
      <c r="DX93" s="16">
        <f>IF(ISNA(VLOOKUP(A93,'Données projet'!$A$165:$I$185,5,0)),0%,VLOOKUP(A93,'Données projet'!$A$165:$I$185,5,0)*VLOOKUP('Données projet'!$B$14,Paramètres!$A$1:$I$89,7,0))</f>
        <v>8.6000000000000007E-2</v>
      </c>
      <c r="DY93" s="16">
        <f>IF(ISNA(VLOOKUP(A93,'Données projet'!$A$165:$I$185,6,0)),0%,VLOOKUP(A93,'Données projet'!$A$165:$I$185,6,0)*VLOOKUP('Données projet'!$B$14,Paramètres!$A$1:$I$89,7,0))</f>
        <v>0.215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5.3926044219186737</v>
      </c>
      <c r="EB93" s="21">
        <f>EXP(-LN(2)/25)*EB92+(1-EXP(-LN(2)/25))/(LN(2)/25)*Calculateur!DW93*Calculateur!DY93*VLOOKUP('Données projet'!$B$14,Paramètres!$A$1:$I$89,3,0)*0.475*44/12</f>
        <v>26.230117576461456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31.622721998380129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184</v>
      </c>
      <c r="EH93" s="12">
        <f>VLOOKUP(A93,'Données projet'!$A$191:$I$211,9,0)</f>
        <v>4.666666666666667</v>
      </c>
      <c r="EI93" s="12">
        <f t="array" ref="EI93">INDEX(EH:EH,MIN(IF(ISNUMBER(EH93:EH289),ROW(EH93:EH289),"")))</f>
        <v>4.666666666666667</v>
      </c>
      <c r="EJ93" s="12">
        <f>IF('Données projet'!$A$192&gt;35,EJ92+EI93-ER92,IF(A93&lt;'Données projet'!$A$192,$EG$205^A93,IF(A93='Données projet'!$A$192,'Données projet'!$B$192,EJ92+EI93-ER92)))</f>
        <v>183.99999999999991</v>
      </c>
      <c r="EK93" s="17">
        <f>EJ93*VLOOKUP('Données projet'!$B$15,Paramètres!$A$1:$I$89,3,0)*VLOOKUP('Données projet'!$B$15,Paramètres!$A$1:$I$89,5,0)</f>
        <v>177.96479999999991</v>
      </c>
      <c r="EL93" s="13">
        <f t="shared" si="99"/>
        <v>44.869092441133283</v>
      </c>
      <c r="EM93" s="20">
        <f t="shared" si="73"/>
        <v>388.10236266830702</v>
      </c>
      <c r="EN93" s="59">
        <f t="shared" si="74"/>
        <v>681.43569600164028</v>
      </c>
      <c r="EO93" s="59">
        <f ca="1">AVERAGE(OFFSET($EN$3,0,0,'Données projet'!$E$15+1,1))-AVERAGE(OFFSET($H$3,0,0,'Données projet'!$E$15+1,1))</f>
        <v>232.99870507181964</v>
      </c>
      <c r="EP93" s="59">
        <f t="shared" si="100"/>
        <v>140.07662669226278</v>
      </c>
      <c r="EQ93" s="15">
        <f>IF(ISNA(VLOOKUP(A93,'Données projet'!$A$191:$I$211,3,0)),0,VLOOKUP(A93,'Données projet'!$A$191:$I$211,3,0))</f>
        <v>7</v>
      </c>
      <c r="ER93" s="15">
        <f>IF(ISNA(VLOOKUP(A93,'Données projet'!$A$191:$I$211,4,0)),0,VLOOKUP(A93,'Données projet'!$A$191:$I$211,4,0))</f>
        <v>30</v>
      </c>
      <c r="ES93" s="16">
        <f>IF(ISNA(VLOOKUP(A93,'Données projet'!$A$191:$I$211,5,0)),0%,VLOOKUP(A93,'Données projet'!$A$191:$I$211,5,0)*VLOOKUP('Données projet'!$B$15,Paramètres!$A$1:$I$89,7,0))</f>
        <v>8.6000000000000007E-2</v>
      </c>
      <c r="ET93" s="16">
        <f>IF(ISNA(VLOOKUP(A93,'Données projet'!$A$191:$I$211,6,0)),0%,VLOOKUP(A93,'Données projet'!$A$191:$I$211,6,0)*VLOOKUP('Données projet'!$B$15,Paramètres!$A$1:$I$89,7,0))</f>
        <v>0.215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5.1437149870608891</v>
      </c>
      <c r="EW93" s="21">
        <f>EXP(-LN(2)/25)*EW92+(1-EXP(-LN(2)/25))/(LN(2)/25)*Calculateur!ER93*Calculateur!ET93*VLOOKUP('Données projet'!$B$15,Paramètres!$A$1:$I$89,3,0)*0.475*44/12</f>
        <v>25.019496765240152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30.163211752301041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5.6843418860808015E-14</v>
      </c>
      <c r="FF93" s="17">
        <f>FE93*VLOOKUP('Données projet'!$B$16,Paramètres!$A$1:$I$89,3,0)*VLOOKUP('Données projet'!$B$16,Paramètres!$A$1:$I$89,5,0)</f>
        <v>4.4337866711430253E-14</v>
      </c>
      <c r="FG93" s="13">
        <f t="shared" si="101"/>
        <v>7.3222115536967035E-13</v>
      </c>
      <c r="FH93" s="20">
        <f t="shared" si="76"/>
        <v>1.3525069634579169E-12</v>
      </c>
      <c r="FI93" s="59">
        <f t="shared" si="77"/>
        <v>293.33333333333468</v>
      </c>
      <c r="FJ93" s="59">
        <f ca="1">AVERAGE(OFFSET($FI$3,0,0,'Données projet'!$E$16+1,1))-AVERAGE(OFFSET($H$3,0,0,'Données projet'!$E$16+1,1))</f>
        <v>193.47609744163839</v>
      </c>
      <c r="FK93" s="59">
        <f t="shared" si="102"/>
        <v>170.3221892406973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51.455078744674836</v>
      </c>
      <c r="FR93" s="21">
        <f>EXP(-LN(2)/25)*FR92+(1-EXP(-LN(2)/25))/(LN(2)/25)*Calculateur!FM93*Calculateur!FO93*VLOOKUP('Données projet'!$B$16,Paramètres!$A$1:$I$89,3,0)*0.475*44/12</f>
        <v>15.22860689030275</v>
      </c>
      <c r="FS93" s="21">
        <f>EXP(-LN(2)/2)*FS92+(1-EXP(-LN(2)/2))/(LN(2)/2)*FM93*FP93*VLOOKUP('Données projet'!$B$16,Paramètres!$A$1:$I$89,3,0)*0.475*44/12</f>
        <v>0.62370085114141505</v>
      </c>
      <c r="FT93" s="22">
        <f t="shared" si="78"/>
        <v>67.307386486119015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>
        <f>FZ93*VLOOKUP('Données projet'!$B$17,Paramètres!$A$1:$I$89,3,0)*VLOOKUP('Données projet'!$B$17,Paramètres!$A$1:$I$89,5,0)</f>
        <v>0</v>
      </c>
      <c r="GB93" s="13" t="e">
        <f t="shared" si="103"/>
        <v>#NUM!</v>
      </c>
      <c r="GC93" s="20" t="e">
        <f t="shared" si="79"/>
        <v>#NUM!</v>
      </c>
      <c r="GD93" s="59" t="e">
        <f t="shared" si="80"/>
        <v>#NUM!</v>
      </c>
      <c r="GE93" s="59">
        <f ca="1">AVERAGE(OFFSET($GD$3,0,0,'Données projet'!$E$17+1,1))-AVERAGE(OFFSET($H$3,0,0,'Données projet'!$E$17+1,1))</f>
        <v>153.43773674911449</v>
      </c>
      <c r="GF93" s="59">
        <f t="shared" si="104"/>
        <v>235.49395036616602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67.637284429572517</v>
      </c>
      <c r="GM93" s="21">
        <f>EXP(-LN(2)/25)*GM92+(1-EXP(-LN(2)/25))/(LN(2)/25)*Calculateur!GH93*Calculateur!GJ93*VLOOKUP('Données projet'!$B$17,Paramètres!$A$1:$I$89,3,0)*0.475*44/12</f>
        <v>37.383515345343817</v>
      </c>
      <c r="GN93" s="21">
        <f>EXP(-LN(2)/2)*GN92+(1-EXP(-LN(2)/2))/(LN(2)/2)*GH93*GK93*VLOOKUP('Données projet'!$B$17,Paramètres!$A$1:$I$89,3,0)*0.475*44/12</f>
        <v>0</v>
      </c>
      <c r="GO93" s="21">
        <f t="shared" si="81"/>
        <v>105.02079977491633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5.6843418860808015E-14</v>
      </c>
      <c r="GV93" s="17">
        <f>GU93*VLOOKUP('Données projet'!$B$18,Paramètres!$A$1:$I$89,3,0)*VLOOKUP('Données projet'!$B$18,Paramètres!$A$1:$I$89,5,0)</f>
        <v>4.5224624045658861E-14</v>
      </c>
      <c r="GW93" s="13">
        <f t="shared" si="105"/>
        <v>7.4514601661523691E-13</v>
      </c>
      <c r="GX93" s="20">
        <f t="shared" si="82"/>
        <v>1.3765621991510601E-12</v>
      </c>
      <c r="GY93" s="59">
        <f t="shared" si="83"/>
        <v>293.33333333333468</v>
      </c>
      <c r="GZ93" s="59">
        <f ca="1">AVERAGE(OFFSET($GY$3,0,0,'Données projet'!$E$18+1,1))-AVERAGE(OFFSET($H$3,0,0,'Données projet'!$E$18+1,1))</f>
        <v>198.11534486400666</v>
      </c>
      <c r="HA93" s="59">
        <f t="shared" si="106"/>
        <v>174.29856796517652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>
        <f>EXP(-LN(2)/35)*HG92+(1-EXP(-LN(2)/35))/(LN(2)/35)*HC93*HD93*VLOOKUP('Données projet'!$B$18,Paramètres!$A$1:$I$89,3,0)*0.475*44/12</f>
        <v>64.689803649700508</v>
      </c>
      <c r="HH93" s="21">
        <f>EXP(-LN(2)/25)*HH92+(1-EXP(-LN(2)/25))/(LN(2)/25)*Calculateur!HC93*Calculateur!HE93*VLOOKUP('Données projet'!$B$18,Paramètres!$A$1:$I$89,3,0)*0.475*44/12</f>
        <v>19.145546243948068</v>
      </c>
      <c r="HI93" s="21">
        <f>EXP(-LN(2)/2)*HI92+(1-EXP(-LN(2)/2))/(LN(2)/2)*HC93*HF93*VLOOKUP('Données projet'!$B$18,Paramètres!$A$1:$I$89,3,0)*0.475*44/12</f>
        <v>0.63617486816424296</v>
      </c>
      <c r="HJ93" s="22">
        <f t="shared" si="84"/>
        <v>84.47152476181283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2.8</v>
      </c>
      <c r="N94" s="13">
        <f>IF('Données projet'!$A$36&gt;35,N93+M94-V93,IF(A94&lt;'Données projet'!$A$36,$K$205^A94,IF(A94='Données projet'!$A$36,'Données projet'!$B$36,N93+M94-V93)))</f>
        <v>464.8</v>
      </c>
      <c r="O94" s="13">
        <f>N94*VLOOKUP('Données projet'!$B$9,Paramètres!$A$1:$I$89,3,0)*VLOOKUP('Données projet'!$B$9,Paramètres!$A$1:$I$89,5,0)</f>
        <v>277.95040000000006</v>
      </c>
      <c r="P94" s="13">
        <f t="shared" si="87"/>
        <v>66.533684449689758</v>
      </c>
      <c r="Q94" s="20">
        <f t="shared" si="54"/>
        <v>599.97644708320979</v>
      </c>
      <c r="R94" s="59">
        <f t="shared" si="55"/>
        <v>893.30978041654316</v>
      </c>
      <c r="S94" s="59">
        <f ca="1">AVERAGE(OFFSET($R$3,0,0,'Données projet'!$E$9+1,1))-AVERAGE(OFFSET($H$3,0,0,'Données projet'!$E$9+1,1))</f>
        <v>295.19075440119076</v>
      </c>
      <c r="T94" s="59">
        <f t="shared" si="88"/>
        <v>173.0182327988216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13.504300152826872</v>
      </c>
      <c r="AA94" s="21">
        <f>EXP(-LN(2)/25)*AA93+(1-EXP(-LN(2)/25))/(LN(2)/25)*Calculateur!V94*Calculateur!X94*VLOOKUP('Données projet'!$B$9,Paramètres!$A$1:$I$89,3,0)*0.475*44/12</f>
        <v>17.166867088132147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30.671167240959019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294.45857786714919</v>
      </c>
      <c r="AO94" s="59">
        <f t="shared" si="90"/>
        <v>221.9773436301067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147.53044429057547</v>
      </c>
      <c r="AV94" s="21">
        <f>EXP(-LN(2)/25)*AV93+(1-EXP(-LN(2)/25))/(LN(2)/25)*Calculateur!AQ94*Calculateur!AS94*VLOOKUP('Données projet'!$B$10,Paramètres!$A$1:$I$89,3,0)*0.475*44/12</f>
        <v>74.11478226449961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221.64522655507508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179.44051550872138</v>
      </c>
      <c r="BJ94" s="59">
        <f t="shared" si="92"/>
        <v>272.9500808380069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75.783952613232643</v>
      </c>
      <c r="BQ94" s="21">
        <f>EXP(-LN(2)/25)*BQ93+(1-EXP(-LN(2)/25))/(LN(2)/25)*Calculateur!BL94*Calculateur!BN94*VLOOKUP('Données projet'!$B$11,Paramètres!$A$1:$I$89,3,0)*0.475*44/12</f>
        <v>41.555727031213465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117.33967964444611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18.5</v>
      </c>
      <c r="BY94" s="12">
        <f>IF('Données projet'!$A$114&gt;35,BY93+BX94-CG93,IF(A94&lt;'Données projet'!$A$114,$BV$205^A94,IF(A94='Données projet'!$A$114,'Données projet'!$B$114,BY93+BX94-CG93)))</f>
        <v>511.49999999999966</v>
      </c>
      <c r="BZ94" s="13">
        <f>BY94*VLOOKUP('Données projet'!$B$12,Paramètres!$A$1:$I$89,3,0)*VLOOKUP('Données projet'!$B$12,Paramètres!$A$1:$I$89,5,0)</f>
        <v>239.38199999999983</v>
      </c>
      <c r="CA94" s="13">
        <f t="shared" si="93"/>
        <v>58.306544825667132</v>
      </c>
      <c r="CB94" s="20">
        <f t="shared" si="64"/>
        <v>518.47421557137</v>
      </c>
      <c r="CC94" s="59">
        <f t="shared" si="65"/>
        <v>811.80754890470325</v>
      </c>
      <c r="CD94" s="59">
        <f ca="1">AVERAGE(OFFSET($CC$3,0,0,'Données projet'!$E$12+1,1))-AVERAGE(OFFSET($H$3,0,0,'Données projet'!$E$12+1,1))</f>
        <v>259.87681411271632</v>
      </c>
      <c r="CE94" s="59">
        <f t="shared" si="94"/>
        <v>191.8684235641158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68.500132816852457</v>
      </c>
      <c r="CL94" s="21">
        <f>EXP(-LN(2)/25)*CL93+(1-EXP(-LN(2)/25))/(LN(2)/25)*Calculateur!CG94*Calculateur!CI94*VLOOKUP('Données projet'!$B$12,Paramètres!$A$1:$I$89,3,0)*0.475*44/12</f>
        <v>52.020498962816809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120.52063177966926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5.6843418860808015E-14</v>
      </c>
      <c r="CU94" s="17">
        <f>CT94*VLOOKUP('Données projet'!$B$13,Paramètres!$A$1:$I$89,3,0)*VLOOKUP('Données projet'!$B$13,Paramètres!$A$1:$I$89,5,0)</f>
        <v>4.5224624045658861E-14</v>
      </c>
      <c r="CV94" s="13">
        <f t="shared" si="95"/>
        <v>7.4514601661523691E-13</v>
      </c>
      <c r="CW94" s="20">
        <f t="shared" si="67"/>
        <v>1.3765621991510601E-12</v>
      </c>
      <c r="CX94" s="59">
        <f t="shared" si="68"/>
        <v>293.33333333333468</v>
      </c>
      <c r="CY94" s="59">
        <f ca="1">AVERAGE(OFFSET($CX$3,0,0,'Données projet'!$E$13+1,1))-AVERAGE(OFFSET($H$3,0,0,'Données projet'!$E$13+1,1))</f>
        <v>198.11534486400666</v>
      </c>
      <c r="CZ94" s="59">
        <f t="shared" si="96"/>
        <v>174.29856796517652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63.421276057014062</v>
      </c>
      <c r="DG94" s="21">
        <f>EXP(-LN(2)/25)*DG93+(1-EXP(-LN(2)/25))/(LN(2)/25)*Calculateur!DB94*Calculateur!DD94*VLOOKUP('Données projet'!$B$13,Paramètres!$A$1:$I$89,3,0)*0.475*44/12</f>
        <v>18.62201027508679</v>
      </c>
      <c r="DH94" s="21">
        <f>EXP(-LN(2)/2)*DH93+(1-EXP(-LN(2)/2))/(LN(2)/2)*DB94*DE94*VLOOKUP('Données projet'!$B$13,Paramètres!$A$1:$I$89,3,0)*0.475*44/12</f>
        <v>0.44984356329939407</v>
      </c>
      <c r="DI94" s="22">
        <f t="shared" si="69"/>
        <v>82.493129895400244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4.75</v>
      </c>
      <c r="DO94" s="12">
        <f>IF('Données projet'!$A$166&gt;35,DO93+DN94-DW93,IF(A94&lt;'Données projet'!$A$166,$DL$205^A94,IF(A94='Données projet'!$A$166,'Données projet'!$B$166,DO93+DN94-DW93)))</f>
        <v>158.74999999999991</v>
      </c>
      <c r="DP94" s="17">
        <f>DO94*VLOOKUP('Données projet'!$B$14,Paramètres!$A$1:$I$89,3,0)*VLOOKUP('Données projet'!$B$14,Paramètres!$A$1:$I$89,5,0)</f>
        <v>160.97249999999991</v>
      </c>
      <c r="DQ94" s="13">
        <f t="shared" si="97"/>
        <v>41.061788076805293</v>
      </c>
      <c r="DR94" s="20">
        <f t="shared" si="70"/>
        <v>351.87638506710238</v>
      </c>
      <c r="DS94" s="59">
        <f t="shared" si="71"/>
        <v>645.20971840043569</v>
      </c>
      <c r="DT94" s="59">
        <f ca="1">AVERAGE(OFFSET($DS$3,0,0,'Données projet'!$E$14+1,1))-AVERAGE(OFFSET($H$3,0,0,'Données projet'!$E$14+1,1))</f>
        <v>247.92503505485405</v>
      </c>
      <c r="DU94" s="59">
        <f t="shared" si="98"/>
        <v>148.26437652597514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5.2868587383687675</v>
      </c>
      <c r="EB94" s="21">
        <f>EXP(-LN(2)/25)*EB93+(1-EXP(-LN(2)/25))/(LN(2)/25)*Calculateur!DW94*Calculateur!DY94*VLOOKUP('Données projet'!$B$14,Paramètres!$A$1:$I$89,3,0)*0.475*44/12</f>
        <v>25.512853631951184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30.799712370319952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4.75</v>
      </c>
      <c r="EJ94" s="12">
        <f>IF('Données projet'!$A$192&gt;35,EJ93+EI94-ER93,IF(A94&lt;'Données projet'!$A$192,$EG$205^A94,IF(A94='Données projet'!$A$192,'Données projet'!$B$192,EJ93+EI94-ER93)))</f>
        <v>158.74999999999991</v>
      </c>
      <c r="EK94" s="17">
        <f>EJ94*VLOOKUP('Données projet'!$B$15,Paramètres!$A$1:$I$89,3,0)*VLOOKUP('Données projet'!$B$15,Paramètres!$A$1:$I$89,5,0)</f>
        <v>153.54299999999992</v>
      </c>
      <c r="EL94" s="13">
        <f t="shared" si="99"/>
        <v>39.382647853660117</v>
      </c>
      <c r="EM94" s="20">
        <f t="shared" si="73"/>
        <v>336.01217001179123</v>
      </c>
      <c r="EN94" s="59">
        <f t="shared" si="74"/>
        <v>629.3455033451246</v>
      </c>
      <c r="EO94" s="59">
        <f ca="1">AVERAGE(OFFSET($EN$3,0,0,'Données projet'!$E$15+1,1))-AVERAGE(OFFSET($H$3,0,0,'Données projet'!$E$15+1,1))</f>
        <v>232.99870507181964</v>
      </c>
      <c r="EP94" s="59">
        <f t="shared" si="100"/>
        <v>140.07662669226278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5.0428498735209786</v>
      </c>
      <c r="EW94" s="21">
        <f>EXP(-LN(2)/25)*EW93+(1-EXP(-LN(2)/25))/(LN(2)/25)*Calculateur!ER94*Calculateur!ET94*VLOOKUP('Données projet'!$B$15,Paramètres!$A$1:$I$89,3,0)*0.475*44/12</f>
        <v>24.335337310476508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29.378187183997486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5.6843418860808015E-14</v>
      </c>
      <c r="FF94" s="17">
        <f>FE94*VLOOKUP('Données projet'!$B$16,Paramètres!$A$1:$I$89,3,0)*VLOOKUP('Données projet'!$B$16,Paramètres!$A$1:$I$89,5,0)</f>
        <v>4.4337866711430253E-14</v>
      </c>
      <c r="FG94" s="13">
        <f t="shared" si="101"/>
        <v>7.3222115536967035E-13</v>
      </c>
      <c r="FH94" s="20">
        <f t="shared" si="76"/>
        <v>1.3525069634579169E-12</v>
      </c>
      <c r="FI94" s="59">
        <f t="shared" si="77"/>
        <v>293.33333333333468</v>
      </c>
      <c r="FJ94" s="59">
        <f ca="1">AVERAGE(OFFSET($FI$3,0,0,'Données projet'!$E$16+1,1))-AVERAGE(OFFSET($H$3,0,0,'Données projet'!$E$16+1,1))</f>
        <v>193.47609744163839</v>
      </c>
      <c r="FK94" s="59">
        <f t="shared" si="102"/>
        <v>170.3221892406973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50.446076034990831</v>
      </c>
      <c r="FR94" s="21">
        <f>EXP(-LN(2)/25)*FR93+(1-EXP(-LN(2)/25))/(LN(2)/25)*Calculateur!FM94*Calculateur!FO94*VLOOKUP('Données projet'!$B$16,Paramètres!$A$1:$I$89,3,0)*0.475*44/12</f>
        <v>14.81217983404979</v>
      </c>
      <c r="FS94" s="21">
        <f>EXP(-LN(2)/2)*FS93+(1-EXP(-LN(2)/2))/(LN(2)/2)*FM94*FP94*VLOOKUP('Données projet'!$B$16,Paramètres!$A$1:$I$89,3,0)*0.475*44/12</f>
        <v>0.44102310127391603</v>
      </c>
      <c r="FT94" s="22">
        <f t="shared" si="78"/>
        <v>65.699278970314538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>
        <f>FZ94*VLOOKUP('Données projet'!$B$17,Paramètres!$A$1:$I$89,3,0)*VLOOKUP('Données projet'!$B$17,Paramètres!$A$1:$I$89,5,0)</f>
        <v>0</v>
      </c>
      <c r="GB94" s="13" t="e">
        <f t="shared" si="103"/>
        <v>#NUM!</v>
      </c>
      <c r="GC94" s="20" t="e">
        <f t="shared" si="79"/>
        <v>#NUM!</v>
      </c>
      <c r="GD94" s="59" t="e">
        <f t="shared" si="80"/>
        <v>#NUM!</v>
      </c>
      <c r="GE94" s="59">
        <f ca="1">AVERAGE(OFFSET($GD$3,0,0,'Données projet'!$E$17+1,1))-AVERAGE(OFFSET($H$3,0,0,'Données projet'!$E$17+1,1))</f>
        <v>153.43773674911449</v>
      </c>
      <c r="GF94" s="59">
        <f t="shared" si="104"/>
        <v>235.49395036616602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66.310958536578539</v>
      </c>
      <c r="GM94" s="21">
        <f>EXP(-LN(2)/25)*GM93+(1-EXP(-LN(2)/25))/(LN(2)/25)*Calculateur!GH94*Calculateur!GJ94*VLOOKUP('Données projet'!$B$17,Paramètres!$A$1:$I$89,3,0)*0.475*44/12</f>
        <v>36.361261152311762</v>
      </c>
      <c r="GN94" s="21">
        <f>EXP(-LN(2)/2)*GN93+(1-EXP(-LN(2)/2))/(LN(2)/2)*GH94*GK94*VLOOKUP('Données projet'!$B$17,Paramètres!$A$1:$I$89,3,0)*0.475*44/12</f>
        <v>0</v>
      </c>
      <c r="GO94" s="21">
        <f t="shared" si="81"/>
        <v>102.67221968889029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5.6843418860808015E-14</v>
      </c>
      <c r="GV94" s="17">
        <f>GU94*VLOOKUP('Données projet'!$B$18,Paramètres!$A$1:$I$89,3,0)*VLOOKUP('Données projet'!$B$18,Paramètres!$A$1:$I$89,5,0)</f>
        <v>4.5224624045658861E-14</v>
      </c>
      <c r="GW94" s="13">
        <f t="shared" si="105"/>
        <v>7.4514601661523691E-13</v>
      </c>
      <c r="GX94" s="20">
        <f t="shared" si="82"/>
        <v>1.3765621991510601E-12</v>
      </c>
      <c r="GY94" s="59">
        <f t="shared" si="83"/>
        <v>293.33333333333468</v>
      </c>
      <c r="GZ94" s="59">
        <f ca="1">AVERAGE(OFFSET($GY$3,0,0,'Données projet'!$E$18+1,1))-AVERAGE(OFFSET($H$3,0,0,'Données projet'!$E$18+1,1))</f>
        <v>198.11534486400666</v>
      </c>
      <c r="HA94" s="59">
        <f t="shared" si="106"/>
        <v>174.29856796517652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>
        <f>EXP(-LN(2)/35)*HG93+(1-EXP(-LN(2)/35))/(LN(2)/35)*HC94*HD94*VLOOKUP('Données projet'!$B$18,Paramètres!$A$1:$I$89,3,0)*0.475*44/12</f>
        <v>63.421276057014062</v>
      </c>
      <c r="HH94" s="21">
        <f>EXP(-LN(2)/25)*HH93+(1-EXP(-LN(2)/25))/(LN(2)/25)*Calculateur!HC94*Calculateur!HE94*VLOOKUP('Données projet'!$B$18,Paramètres!$A$1:$I$89,3,0)*0.475*44/12</f>
        <v>18.62201027508679</v>
      </c>
      <c r="HI94" s="21">
        <f>EXP(-LN(2)/2)*HI93+(1-EXP(-LN(2)/2))/(LN(2)/2)*HC94*HF94*VLOOKUP('Données projet'!$B$18,Paramètres!$A$1:$I$89,3,0)*0.475*44/12</f>
        <v>0.44984356329939407</v>
      </c>
      <c r="HJ94" s="22">
        <f t="shared" si="84"/>
        <v>82.493129895400244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2.8</v>
      </c>
      <c r="N95" s="13">
        <f>IF('Données projet'!$A$36&gt;35,N94+M95-V94,IF(A95&lt;'Données projet'!$A$36,$K$205^A95,IF(A95='Données projet'!$A$36,'Données projet'!$B$36,N94+M95-V94)))</f>
        <v>467.6</v>
      </c>
      <c r="O95" s="13">
        <f>N95*VLOOKUP('Données projet'!$B$9,Paramètres!$A$1:$I$89,3,0)*VLOOKUP('Données projet'!$B$9,Paramètres!$A$1:$I$89,5,0)</f>
        <v>279.62480000000005</v>
      </c>
      <c r="P95" s="13">
        <f t="shared" si="87"/>
        <v>66.887712148587724</v>
      </c>
      <c r="Q95" s="20">
        <f t="shared" si="54"/>
        <v>603.50929199212374</v>
      </c>
      <c r="R95" s="59">
        <f t="shared" si="55"/>
        <v>896.84262532545699</v>
      </c>
      <c r="S95" s="59">
        <f ca="1">AVERAGE(OFFSET($R$3,0,0,'Données projet'!$E$9+1,1))-AVERAGE(OFFSET($H$3,0,0,'Données projet'!$E$9+1,1))</f>
        <v>295.19075440119076</v>
      </c>
      <c r="T95" s="59">
        <f t="shared" si="88"/>
        <v>173.0182327988216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13.239489063639713</v>
      </c>
      <c r="AA95" s="21">
        <f>EXP(-LN(2)/25)*AA94+(1-EXP(-LN(2)/25))/(LN(2)/25)*Calculateur!V95*Calculateur!X95*VLOOKUP('Données projet'!$B$9,Paramètres!$A$1:$I$89,3,0)*0.475*44/12</f>
        <v>16.697438204840868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29.936927268480581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294.45857786714919</v>
      </c>
      <c r="AO95" s="59">
        <f t="shared" si="90"/>
        <v>221.9773436301067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144.63746226272306</v>
      </c>
      <c r="AV95" s="21">
        <f>EXP(-LN(2)/25)*AV94+(1-EXP(-LN(2)/25))/(LN(2)/25)*Calculateur!AQ95*Calculateur!AS95*VLOOKUP('Données projet'!$B$10,Paramètres!$A$1:$I$89,3,0)*0.475*44/12</f>
        <v>72.088109645949856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216.72557190867292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179.44051550872138</v>
      </c>
      <c r="BJ95" s="59">
        <f t="shared" si="92"/>
        <v>272.9500808380069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74.297875526134035</v>
      </c>
      <c r="BQ95" s="21">
        <f>EXP(-LN(2)/25)*BQ94+(1-EXP(-LN(2)/25))/(LN(2)/25)*Calculateur!BL95*Calculateur!BN95*VLOOKUP('Données projet'!$B$11,Paramètres!$A$1:$I$89,3,0)*0.475*44/12</f>
        <v>40.419383490224227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114.71725901635827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18.5</v>
      </c>
      <c r="BY95" s="12">
        <f>IF('Données projet'!$A$114&gt;35,BY94+BX95-CG94,IF(A95&lt;'Données projet'!$A$114,$BV$205^A95,IF(A95='Données projet'!$A$114,'Données projet'!$B$114,BY94+BX95-CG94)))</f>
        <v>529.99999999999966</v>
      </c>
      <c r="BZ95" s="13">
        <f>BY95*VLOOKUP('Données projet'!$B$12,Paramètres!$A$1:$I$89,3,0)*VLOOKUP('Données projet'!$B$12,Paramètres!$A$1:$I$89,5,0)</f>
        <v>248.03999999999985</v>
      </c>
      <c r="CA95" s="13">
        <f t="shared" si="93"/>
        <v>60.166044284441391</v>
      </c>
      <c r="CB95" s="20">
        <f t="shared" si="64"/>
        <v>536.79219379540177</v>
      </c>
      <c r="CC95" s="59">
        <f t="shared" si="65"/>
        <v>830.12552712873503</v>
      </c>
      <c r="CD95" s="59">
        <f ca="1">AVERAGE(OFFSET($CC$3,0,0,'Données projet'!$E$12+1,1))-AVERAGE(OFFSET($H$3,0,0,'Données projet'!$E$12+1,1))</f>
        <v>259.87681411271632</v>
      </c>
      <c r="CE95" s="59">
        <f t="shared" si="94"/>
        <v>191.8684235641158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67.156886993269467</v>
      </c>
      <c r="CL95" s="21">
        <f>EXP(-LN(2)/25)*CL94+(1-EXP(-LN(2)/25))/(LN(2)/25)*Calculateur!CG95*Calculateur!CI95*VLOOKUP('Données projet'!$B$12,Paramètres!$A$1:$I$89,3,0)*0.475*44/12</f>
        <v>50.597995683039436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117.75488267630891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5.6843418860808015E-14</v>
      </c>
      <c r="CU95" s="17">
        <f>CT95*VLOOKUP('Données projet'!$B$13,Paramètres!$A$1:$I$89,3,0)*VLOOKUP('Données projet'!$B$13,Paramètres!$A$1:$I$89,5,0)</f>
        <v>4.5224624045658861E-14</v>
      </c>
      <c r="CV95" s="13">
        <f t="shared" si="95"/>
        <v>7.4514601661523691E-13</v>
      </c>
      <c r="CW95" s="20">
        <f t="shared" si="67"/>
        <v>1.3765621991510601E-12</v>
      </c>
      <c r="CX95" s="59">
        <f t="shared" si="68"/>
        <v>293.33333333333468</v>
      </c>
      <c r="CY95" s="59">
        <f ca="1">AVERAGE(OFFSET($CX$3,0,0,'Données projet'!$E$13+1,1))-AVERAGE(OFFSET($H$3,0,0,'Données projet'!$E$13+1,1))</f>
        <v>198.11534486400666</v>
      </c>
      <c r="CZ95" s="59">
        <f t="shared" si="96"/>
        <v>174.29856796517652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62.177623516694766</v>
      </c>
      <c r="DG95" s="21">
        <f>EXP(-LN(2)/25)*DG94+(1-EXP(-LN(2)/25))/(LN(2)/25)*Calculateur!DB95*Calculateur!DD95*VLOOKUP('Données projet'!$B$13,Paramètres!$A$1:$I$89,3,0)*0.475*44/12</f>
        <v>18.112790424825583</v>
      </c>
      <c r="DH95" s="21">
        <f>EXP(-LN(2)/2)*DH94+(1-EXP(-LN(2)/2))/(LN(2)/2)*DB95*DE95*VLOOKUP('Données projet'!$B$13,Paramètres!$A$1:$I$89,3,0)*0.475*44/12</f>
        <v>0.31808743408212148</v>
      </c>
      <c r="DI95" s="22">
        <f t="shared" si="69"/>
        <v>80.608501375602458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4.75</v>
      </c>
      <c r="DO95" s="12">
        <f>IF('Données projet'!$A$166&gt;35,DO94+DN95-DW94,IF(A95&lt;'Données projet'!$A$166,$DL$205^A95,IF(A95='Données projet'!$A$166,'Données projet'!$B$166,DO94+DN95-DW94)))</f>
        <v>163.49999999999991</v>
      </c>
      <c r="DP95" s="17">
        <f>DO95*VLOOKUP('Données projet'!$B$14,Paramètres!$A$1:$I$89,3,0)*VLOOKUP('Données projet'!$B$14,Paramètres!$A$1:$I$89,5,0)</f>
        <v>165.78899999999993</v>
      </c>
      <c r="DQ95" s="13">
        <f t="shared" si="97"/>
        <v>42.14552731394938</v>
      </c>
      <c r="DR95" s="20">
        <f t="shared" si="70"/>
        <v>362.15263507179503</v>
      </c>
      <c r="DS95" s="59">
        <f t="shared" si="71"/>
        <v>655.48596840512835</v>
      </c>
      <c r="DT95" s="59">
        <f ca="1">AVERAGE(OFFSET($DS$3,0,0,'Données projet'!$E$14+1,1))-AVERAGE(OFFSET($H$3,0,0,'Données projet'!$E$14+1,1))</f>
        <v>247.92503505485405</v>
      </c>
      <c r="DU95" s="59">
        <f t="shared" si="98"/>
        <v>148.26437652597514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5.1831866631747774</v>
      </c>
      <c r="EB95" s="21">
        <f>EXP(-LN(2)/25)*EB94+(1-EXP(-LN(2)/25))/(LN(2)/25)*Calculateur!DW95*Calculateur!DY95*VLOOKUP('Données projet'!$B$14,Paramètres!$A$1:$I$89,3,0)*0.475*44/12</f>
        <v>24.815203307722818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29.998389970897595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4.75</v>
      </c>
      <c r="EJ95" s="12">
        <f>IF('Données projet'!$A$192&gt;35,EJ94+EI95-ER94,IF(A95&lt;'Données projet'!$A$192,$EG$205^A95,IF(A95='Données projet'!$A$192,'Données projet'!$B$192,EJ94+EI95-ER94)))</f>
        <v>163.49999999999991</v>
      </c>
      <c r="EK95" s="17">
        <f>EJ95*VLOOKUP('Données projet'!$B$15,Paramètres!$A$1:$I$89,3,0)*VLOOKUP('Données projet'!$B$15,Paramètres!$A$1:$I$89,5,0)</f>
        <v>158.13719999999992</v>
      </c>
      <c r="EL95" s="13">
        <f t="shared" si="99"/>
        <v>40.422069728367696</v>
      </c>
      <c r="EM95" s="20">
        <f t="shared" si="73"/>
        <v>345.82406144357356</v>
      </c>
      <c r="EN95" s="59">
        <f t="shared" si="74"/>
        <v>639.15739477690681</v>
      </c>
      <c r="EO95" s="59">
        <f ca="1">AVERAGE(OFFSET($EN$3,0,0,'Données projet'!$E$15+1,1))-AVERAGE(OFFSET($H$3,0,0,'Données projet'!$E$15+1,1))</f>
        <v>232.99870507181964</v>
      </c>
      <c r="EP95" s="59">
        <f t="shared" si="100"/>
        <v>140.07662669226278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4.9439626633359417</v>
      </c>
      <c r="EW95" s="21">
        <f>EXP(-LN(2)/25)*EW94+(1-EXP(-LN(2)/25))/(LN(2)/25)*Calculateur!ER95*Calculateur!ET95*VLOOKUP('Données projet'!$B$15,Paramètres!$A$1:$I$89,3,0)*0.475*44/12</f>
        <v>23.669886231981756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28.613848895317698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5.6843418860808015E-14</v>
      </c>
      <c r="FF95" s="17">
        <f>FE95*VLOOKUP('Données projet'!$B$16,Paramètres!$A$1:$I$89,3,0)*VLOOKUP('Données projet'!$B$16,Paramètres!$A$1:$I$89,5,0)</f>
        <v>4.4337866711430253E-14</v>
      </c>
      <c r="FG95" s="13">
        <f t="shared" si="101"/>
        <v>7.3222115536967035E-13</v>
      </c>
      <c r="FH95" s="20">
        <f t="shared" si="76"/>
        <v>1.3525069634579169E-12</v>
      </c>
      <c r="FI95" s="59">
        <f t="shared" si="77"/>
        <v>293.33333333333468</v>
      </c>
      <c r="FJ95" s="59">
        <f ca="1">AVERAGE(OFFSET($FI$3,0,0,'Données projet'!$E$16+1,1))-AVERAGE(OFFSET($H$3,0,0,'Données projet'!$E$16+1,1))</f>
        <v>193.47609744163839</v>
      </c>
      <c r="FK95" s="59">
        <f t="shared" si="102"/>
        <v>170.3221892406973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49.456859253012851</v>
      </c>
      <c r="FR95" s="21">
        <f>EXP(-LN(2)/25)*FR94+(1-EXP(-LN(2)/25))/(LN(2)/25)*Calculateur!FM95*Calculateur!FO95*VLOOKUP('Données projet'!$B$16,Paramètres!$A$1:$I$89,3,0)*0.475*44/12</f>
        <v>14.407139997549015</v>
      </c>
      <c r="FS95" s="21">
        <f>EXP(-LN(2)/2)*FS94+(1-EXP(-LN(2)/2))/(LN(2)/2)*FM95*FP95*VLOOKUP('Données projet'!$B$16,Paramètres!$A$1:$I$89,3,0)*0.475*44/12</f>
        <v>0.31185042557070758</v>
      </c>
      <c r="FT95" s="22">
        <f t="shared" si="78"/>
        <v>64.175849676132572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>
        <f>FZ95*VLOOKUP('Données projet'!$B$17,Paramètres!$A$1:$I$89,3,0)*VLOOKUP('Données projet'!$B$17,Paramètres!$A$1:$I$89,5,0)</f>
        <v>0</v>
      </c>
      <c r="GB95" s="13" t="e">
        <f t="shared" si="103"/>
        <v>#NUM!</v>
      </c>
      <c r="GC95" s="20" t="e">
        <f t="shared" si="79"/>
        <v>#NUM!</v>
      </c>
      <c r="GD95" s="59" t="e">
        <f t="shared" si="80"/>
        <v>#NUM!</v>
      </c>
      <c r="GE95" s="59">
        <f ca="1">AVERAGE(OFFSET($GD$3,0,0,'Données projet'!$E$17+1,1))-AVERAGE(OFFSET($H$3,0,0,'Données projet'!$E$17+1,1))</f>
        <v>153.43773674911449</v>
      </c>
      <c r="GF95" s="59">
        <f t="shared" si="104"/>
        <v>235.49395036616602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65.010641085367254</v>
      </c>
      <c r="GM95" s="21">
        <f>EXP(-LN(2)/25)*GM94+(1-EXP(-LN(2)/25))/(LN(2)/25)*Calculateur!GH95*Calculateur!GJ95*VLOOKUP('Données projet'!$B$17,Paramètres!$A$1:$I$89,3,0)*0.475*44/12</f>
        <v>35.366960553946178</v>
      </c>
      <c r="GN95" s="21">
        <f>EXP(-LN(2)/2)*GN94+(1-EXP(-LN(2)/2))/(LN(2)/2)*GH95*GK95*VLOOKUP('Données projet'!$B$17,Paramètres!$A$1:$I$89,3,0)*0.475*44/12</f>
        <v>0</v>
      </c>
      <c r="GO95" s="21">
        <f t="shared" si="81"/>
        <v>100.37760163931344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5.6843418860808015E-14</v>
      </c>
      <c r="GV95" s="17">
        <f>GU95*VLOOKUP('Données projet'!$B$18,Paramètres!$A$1:$I$89,3,0)*VLOOKUP('Données projet'!$B$18,Paramètres!$A$1:$I$89,5,0)</f>
        <v>4.5224624045658861E-14</v>
      </c>
      <c r="GW95" s="13">
        <f t="shared" si="105"/>
        <v>7.4514601661523691E-13</v>
      </c>
      <c r="GX95" s="20">
        <f t="shared" si="82"/>
        <v>1.3765621991510601E-12</v>
      </c>
      <c r="GY95" s="59">
        <f t="shared" si="83"/>
        <v>293.33333333333468</v>
      </c>
      <c r="GZ95" s="59">
        <f ca="1">AVERAGE(OFFSET($GY$3,0,0,'Données projet'!$E$18+1,1))-AVERAGE(OFFSET($H$3,0,0,'Données projet'!$E$18+1,1))</f>
        <v>198.11534486400666</v>
      </c>
      <c r="HA95" s="59">
        <f t="shared" si="106"/>
        <v>174.29856796517652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>
        <f>EXP(-LN(2)/35)*HG94+(1-EXP(-LN(2)/35))/(LN(2)/35)*HC95*HD95*VLOOKUP('Données projet'!$B$18,Paramètres!$A$1:$I$89,3,0)*0.475*44/12</f>
        <v>62.177623516694766</v>
      </c>
      <c r="HH95" s="21">
        <f>EXP(-LN(2)/25)*HH94+(1-EXP(-LN(2)/25))/(LN(2)/25)*Calculateur!HC95*Calculateur!HE95*VLOOKUP('Données projet'!$B$18,Paramètres!$A$1:$I$89,3,0)*0.475*44/12</f>
        <v>18.112790424825583</v>
      </c>
      <c r="HI95" s="21">
        <f>EXP(-LN(2)/2)*HI94+(1-EXP(-LN(2)/2))/(LN(2)/2)*HC95*HF95*VLOOKUP('Données projet'!$B$18,Paramètres!$A$1:$I$89,3,0)*0.475*44/12</f>
        <v>0.31808743408212148</v>
      </c>
      <c r="HJ95" s="22">
        <f t="shared" si="84"/>
        <v>80.608501375602458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2.8</v>
      </c>
      <c r="N96" s="13">
        <f>IF('Données projet'!$A$36&gt;35,N95+M96-V95,IF(A96&lt;'Données projet'!$A$36,$K$205^A96,IF(A96='Données projet'!$A$36,'Données projet'!$B$36,N95+M96-V95)))</f>
        <v>470.40000000000003</v>
      </c>
      <c r="O96" s="13">
        <f>N96*VLOOKUP('Données projet'!$B$9,Paramètres!$A$1:$I$89,3,0)*VLOOKUP('Données projet'!$B$9,Paramètres!$A$1:$I$89,5,0)</f>
        <v>281.29920000000004</v>
      </c>
      <c r="P96" s="13">
        <f t="shared" si="87"/>
        <v>67.241493172476652</v>
      </c>
      <c r="Q96" s="20">
        <f t="shared" si="54"/>
        <v>607.04170727539702</v>
      </c>
      <c r="R96" s="59">
        <f t="shared" si="55"/>
        <v>900.37504060873039</v>
      </c>
      <c r="S96" s="59">
        <f ca="1">AVERAGE(OFFSET($R$3,0,0,'Données projet'!$E$9+1,1))-AVERAGE(OFFSET($H$3,0,0,'Données projet'!$E$9+1,1))</f>
        <v>295.19075440119076</v>
      </c>
      <c r="T96" s="59">
        <f t="shared" si="88"/>
        <v>173.0182327988216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12.979870758392698</v>
      </c>
      <c r="AA96" s="21">
        <f>EXP(-LN(2)/25)*AA95+(1-EXP(-LN(2)/25))/(LN(2)/25)*Calculateur!V96*Calculateur!X96*VLOOKUP('Données projet'!$B$9,Paramètres!$A$1:$I$89,3,0)*0.475*44/12</f>
        <v>16.240845879049381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29.220716637442081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294.45857786714919</v>
      </c>
      <c r="AO96" s="59">
        <f t="shared" si="90"/>
        <v>221.9773436301067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141.80120984789204</v>
      </c>
      <c r="AV96" s="21">
        <f>EXP(-LN(2)/25)*AV95+(1-EXP(-LN(2)/25))/(LN(2)/25)*Calculateur!AQ96*Calculateur!AS96*VLOOKUP('Données projet'!$B$10,Paramètres!$A$1:$I$89,3,0)*0.475*44/12</f>
        <v>70.116856496732424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211.91806634462446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179.44051550872138</v>
      </c>
      <c r="BJ96" s="59">
        <f t="shared" si="92"/>
        <v>272.9500808380069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72.840939504295918</v>
      </c>
      <c r="BQ96" s="21">
        <f>EXP(-LN(2)/25)*BQ95+(1-EXP(-LN(2)/25))/(LN(2)/25)*Calculateur!BL96*Calculateur!BN96*VLOOKUP('Données projet'!$B$11,Paramètres!$A$1:$I$89,3,0)*0.475*44/12</f>
        <v>39.314113323121049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112.15505282741697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18.5</v>
      </c>
      <c r="BY96" s="12">
        <f>IF('Données projet'!$A$114&gt;35,BY95+BX96-CG95,IF(A96&lt;'Données projet'!$A$114,$BV$205^A96,IF(A96='Données projet'!$A$114,'Données projet'!$B$114,BY95+BX96-CG95)))</f>
        <v>548.49999999999966</v>
      </c>
      <c r="BZ96" s="13">
        <f>BY96*VLOOKUP('Données projet'!$B$12,Paramètres!$A$1:$I$89,3,0)*VLOOKUP('Données projet'!$B$12,Paramètres!$A$1:$I$89,5,0)</f>
        <v>256.69799999999981</v>
      </c>
      <c r="CA96" s="13">
        <f t="shared" si="93"/>
        <v>62.018002271741132</v>
      </c>
      <c r="CB96" s="20">
        <f t="shared" si="64"/>
        <v>555.09703728994884</v>
      </c>
      <c r="CC96" s="59">
        <f t="shared" si="65"/>
        <v>848.43037062328222</v>
      </c>
      <c r="CD96" s="59">
        <f ca="1">AVERAGE(OFFSET($CC$3,0,0,'Données projet'!$E$12+1,1))-AVERAGE(OFFSET($H$3,0,0,'Données projet'!$E$12+1,1))</f>
        <v>259.87681411271632</v>
      </c>
      <c r="CE96" s="59">
        <f t="shared" si="94"/>
        <v>191.8684235641158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65.839981400987895</v>
      </c>
      <c r="CL96" s="21">
        <f>EXP(-LN(2)/25)*CL95+(1-EXP(-LN(2)/25))/(LN(2)/25)*Calculateur!CG96*Calculateur!CI96*VLOOKUP('Données projet'!$B$12,Paramètres!$A$1:$I$89,3,0)*0.475*44/12</f>
        <v>49.21439083025377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115.05437223124167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5.6843418860808015E-14</v>
      </c>
      <c r="CU96" s="17">
        <f>CT96*VLOOKUP('Données projet'!$B$13,Paramètres!$A$1:$I$89,3,0)*VLOOKUP('Données projet'!$B$13,Paramètres!$A$1:$I$89,5,0)</f>
        <v>4.5224624045658861E-14</v>
      </c>
      <c r="CV96" s="13">
        <f t="shared" si="95"/>
        <v>7.4514601661523691E-13</v>
      </c>
      <c r="CW96" s="20">
        <f t="shared" si="67"/>
        <v>1.3765621991510601E-12</v>
      </c>
      <c r="CX96" s="59">
        <f t="shared" si="68"/>
        <v>293.33333333333468</v>
      </c>
      <c r="CY96" s="59">
        <f ca="1">AVERAGE(OFFSET($CX$3,0,0,'Données projet'!$E$13+1,1))-AVERAGE(OFFSET($H$3,0,0,'Données projet'!$E$13+1,1))</f>
        <v>198.11534486400666</v>
      </c>
      <c r="CZ96" s="59">
        <f t="shared" si="96"/>
        <v>174.29856796517652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60.958358244137983</v>
      </c>
      <c r="DG96" s="21">
        <f>EXP(-LN(2)/25)*DG95+(1-EXP(-LN(2)/25))/(LN(2)/25)*Calculateur!DB96*Calculateur!DD96*VLOOKUP('Données projet'!$B$13,Paramètres!$A$1:$I$89,3,0)*0.475*44/12</f>
        <v>17.617495218148477</v>
      </c>
      <c r="DH96" s="21">
        <f>EXP(-LN(2)/2)*DH95+(1-EXP(-LN(2)/2))/(LN(2)/2)*DB96*DE96*VLOOKUP('Données projet'!$B$13,Paramètres!$A$1:$I$89,3,0)*0.475*44/12</f>
        <v>0.22492178164969703</v>
      </c>
      <c r="DI96" s="22">
        <f t="shared" si="69"/>
        <v>78.800775243936158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4.75</v>
      </c>
      <c r="DO96" s="12">
        <f>IF('Données projet'!$A$166&gt;35,DO95+DN96-DW95,IF(A96&lt;'Données projet'!$A$166,$DL$205^A96,IF(A96='Données projet'!$A$166,'Données projet'!$B$166,DO95+DN96-DW95)))</f>
        <v>168.24999999999991</v>
      </c>
      <c r="DP96" s="17">
        <f>DO96*VLOOKUP('Données projet'!$B$14,Paramètres!$A$1:$I$89,3,0)*VLOOKUP('Données projet'!$B$14,Paramètres!$A$1:$I$89,5,0)</f>
        <v>170.60549999999992</v>
      </c>
      <c r="DQ96" s="13">
        <f t="shared" si="97"/>
        <v>43.225607368533112</v>
      </c>
      <c r="DR96" s="20">
        <f t="shared" si="70"/>
        <v>372.42251200019501</v>
      </c>
      <c r="DS96" s="59">
        <f t="shared" si="71"/>
        <v>665.75584533352833</v>
      </c>
      <c r="DT96" s="59">
        <f ca="1">AVERAGE(OFFSET($DS$3,0,0,'Données projet'!$E$14+1,1))-AVERAGE(OFFSET($H$3,0,0,'Données projet'!$E$14+1,1))</f>
        <v>247.92503505485405</v>
      </c>
      <c r="DU96" s="59">
        <f t="shared" si="98"/>
        <v>148.26437652597514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5.0815475341416194</v>
      </c>
      <c r="EB96" s="21">
        <f>EXP(-LN(2)/25)*EB95+(1-EXP(-LN(2)/25))/(LN(2)/25)*Calculateur!DW96*Calculateur!DY96*VLOOKUP('Données projet'!$B$14,Paramètres!$A$1:$I$89,3,0)*0.475*44/12</f>
        <v>24.136630268298312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29.218177802439932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4.75</v>
      </c>
      <c r="EJ96" s="12">
        <f>IF('Données projet'!$A$192&gt;35,EJ95+EI96-ER95,IF(A96&lt;'Données projet'!$A$192,$EG$205^A96,IF(A96='Données projet'!$A$192,'Données projet'!$B$192,EJ95+EI96-ER95)))</f>
        <v>168.24999999999991</v>
      </c>
      <c r="EK96" s="17">
        <f>EJ96*VLOOKUP('Données projet'!$B$15,Paramètres!$A$1:$I$89,3,0)*VLOOKUP('Données projet'!$B$15,Paramètres!$A$1:$I$89,5,0)</f>
        <v>162.73139999999992</v>
      </c>
      <c r="EL96" s="13">
        <f t="shared" si="99"/>
        <v>41.457982055514073</v>
      </c>
      <c r="EM96" s="20">
        <f t="shared" si="73"/>
        <v>355.62984041335352</v>
      </c>
      <c r="EN96" s="59">
        <f t="shared" si="74"/>
        <v>648.96317374668683</v>
      </c>
      <c r="EO96" s="59">
        <f ca="1">AVERAGE(OFFSET($EN$3,0,0,'Données projet'!$E$15+1,1))-AVERAGE(OFFSET($H$3,0,0,'Données projet'!$E$15+1,1))</f>
        <v>232.99870507181964</v>
      </c>
      <c r="EP96" s="59">
        <f t="shared" si="100"/>
        <v>140.07662669226278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4.8470145710273904</v>
      </c>
      <c r="EW96" s="21">
        <f>EXP(-LN(2)/25)*EW95+(1-EXP(-LN(2)/25))/(LN(2)/25)*Calculateur!ER96*Calculateur!ET96*VLOOKUP('Données projet'!$B$15,Paramètres!$A$1:$I$89,3,0)*0.475*44/12</f>
        <v>23.022631948222998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27.869646519250388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5.6843418860808015E-14</v>
      </c>
      <c r="FF96" s="17">
        <f>FE96*VLOOKUP('Données projet'!$B$16,Paramètres!$A$1:$I$89,3,0)*VLOOKUP('Données projet'!$B$16,Paramètres!$A$1:$I$89,5,0)</f>
        <v>4.4337866711430253E-14</v>
      </c>
      <c r="FG96" s="13">
        <f t="shared" si="101"/>
        <v>7.3222115536967035E-13</v>
      </c>
      <c r="FH96" s="20">
        <f t="shared" si="76"/>
        <v>1.3525069634579169E-12</v>
      </c>
      <c r="FI96" s="59">
        <f t="shared" si="77"/>
        <v>293.33333333333468</v>
      </c>
      <c r="FJ96" s="59">
        <f ca="1">AVERAGE(OFFSET($FI$3,0,0,'Données projet'!$E$16+1,1))-AVERAGE(OFFSET($H$3,0,0,'Données projet'!$E$16+1,1))</f>
        <v>193.47609744163839</v>
      </c>
      <c r="FK96" s="59">
        <f t="shared" si="102"/>
        <v>170.3221892406973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48.487040408766795</v>
      </c>
      <c r="FR96" s="21">
        <f>EXP(-LN(2)/25)*FR95+(1-EXP(-LN(2)/25))/(LN(2)/25)*Calculateur!FM96*Calculateur!FO96*VLOOKUP('Données projet'!$B$16,Paramètres!$A$1:$I$89,3,0)*0.475*44/12</f>
        <v>14.013175996677473</v>
      </c>
      <c r="FS96" s="21">
        <f>EXP(-LN(2)/2)*FS95+(1-EXP(-LN(2)/2))/(LN(2)/2)*FM96*FP96*VLOOKUP('Données projet'!$B$16,Paramètres!$A$1:$I$89,3,0)*0.475*44/12</f>
        <v>0.22051155063695807</v>
      </c>
      <c r="FT96" s="22">
        <f t="shared" si="78"/>
        <v>62.720727956081227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>
        <f>FZ96*VLOOKUP('Données projet'!$B$17,Paramètres!$A$1:$I$89,3,0)*VLOOKUP('Données projet'!$B$17,Paramètres!$A$1:$I$89,5,0)</f>
        <v>0</v>
      </c>
      <c r="GB96" s="13" t="e">
        <f t="shared" si="103"/>
        <v>#NUM!</v>
      </c>
      <c r="GC96" s="20" t="e">
        <f t="shared" si="79"/>
        <v>#NUM!</v>
      </c>
      <c r="GD96" s="59" t="e">
        <f t="shared" si="80"/>
        <v>#NUM!</v>
      </c>
      <c r="GE96" s="59">
        <f ca="1">AVERAGE(OFFSET($GD$3,0,0,'Données projet'!$E$17+1,1))-AVERAGE(OFFSET($H$3,0,0,'Données projet'!$E$17+1,1))</f>
        <v>153.43773674911449</v>
      </c>
      <c r="GF96" s="59">
        <f t="shared" si="104"/>
        <v>235.49395036616602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63.735822066258898</v>
      </c>
      <c r="GM96" s="21">
        <f>EXP(-LN(2)/25)*GM95+(1-EXP(-LN(2)/25))/(LN(2)/25)*Calculateur!GH96*Calculateur!GJ96*VLOOKUP('Données projet'!$B$17,Paramètres!$A$1:$I$89,3,0)*0.475*44/12</f>
        <v>34.399849157730898</v>
      </c>
      <c r="GN96" s="21">
        <f>EXP(-LN(2)/2)*GN95+(1-EXP(-LN(2)/2))/(LN(2)/2)*GH96*GK96*VLOOKUP('Données projet'!$B$17,Paramètres!$A$1:$I$89,3,0)*0.475*44/12</f>
        <v>0</v>
      </c>
      <c r="GO96" s="21">
        <f t="shared" si="81"/>
        <v>98.135671223989789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5.6843418860808015E-14</v>
      </c>
      <c r="GV96" s="17">
        <f>GU96*VLOOKUP('Données projet'!$B$18,Paramètres!$A$1:$I$89,3,0)*VLOOKUP('Données projet'!$B$18,Paramètres!$A$1:$I$89,5,0)</f>
        <v>4.5224624045658861E-14</v>
      </c>
      <c r="GW96" s="13">
        <f t="shared" si="105"/>
        <v>7.4514601661523691E-13</v>
      </c>
      <c r="GX96" s="20">
        <f t="shared" si="82"/>
        <v>1.3765621991510601E-12</v>
      </c>
      <c r="GY96" s="59">
        <f t="shared" si="83"/>
        <v>293.33333333333468</v>
      </c>
      <c r="GZ96" s="59">
        <f ca="1">AVERAGE(OFFSET($GY$3,0,0,'Données projet'!$E$18+1,1))-AVERAGE(OFFSET($H$3,0,0,'Données projet'!$E$18+1,1))</f>
        <v>198.11534486400666</v>
      </c>
      <c r="HA96" s="59">
        <f t="shared" si="106"/>
        <v>174.29856796517652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>
        <f>EXP(-LN(2)/35)*HG95+(1-EXP(-LN(2)/35))/(LN(2)/35)*HC96*HD96*VLOOKUP('Données projet'!$B$18,Paramètres!$A$1:$I$89,3,0)*0.475*44/12</f>
        <v>60.958358244137983</v>
      </c>
      <c r="HH96" s="21">
        <f>EXP(-LN(2)/25)*HH95+(1-EXP(-LN(2)/25))/(LN(2)/25)*Calculateur!HC96*Calculateur!HE96*VLOOKUP('Données projet'!$B$18,Paramètres!$A$1:$I$89,3,0)*0.475*44/12</f>
        <v>17.617495218148477</v>
      </c>
      <c r="HI96" s="21">
        <f>EXP(-LN(2)/2)*HI95+(1-EXP(-LN(2)/2))/(LN(2)/2)*HC96*HF96*VLOOKUP('Données projet'!$B$18,Paramètres!$A$1:$I$89,3,0)*0.475*44/12</f>
        <v>0.22492178164969703</v>
      </c>
      <c r="HJ96" s="22">
        <f t="shared" si="84"/>
        <v>78.800775243936158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2.8</v>
      </c>
      <c r="N97" s="13">
        <f>IF('Données projet'!$A$36&gt;35,N96+M97-V96,IF(A97&lt;'Données projet'!$A$36,$K$205^A97,IF(A97='Données projet'!$A$36,'Données projet'!$B$36,N96+M97-V96)))</f>
        <v>473.20000000000005</v>
      </c>
      <c r="O97" s="13">
        <f>N97*VLOOKUP('Données projet'!$B$9,Paramètres!$A$1:$I$89,3,0)*VLOOKUP('Données projet'!$B$9,Paramètres!$A$1:$I$89,5,0)</f>
        <v>282.97360000000003</v>
      </c>
      <c r="P97" s="13">
        <f t="shared" si="87"/>
        <v>67.595029160022406</v>
      </c>
      <c r="Q97" s="20">
        <f t="shared" si="54"/>
        <v>610.57369578703913</v>
      </c>
      <c r="R97" s="59">
        <f t="shared" si="55"/>
        <v>903.9070291203725</v>
      </c>
      <c r="S97" s="59">
        <f ca="1">AVERAGE(OFFSET($R$3,0,0,'Données projet'!$E$9+1,1))-AVERAGE(OFFSET($H$3,0,0,'Données projet'!$E$9+1,1))</f>
        <v>295.19075440119076</v>
      </c>
      <c r="T97" s="59">
        <f t="shared" si="88"/>
        <v>173.0182327988216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12.725343409760047</v>
      </c>
      <c r="AA97" s="21">
        <f>EXP(-LN(2)/25)*AA96+(1-EXP(-LN(2)/25))/(LN(2)/25)*Calculateur!V97*Calculateur!X97*VLOOKUP('Données projet'!$B$9,Paramètres!$A$1:$I$89,3,0)*0.475*44/12</f>
        <v>15.796739094417809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28.522082504177856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294.45857786714919</v>
      </c>
      <c r="AO97" s="59">
        <f t="shared" si="90"/>
        <v>221.9773436301067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139.02057461297269</v>
      </c>
      <c r="AV97" s="21">
        <f>EXP(-LN(2)/25)*AV96+(1-EXP(-LN(2)/25))/(LN(2)/25)*Calculateur!AQ97*Calculateur!AS97*VLOOKUP('Données projet'!$B$10,Paramètres!$A$1:$I$89,3,0)*0.475*44/12</f>
        <v>68.199507368544047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207.22008198151673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179.44051550872138</v>
      </c>
      <c r="BJ97" s="59">
        <f t="shared" si="92"/>
        <v>272.9500808380069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71.41257310920281</v>
      </c>
      <c r="BQ97" s="21">
        <f>EXP(-LN(2)/25)*BQ96+(1-EXP(-LN(2)/25))/(LN(2)/25)*Calculateur!BL97*Calculateur!BN97*VLOOKUP('Données projet'!$B$11,Paramètres!$A$1:$I$89,3,0)*0.475*44/12</f>
        <v>38.239066826860935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109.65163993606375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18.5</v>
      </c>
      <c r="BY97" s="12">
        <f>IF('Données projet'!$A$114&gt;35,BY96+BX97-CG96,IF(A97&lt;'Données projet'!$A$114,$BV$205^A97,IF(A97='Données projet'!$A$114,'Données projet'!$B$114,BY96+BX97-CG96)))</f>
        <v>566.99999999999966</v>
      </c>
      <c r="BZ97" s="13">
        <f>BY97*VLOOKUP('Données projet'!$B$12,Paramètres!$A$1:$I$89,3,0)*VLOOKUP('Données projet'!$B$12,Paramètres!$A$1:$I$89,5,0)</f>
        <v>265.35599999999982</v>
      </c>
      <c r="CA97" s="13">
        <f t="shared" si="93"/>
        <v>63.86270230912983</v>
      </c>
      <c r="CB97" s="20">
        <f t="shared" si="64"/>
        <v>573.38923985506744</v>
      </c>
      <c r="CC97" s="59">
        <f t="shared" si="65"/>
        <v>866.7225731884007</v>
      </c>
      <c r="CD97" s="59">
        <f ca="1">AVERAGE(OFFSET($CC$3,0,0,'Données projet'!$E$12+1,1))-AVERAGE(OFFSET($H$3,0,0,'Données projet'!$E$12+1,1))</f>
        <v>259.87681411271632</v>
      </c>
      <c r="CE97" s="59">
        <f t="shared" si="94"/>
        <v>191.8684235641158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64.548899524137866</v>
      </c>
      <c r="CL97" s="21">
        <f>EXP(-LN(2)/25)*CL96+(1-EXP(-LN(2)/25))/(LN(2)/25)*Calculateur!CG97*Calculateur!CI97*VLOOKUP('Données projet'!$B$12,Paramètres!$A$1:$I$89,3,0)*0.475*44/12</f>
        <v>47.868620724928149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112.41752024906602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5.6843418860808015E-14</v>
      </c>
      <c r="CU97" s="17">
        <f>CT97*VLOOKUP('Données projet'!$B$13,Paramètres!$A$1:$I$89,3,0)*VLOOKUP('Données projet'!$B$13,Paramètres!$A$1:$I$89,5,0)</f>
        <v>4.5224624045658861E-14</v>
      </c>
      <c r="CV97" s="13">
        <f t="shared" si="95"/>
        <v>7.4514601661523691E-13</v>
      </c>
      <c r="CW97" s="20">
        <f t="shared" si="67"/>
        <v>1.3765621991510601E-12</v>
      </c>
      <c r="CX97" s="59">
        <f t="shared" si="68"/>
        <v>293.33333333333468</v>
      </c>
      <c r="CY97" s="59">
        <f ca="1">AVERAGE(OFFSET($CX$3,0,0,'Données projet'!$E$13+1,1))-AVERAGE(OFFSET($H$3,0,0,'Données projet'!$E$13+1,1))</f>
        <v>198.11534486400666</v>
      </c>
      <c r="CZ97" s="59">
        <f t="shared" si="96"/>
        <v>174.29856796517652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59.763002019897655</v>
      </c>
      <c r="DG97" s="21">
        <f>EXP(-LN(2)/25)*DG96+(1-EXP(-LN(2)/25))/(LN(2)/25)*Calculateur!DB97*Calculateur!DD97*VLOOKUP('Données projet'!$B$13,Paramètres!$A$1:$I$89,3,0)*0.475*44/12</f>
        <v>17.1357438849444</v>
      </c>
      <c r="DH97" s="21">
        <f>EXP(-LN(2)/2)*DH96+(1-EXP(-LN(2)/2))/(LN(2)/2)*DB97*DE97*VLOOKUP('Données projet'!$B$13,Paramètres!$A$1:$I$89,3,0)*0.475*44/12</f>
        <v>0.15904371704106074</v>
      </c>
      <c r="DI97" s="22">
        <f t="shared" si="69"/>
        <v>77.057789621883117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4.75</v>
      </c>
      <c r="DO97" s="12">
        <f>IF('Données projet'!$A$166&gt;35,DO96+DN97-DW96,IF(A97&lt;'Données projet'!$A$166,$DL$205^A97,IF(A97='Données projet'!$A$166,'Données projet'!$B$166,DO96+DN97-DW96)))</f>
        <v>172.99999999999991</v>
      </c>
      <c r="DP97" s="17">
        <f>DO97*VLOOKUP('Données projet'!$B$14,Paramètres!$A$1:$I$89,3,0)*VLOOKUP('Données projet'!$B$14,Paramètres!$A$1:$I$89,5,0)</f>
        <v>175.42199999999991</v>
      </c>
      <c r="DQ97" s="13">
        <f t="shared" si="97"/>
        <v>44.302143412304694</v>
      </c>
      <c r="DR97" s="20">
        <f t="shared" si="70"/>
        <v>382.68621644309718</v>
      </c>
      <c r="DS97" s="59">
        <f t="shared" si="71"/>
        <v>676.01954977643049</v>
      </c>
      <c r="DT97" s="59">
        <f ca="1">AVERAGE(OFFSET($DS$3,0,0,'Données projet'!$E$14+1,1))-AVERAGE(OFFSET($H$3,0,0,'Données projet'!$E$14+1,1))</f>
        <v>247.92503505485405</v>
      </c>
      <c r="DU97" s="59">
        <f t="shared" si="98"/>
        <v>148.26437652597514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4.9819014864350537</v>
      </c>
      <c r="EB97" s="21">
        <f>EXP(-LN(2)/25)*EB96+(1-EXP(-LN(2)/25))/(LN(2)/25)*Calculateur!DW97*Calculateur!DY97*VLOOKUP('Données projet'!$B$14,Paramètres!$A$1:$I$89,3,0)*0.475*44/12</f>
        <v>23.476612844321473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28.458514330756525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4.75</v>
      </c>
      <c r="EJ97" s="12">
        <f>IF('Données projet'!$A$192&gt;35,EJ96+EI97-ER96,IF(A97&lt;'Données projet'!$A$192,$EG$205^A97,IF(A97='Données projet'!$A$192,'Données projet'!$B$192,EJ96+EI97-ER96)))</f>
        <v>172.99999999999991</v>
      </c>
      <c r="EK97" s="17">
        <f>EJ97*VLOOKUP('Données projet'!$B$15,Paramètres!$A$1:$I$89,3,0)*VLOOKUP('Données projet'!$B$15,Paramètres!$A$1:$I$89,5,0)</f>
        <v>167.32559999999992</v>
      </c>
      <c r="EL97" s="13">
        <f t="shared" si="99"/>
        <v>42.490495297127609</v>
      </c>
      <c r="EM97" s="20">
        <f t="shared" si="73"/>
        <v>365.42969930916371</v>
      </c>
      <c r="EN97" s="59">
        <f t="shared" si="74"/>
        <v>658.76303264249702</v>
      </c>
      <c r="EO97" s="59">
        <f ca="1">AVERAGE(OFFSET($EN$3,0,0,'Données projet'!$E$15+1,1))-AVERAGE(OFFSET($H$3,0,0,'Données projet'!$E$15+1,1))</f>
        <v>232.99870507181964</v>
      </c>
      <c r="EP97" s="59">
        <f t="shared" si="100"/>
        <v>140.07662669226278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4.7519675716765128</v>
      </c>
      <c r="EW97" s="21">
        <f>EXP(-LN(2)/25)*EW96+(1-EXP(-LN(2)/25))/(LN(2)/25)*Calculateur!ER97*Calculateur!ET97*VLOOKUP('Données projet'!$B$15,Paramètres!$A$1:$I$89,3,0)*0.475*44/12</f>
        <v>22.393076866891246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27.145044438567759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5.6843418860808015E-14</v>
      </c>
      <c r="FF97" s="17">
        <f>FE97*VLOOKUP('Données projet'!$B$16,Paramètres!$A$1:$I$89,3,0)*VLOOKUP('Données projet'!$B$16,Paramètres!$A$1:$I$89,5,0)</f>
        <v>4.4337866711430253E-14</v>
      </c>
      <c r="FG97" s="13">
        <f t="shared" si="101"/>
        <v>7.3222115536967035E-13</v>
      </c>
      <c r="FH97" s="20">
        <f t="shared" si="76"/>
        <v>1.3525069634579169E-12</v>
      </c>
      <c r="FI97" s="59">
        <f t="shared" si="77"/>
        <v>293.33333333333468</v>
      </c>
      <c r="FJ97" s="59">
        <f ca="1">AVERAGE(OFFSET($FI$3,0,0,'Données projet'!$E$16+1,1))-AVERAGE(OFFSET($H$3,0,0,'Données projet'!$E$16+1,1))</f>
        <v>193.47609744163839</v>
      </c>
      <c r="FK97" s="59">
        <f t="shared" si="102"/>
        <v>170.3221892406973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47.536239120525323</v>
      </c>
      <c r="FR97" s="21">
        <f>EXP(-LN(2)/25)*FR96+(1-EXP(-LN(2)/25))/(LN(2)/25)*Calculateur!FM97*Calculateur!FO97*VLOOKUP('Données projet'!$B$16,Paramètres!$A$1:$I$89,3,0)*0.475*44/12</f>
        <v>13.62998496212743</v>
      </c>
      <c r="FS97" s="21">
        <f>EXP(-LN(2)/2)*FS96+(1-EXP(-LN(2)/2))/(LN(2)/2)*FM97*FP97*VLOOKUP('Données projet'!$B$16,Paramètres!$A$1:$I$89,3,0)*0.475*44/12</f>
        <v>0.15592521278535382</v>
      </c>
      <c r="FT97" s="22">
        <f t="shared" si="78"/>
        <v>61.322149295438109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>
        <f>FZ97*VLOOKUP('Données projet'!$B$17,Paramètres!$A$1:$I$89,3,0)*VLOOKUP('Données projet'!$B$17,Paramètres!$A$1:$I$89,5,0)</f>
        <v>0</v>
      </c>
      <c r="GB97" s="13" t="e">
        <f t="shared" si="103"/>
        <v>#NUM!</v>
      </c>
      <c r="GC97" s="20" t="e">
        <f t="shared" si="79"/>
        <v>#NUM!</v>
      </c>
      <c r="GD97" s="59" t="e">
        <f t="shared" si="80"/>
        <v>#NUM!</v>
      </c>
      <c r="GE97" s="59">
        <f ca="1">AVERAGE(OFFSET($GD$3,0,0,'Données projet'!$E$17+1,1))-AVERAGE(OFFSET($H$3,0,0,'Données projet'!$E$17+1,1))</f>
        <v>153.43773674911449</v>
      </c>
      <c r="GF97" s="59">
        <f t="shared" si="104"/>
        <v>235.49395036616602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62.486001470552431</v>
      </c>
      <c r="GM97" s="21">
        <f>EXP(-LN(2)/25)*GM96+(1-EXP(-LN(2)/25))/(LN(2)/25)*Calculateur!GH97*Calculateur!GJ97*VLOOKUP('Données projet'!$B$17,Paramètres!$A$1:$I$89,3,0)*0.475*44/12</f>
        <v>33.459183473503302</v>
      </c>
      <c r="GN97" s="21">
        <f>EXP(-LN(2)/2)*GN96+(1-EXP(-LN(2)/2))/(LN(2)/2)*GH97*GK97*VLOOKUP('Données projet'!$B$17,Paramètres!$A$1:$I$89,3,0)*0.475*44/12</f>
        <v>0</v>
      </c>
      <c r="GO97" s="21">
        <f t="shared" si="81"/>
        <v>95.94518494405574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5.6843418860808015E-14</v>
      </c>
      <c r="GV97" s="17">
        <f>GU97*VLOOKUP('Données projet'!$B$18,Paramètres!$A$1:$I$89,3,0)*VLOOKUP('Données projet'!$B$18,Paramètres!$A$1:$I$89,5,0)</f>
        <v>4.5224624045658861E-14</v>
      </c>
      <c r="GW97" s="13">
        <f t="shared" si="105"/>
        <v>7.4514601661523691E-13</v>
      </c>
      <c r="GX97" s="20">
        <f t="shared" si="82"/>
        <v>1.3765621991510601E-12</v>
      </c>
      <c r="GY97" s="59">
        <f t="shared" si="83"/>
        <v>293.33333333333468</v>
      </c>
      <c r="GZ97" s="59">
        <f ca="1">AVERAGE(OFFSET($GY$3,0,0,'Données projet'!$E$18+1,1))-AVERAGE(OFFSET($H$3,0,0,'Données projet'!$E$18+1,1))</f>
        <v>198.11534486400666</v>
      </c>
      <c r="HA97" s="59">
        <f t="shared" si="106"/>
        <v>174.29856796517652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>
        <f>EXP(-LN(2)/35)*HG96+(1-EXP(-LN(2)/35))/(LN(2)/35)*HC97*HD97*VLOOKUP('Données projet'!$B$18,Paramètres!$A$1:$I$89,3,0)*0.475*44/12</f>
        <v>59.763002019897655</v>
      </c>
      <c r="HH97" s="21">
        <f>EXP(-LN(2)/25)*HH96+(1-EXP(-LN(2)/25))/(LN(2)/25)*Calculateur!HC97*Calculateur!HE97*VLOOKUP('Données projet'!$B$18,Paramètres!$A$1:$I$89,3,0)*0.475*44/12</f>
        <v>17.1357438849444</v>
      </c>
      <c r="HI97" s="21">
        <f>EXP(-LN(2)/2)*HI96+(1-EXP(-LN(2)/2))/(LN(2)/2)*HC97*HF97*VLOOKUP('Données projet'!$B$18,Paramètres!$A$1:$I$89,3,0)*0.475*44/12</f>
        <v>0.15904371704106074</v>
      </c>
      <c r="HJ97" s="22">
        <f t="shared" si="84"/>
        <v>77.057789621883117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2.8</v>
      </c>
      <c r="N98" s="13">
        <f>IF('Données projet'!$A$36&gt;35,N97+M98-V97,IF(A98&lt;'Données projet'!$A$36,$K$205^A98,IF(A98='Données projet'!$A$36,'Données projet'!$B$36,N97+M98-V97)))</f>
        <v>476.00000000000006</v>
      </c>
      <c r="O98" s="13">
        <f>N98*VLOOKUP('Données projet'!$B$9,Paramètres!$A$1:$I$89,3,0)*VLOOKUP('Données projet'!$B$9,Paramètres!$A$1:$I$89,5,0)</f>
        <v>284.64800000000008</v>
      </c>
      <c r="P98" s="13">
        <f t="shared" si="87"/>
        <v>67.948321729376303</v>
      </c>
      <c r="Q98" s="20">
        <f t="shared" si="54"/>
        <v>614.10526034533052</v>
      </c>
      <c r="R98" s="59">
        <f t="shared" si="55"/>
        <v>907.43859367866389</v>
      </c>
      <c r="S98" s="59">
        <f ca="1">AVERAGE(OFFSET($R$3,0,0,'Données projet'!$E$9+1,1))-AVERAGE(OFFSET($H$3,0,0,'Données projet'!$E$9+1,1))</f>
        <v>295.19075440119076</v>
      </c>
      <c r="T98" s="59">
        <f t="shared" si="88"/>
        <v>173.0182327988216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12.475807187187728</v>
      </c>
      <c r="AA98" s="21">
        <f>EXP(-LN(2)/25)*AA97+(1-EXP(-LN(2)/25))/(LN(2)/25)*Calculateur!V98*Calculateur!X98*VLOOKUP('Données projet'!$B$9,Paramètres!$A$1:$I$89,3,0)*0.475*44/12</f>
        <v>15.364776433166549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27.840583620354277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294.45857786714919</v>
      </c>
      <c r="AO98" s="59">
        <f t="shared" si="90"/>
        <v>221.9773436301067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136.29446593899007</v>
      </c>
      <c r="AV98" s="21">
        <f>EXP(-LN(2)/25)*AV97+(1-EXP(-LN(2)/25))/(LN(2)/25)*Calculateur!AQ98*Calculateur!AS98*VLOOKUP('Données projet'!$B$10,Paramètres!$A$1:$I$89,3,0)*0.475*44/12</f>
        <v>66.334588253094992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202.62905419208505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179.44051550872138</v>
      </c>
      <c r="BJ98" s="59">
        <f t="shared" si="92"/>
        <v>272.9500808380069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70.012216107900002</v>
      </c>
      <c r="BQ98" s="21">
        <f>EXP(-LN(2)/25)*BQ97+(1-EXP(-LN(2)/25))/(LN(2)/25)*Calculateur!BL98*Calculateur!BN98*VLOOKUP('Données projet'!$B$11,Paramètres!$A$1:$I$89,3,0)*0.475*44/12</f>
        <v>37.193417533575293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107.20563364147529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18.5</v>
      </c>
      <c r="BY98" s="12">
        <f>IF('Données projet'!$A$114&gt;35,BY97+BX98-CG97,IF(A98&lt;'Données projet'!$A$114,$BV$205^A98,IF(A98='Données projet'!$A$114,'Données projet'!$B$114,BY97+BX98-CG97)))</f>
        <v>585.49999999999966</v>
      </c>
      <c r="BZ98" s="13">
        <f>BY98*VLOOKUP('Données projet'!$B$12,Paramètres!$A$1:$I$89,3,0)*VLOOKUP('Données projet'!$B$12,Paramètres!$A$1:$I$89,5,0)</f>
        <v>274.01399999999984</v>
      </c>
      <c r="CA98" s="13">
        <f t="shared" si="93"/>
        <v>65.700408366571935</v>
      </c>
      <c r="CB98" s="20">
        <f t="shared" si="64"/>
        <v>591.66926123844587</v>
      </c>
      <c r="CC98" s="59">
        <f t="shared" si="65"/>
        <v>885.00259457177913</v>
      </c>
      <c r="CD98" s="59">
        <f ca="1">AVERAGE(OFFSET($CC$3,0,0,'Données projet'!$E$12+1,1))-AVERAGE(OFFSET($H$3,0,0,'Données projet'!$E$12+1,1))</f>
        <v>259.87681411271632</v>
      </c>
      <c r="CE98" s="59">
        <f t="shared" si="94"/>
        <v>191.8684235641158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63.283134975410675</v>
      </c>
      <c r="CL98" s="21">
        <f>EXP(-LN(2)/25)*CL97+(1-EXP(-LN(2)/25))/(LN(2)/25)*Calculateur!CG98*Calculateur!CI98*VLOOKUP('Données projet'!$B$12,Paramètres!$A$1:$I$89,3,0)*0.475*44/12</f>
        <v>46.559650773903634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109.84278574931432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5.6843418860808015E-14</v>
      </c>
      <c r="CU98" s="17">
        <f>CT98*VLOOKUP('Données projet'!$B$13,Paramètres!$A$1:$I$89,3,0)*VLOOKUP('Données projet'!$B$13,Paramètres!$A$1:$I$89,5,0)</f>
        <v>4.5224624045658861E-14</v>
      </c>
      <c r="CV98" s="13">
        <f t="shared" si="95"/>
        <v>7.4514601661523691E-13</v>
      </c>
      <c r="CW98" s="20">
        <f t="shared" si="67"/>
        <v>1.3765621991510601E-12</v>
      </c>
      <c r="CX98" s="59">
        <f t="shared" si="68"/>
        <v>293.33333333333468</v>
      </c>
      <c r="CY98" s="59">
        <f ca="1">AVERAGE(OFFSET($CX$3,0,0,'Données projet'!$E$13+1,1))-AVERAGE(OFFSET($H$3,0,0,'Données projet'!$E$13+1,1))</f>
        <v>198.11534486400666</v>
      </c>
      <c r="CZ98" s="59">
        <f t="shared" si="96"/>
        <v>174.29856796517652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58.591086002119376</v>
      </c>
      <c r="DG98" s="21">
        <f>EXP(-LN(2)/25)*DG97+(1-EXP(-LN(2)/25))/(LN(2)/25)*Calculateur!DB98*Calculateur!DD98*VLOOKUP('Données projet'!$B$13,Paramètres!$A$1:$I$89,3,0)*0.475*44/12</f>
        <v>16.667166067280988</v>
      </c>
      <c r="DH98" s="21">
        <f>EXP(-LN(2)/2)*DH97+(1-EXP(-LN(2)/2))/(LN(2)/2)*DB98*DE98*VLOOKUP('Données projet'!$B$13,Paramètres!$A$1:$I$89,3,0)*0.475*44/12</f>
        <v>0.11246089082484852</v>
      </c>
      <c r="DI98" s="22">
        <f t="shared" si="69"/>
        <v>75.370712960225205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4.75</v>
      </c>
      <c r="DO98" s="12">
        <f>IF('Données projet'!$A$166&gt;35,DO97+DN98-DW97,IF(A98&lt;'Données projet'!$A$166,$DL$205^A98,IF(A98='Données projet'!$A$166,'Données projet'!$B$166,DO97+DN98-DW97)))</f>
        <v>177.74999999999991</v>
      </c>
      <c r="DP98" s="17">
        <f>DO98*VLOOKUP('Données projet'!$B$14,Paramètres!$A$1:$I$89,3,0)*VLOOKUP('Données projet'!$B$14,Paramètres!$A$1:$I$89,5,0)</f>
        <v>180.23849999999993</v>
      </c>
      <c r="DQ98" s="13">
        <f t="shared" si="97"/>
        <v>45.375243932613408</v>
      </c>
      <c r="DR98" s="20">
        <f t="shared" si="70"/>
        <v>392.94393734930151</v>
      </c>
      <c r="DS98" s="59">
        <f t="shared" si="71"/>
        <v>686.27727068263482</v>
      </c>
      <c r="DT98" s="59">
        <f ca="1">AVERAGE(OFFSET($DS$3,0,0,'Données projet'!$E$14+1,1))-AVERAGE(OFFSET($H$3,0,0,'Données projet'!$E$14+1,1))</f>
        <v>247.92503505485405</v>
      </c>
      <c r="DU98" s="59">
        <f t="shared" si="98"/>
        <v>148.26437652597514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4.8842094369459259</v>
      </c>
      <c r="EB98" s="21">
        <f>EXP(-LN(2)/25)*EB97+(1-EXP(-LN(2)/25))/(LN(2)/25)*Calculateur!DW98*Calculateur!DY98*VLOOKUP('Données projet'!$B$14,Paramètres!$A$1:$I$89,3,0)*0.475*44/12</f>
        <v>22.83464363151209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27.718853068458017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4.75</v>
      </c>
      <c r="EJ98" s="12">
        <f>IF('Données projet'!$A$192&gt;35,EJ97+EI98-ER97,IF(A98&lt;'Données projet'!$A$192,$EG$205^A98,IF(A98='Données projet'!$A$192,'Données projet'!$B$192,EJ97+EI98-ER97)))</f>
        <v>177.74999999999991</v>
      </c>
      <c r="EK98" s="17">
        <f>EJ98*VLOOKUP('Données projet'!$B$15,Paramètres!$A$1:$I$89,3,0)*VLOOKUP('Données projet'!$B$15,Paramètres!$A$1:$I$89,5,0)</f>
        <v>171.91979999999992</v>
      </c>
      <c r="EL98" s="13">
        <f t="shared" si="99"/>
        <v>43.519713504182945</v>
      </c>
      <c r="EM98" s="20">
        <f t="shared" si="73"/>
        <v>375.22381935311847</v>
      </c>
      <c r="EN98" s="59">
        <f t="shared" si="74"/>
        <v>668.55715268645179</v>
      </c>
      <c r="EO98" s="59">
        <f ca="1">AVERAGE(OFFSET($EN$3,0,0,'Données projet'!$E$15+1,1))-AVERAGE(OFFSET($H$3,0,0,'Données projet'!$E$15+1,1))</f>
        <v>232.99870507181964</v>
      </c>
      <c r="EP98" s="59">
        <f t="shared" si="100"/>
        <v>140.07662669226278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4.6587843860099607</v>
      </c>
      <c r="EW98" s="21">
        <f>EXP(-LN(2)/25)*EW97+(1-EXP(-LN(2)/25))/(LN(2)/25)*Calculateur!ER98*Calculateur!ET98*VLOOKUP('Données projet'!$B$15,Paramètres!$A$1:$I$89,3,0)*0.475*44/12</f>
        <v>21.780737002365374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26.439521388375333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5.6843418860808015E-14</v>
      </c>
      <c r="FF98" s="17">
        <f>FE98*VLOOKUP('Données projet'!$B$16,Paramètres!$A$1:$I$89,3,0)*VLOOKUP('Données projet'!$B$16,Paramètres!$A$1:$I$89,5,0)</f>
        <v>4.4337866711430253E-14</v>
      </c>
      <c r="FG98" s="13">
        <f t="shared" si="101"/>
        <v>7.3222115536967035E-13</v>
      </c>
      <c r="FH98" s="20">
        <f t="shared" si="76"/>
        <v>1.3525069634579169E-12</v>
      </c>
      <c r="FI98" s="59">
        <f t="shared" si="77"/>
        <v>293.33333333333468</v>
      </c>
      <c r="FJ98" s="59">
        <f ca="1">AVERAGE(OFFSET($FI$3,0,0,'Données projet'!$E$16+1,1))-AVERAGE(OFFSET($H$3,0,0,'Données projet'!$E$16+1,1))</f>
        <v>193.47609744163839</v>
      </c>
      <c r="FK98" s="59">
        <f t="shared" si="102"/>
        <v>170.3221892406973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46.604082465614738</v>
      </c>
      <c r="FR98" s="21">
        <f>EXP(-LN(2)/25)*FR97+(1-EXP(-LN(2)/25))/(LN(2)/25)*Calculateur!FM98*Calculateur!FO98*VLOOKUP('Données projet'!$B$16,Paramètres!$A$1:$I$89,3,0)*0.475*44/12</f>
        <v>13.257272306568298</v>
      </c>
      <c r="FS98" s="21">
        <f>EXP(-LN(2)/2)*FS97+(1-EXP(-LN(2)/2))/(LN(2)/2)*FM98*FP98*VLOOKUP('Données projet'!$B$16,Paramètres!$A$1:$I$89,3,0)*0.475*44/12</f>
        <v>0.11025577531847905</v>
      </c>
      <c r="FT98" s="22">
        <f t="shared" si="78"/>
        <v>59.971610547501513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>
        <f>FZ98*VLOOKUP('Données projet'!$B$17,Paramètres!$A$1:$I$89,3,0)*VLOOKUP('Données projet'!$B$17,Paramètres!$A$1:$I$89,5,0)</f>
        <v>0</v>
      </c>
      <c r="GB98" s="13" t="e">
        <f t="shared" si="103"/>
        <v>#NUM!</v>
      </c>
      <c r="GC98" s="20" t="e">
        <f t="shared" si="79"/>
        <v>#NUM!</v>
      </c>
      <c r="GD98" s="59" t="e">
        <f t="shared" si="80"/>
        <v>#NUM!</v>
      </c>
      <c r="GE98" s="59">
        <f ca="1">AVERAGE(OFFSET($GD$3,0,0,'Données projet'!$E$17+1,1))-AVERAGE(OFFSET($H$3,0,0,'Données projet'!$E$17+1,1))</f>
        <v>153.43773674911449</v>
      </c>
      <c r="GF98" s="59">
        <f t="shared" si="104"/>
        <v>235.49395036616602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61.260689094412477</v>
      </c>
      <c r="GM98" s="21">
        <f>EXP(-LN(2)/25)*GM97+(1-EXP(-LN(2)/25))/(LN(2)/25)*Calculateur!GH98*Calculateur!GJ98*VLOOKUP('Données projet'!$B$17,Paramètres!$A$1:$I$89,3,0)*0.475*44/12</f>
        <v>32.544240341878364</v>
      </c>
      <c r="GN98" s="21">
        <f>EXP(-LN(2)/2)*GN97+(1-EXP(-LN(2)/2))/(LN(2)/2)*GH98*GK98*VLOOKUP('Données projet'!$B$17,Paramètres!$A$1:$I$89,3,0)*0.475*44/12</f>
        <v>0</v>
      </c>
      <c r="GO98" s="21">
        <f t="shared" si="81"/>
        <v>93.804929436290848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5.6843418860808015E-14</v>
      </c>
      <c r="GV98" s="17">
        <f>GU98*VLOOKUP('Données projet'!$B$18,Paramètres!$A$1:$I$89,3,0)*VLOOKUP('Données projet'!$B$18,Paramètres!$A$1:$I$89,5,0)</f>
        <v>4.5224624045658861E-14</v>
      </c>
      <c r="GW98" s="13">
        <f t="shared" si="105"/>
        <v>7.4514601661523691E-13</v>
      </c>
      <c r="GX98" s="20">
        <f t="shared" si="82"/>
        <v>1.3765621991510601E-12</v>
      </c>
      <c r="GY98" s="59">
        <f t="shared" si="83"/>
        <v>293.33333333333468</v>
      </c>
      <c r="GZ98" s="59">
        <f ca="1">AVERAGE(OFFSET($GY$3,0,0,'Données projet'!$E$18+1,1))-AVERAGE(OFFSET($H$3,0,0,'Données projet'!$E$18+1,1))</f>
        <v>198.11534486400666</v>
      </c>
      <c r="HA98" s="59">
        <f t="shared" si="106"/>
        <v>174.29856796517652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>
        <f>EXP(-LN(2)/35)*HG97+(1-EXP(-LN(2)/35))/(LN(2)/35)*HC98*HD98*VLOOKUP('Données projet'!$B$18,Paramètres!$A$1:$I$89,3,0)*0.475*44/12</f>
        <v>58.591086002119376</v>
      </c>
      <c r="HH98" s="21">
        <f>EXP(-LN(2)/25)*HH97+(1-EXP(-LN(2)/25))/(LN(2)/25)*Calculateur!HC98*Calculateur!HE98*VLOOKUP('Données projet'!$B$18,Paramètres!$A$1:$I$89,3,0)*0.475*44/12</f>
        <v>16.667166067280988</v>
      </c>
      <c r="HI98" s="21">
        <f>EXP(-LN(2)/2)*HI97+(1-EXP(-LN(2)/2))/(LN(2)/2)*HC98*HF98*VLOOKUP('Données projet'!$B$18,Paramètres!$A$1:$I$89,3,0)*0.475*44/12</f>
        <v>0.11246089082484852</v>
      </c>
      <c r="HJ98" s="22">
        <f t="shared" si="84"/>
        <v>75.370712960225205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2.8</v>
      </c>
      <c r="N99" s="13">
        <f>IF('Données projet'!$A$36&gt;35,N98+M99-V98,IF(A99&lt;'Données projet'!$A$36,$K$205^A99,IF(A99='Données projet'!$A$36,'Données projet'!$B$36,N98+M99-V98)))</f>
        <v>478.80000000000007</v>
      </c>
      <c r="O99" s="13">
        <f>N99*VLOOKUP('Données projet'!$B$9,Paramètres!$A$1:$I$89,3,0)*VLOOKUP('Données projet'!$B$9,Paramètres!$A$1:$I$89,5,0)</f>
        <v>286.32240000000007</v>
      </c>
      <c r="P99" s="13">
        <f t="shared" si="87"/>
        <v>68.301372478551315</v>
      </c>
      <c r="Q99" s="20">
        <f t="shared" ref="Q99:Q130" si="107">(O99+P99)*0.475*44/12</f>
        <v>617.63640373347687</v>
      </c>
      <c r="R99" s="59">
        <f t="shared" si="55"/>
        <v>910.96973706681024</v>
      </c>
      <c r="S99" s="59">
        <f ca="1">AVERAGE(OFFSET($R$3,0,0,'Données projet'!$E$9+1,1))-AVERAGE(OFFSET($H$3,0,0,'Données projet'!$E$9+1,1))</f>
        <v>295.19075440119076</v>
      </c>
      <c r="T99" s="59">
        <f t="shared" si="88"/>
        <v>173.0182327988216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12.231164217737986</v>
      </c>
      <c r="AA99" s="21">
        <f>EXP(-LN(2)/25)*AA98+(1-EXP(-LN(2)/25))/(LN(2)/25)*Calculateur!V99*Calculateur!X99*VLOOKUP('Données projet'!$B$9,Paramètres!$A$1:$I$89,3,0)*0.475*44/12</f>
        <v>14.944625813603134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27.175790031341119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294.45857786714919</v>
      </c>
      <c r="AO99" s="59">
        <f t="shared" si="90"/>
        <v>221.9773436301067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133.62181459334215</v>
      </c>
      <c r="AV99" s="21">
        <f>EXP(-LN(2)/25)*AV98+(1-EXP(-LN(2)/25))/(LN(2)/25)*Calculateur!AQ99*Calculateur!AS99*VLOOKUP('Données projet'!$B$10,Paramètres!$A$1:$I$89,3,0)*0.475*44/12</f>
        <v>64.520665448929719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198.14248004227187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179.44051550872138</v>
      </c>
      <c r="BJ99" s="59">
        <f t="shared" si="92"/>
        <v>272.9500808380069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68.639319253259316</v>
      </c>
      <c r="BQ99" s="21">
        <f>EXP(-LN(2)/25)*BQ98+(1-EXP(-LN(2)/25))/(LN(2)/25)*Calculateur!BL99*Calculateur!BN99*VLOOKUP('Données projet'!$B$11,Paramètres!$A$1:$I$89,3,0)*0.475*44/12</f>
        <v>36.176361575202854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104.81568082846218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18.5</v>
      </c>
      <c r="BY99" s="12">
        <f>IF('Données projet'!$A$114&gt;35,BY98+BX99-CG98,IF(A99&lt;'Données projet'!$A$114,$BV$205^A99,IF(A99='Données projet'!$A$114,'Données projet'!$B$114,BY98+BX99-CG98)))</f>
        <v>603.99999999999966</v>
      </c>
      <c r="BZ99" s="13">
        <f>BY99*VLOOKUP('Données projet'!$B$12,Paramètres!$A$1:$I$89,3,0)*VLOOKUP('Données projet'!$B$12,Paramètres!$A$1:$I$89,5,0)</f>
        <v>282.6719999999998</v>
      </c>
      <c r="CA99" s="13">
        <f t="shared" si="93"/>
        <v>67.531366785420701</v>
      </c>
      <c r="CB99" s="20">
        <f t="shared" si="64"/>
        <v>609.93753048460724</v>
      </c>
      <c r="CC99" s="59">
        <f t="shared" si="65"/>
        <v>903.27086381794061</v>
      </c>
      <c r="CD99" s="59">
        <f ca="1">AVERAGE(OFFSET($CC$3,0,0,'Données projet'!$E$12+1,1))-AVERAGE(OFFSET($H$3,0,0,'Données projet'!$E$12+1,1))</f>
        <v>259.87681411271632</v>
      </c>
      <c r="CE99" s="59">
        <f t="shared" si="94"/>
        <v>191.8684235641158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62.042191297443885</v>
      </c>
      <c r="CL99" s="21">
        <f>EXP(-LN(2)/25)*CL98+(1-EXP(-LN(2)/25))/(LN(2)/25)*Calculateur!CG99*Calculateur!CI99*VLOOKUP('Données projet'!$B$12,Paramètres!$A$1:$I$89,3,0)*0.475*44/12</f>
        <v>45.286474675025616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107.32866597246951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5.6843418860808015E-14</v>
      </c>
      <c r="CU99" s="17">
        <f>CT99*VLOOKUP('Données projet'!$B$13,Paramètres!$A$1:$I$89,3,0)*VLOOKUP('Données projet'!$B$13,Paramètres!$A$1:$I$89,5,0)</f>
        <v>4.5224624045658861E-14</v>
      </c>
      <c r="CV99" s="13">
        <f t="shared" si="95"/>
        <v>7.4514601661523691E-13</v>
      </c>
      <c r="CW99" s="20">
        <f t="shared" si="67"/>
        <v>1.3765621991510601E-12</v>
      </c>
      <c r="CX99" s="59">
        <f t="shared" si="68"/>
        <v>293.33333333333468</v>
      </c>
      <c r="CY99" s="59">
        <f ca="1">AVERAGE(OFFSET($CX$3,0,0,'Données projet'!$E$13+1,1))-AVERAGE(OFFSET($H$3,0,0,'Données projet'!$E$13+1,1))</f>
        <v>198.11534486400666</v>
      </c>
      <c r="CZ99" s="59">
        <f t="shared" si="96"/>
        <v>174.29856796517652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57.44215054265154</v>
      </c>
      <c r="DG99" s="21">
        <f>EXP(-LN(2)/25)*DG98+(1-EXP(-LN(2)/25))/(LN(2)/25)*Calculateur!DB99*Calculateur!DD99*VLOOKUP('Données projet'!$B$13,Paramètres!$A$1:$I$89,3,0)*0.475*44/12</f>
        <v>16.21140153468302</v>
      </c>
      <c r="DH99" s="21">
        <f>EXP(-LN(2)/2)*DH98+(1-EXP(-LN(2)/2))/(LN(2)/2)*DB99*DE99*VLOOKUP('Données projet'!$B$13,Paramètres!$A$1:$I$89,3,0)*0.475*44/12</f>
        <v>7.952185852053037E-2</v>
      </c>
      <c r="DI99" s="22">
        <f t="shared" si="69"/>
        <v>73.733073935855089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4.75</v>
      </c>
      <c r="DO99" s="12">
        <f>IF('Données projet'!$A$166&gt;35,DO98+DN99-DW98,IF(A99&lt;'Données projet'!$A$166,$DL$205^A99,IF(A99='Données projet'!$A$166,'Données projet'!$B$166,DO98+DN99-DW98)))</f>
        <v>182.49999999999991</v>
      </c>
      <c r="DP99" s="17">
        <f>DO99*VLOOKUP('Données projet'!$B$14,Paramètres!$A$1:$I$89,3,0)*VLOOKUP('Données projet'!$B$14,Paramètres!$A$1:$I$89,5,0)</f>
        <v>185.05499999999992</v>
      </c>
      <c r="DQ99" s="13">
        <f t="shared" si="97"/>
        <v>46.445011288484558</v>
      </c>
      <c r="DR99" s="20">
        <f t="shared" si="70"/>
        <v>403.19585299411045</v>
      </c>
      <c r="DS99" s="59">
        <f t="shared" si="71"/>
        <v>696.52918632744377</v>
      </c>
      <c r="DT99" s="59">
        <f ca="1">AVERAGE(OFFSET($DS$3,0,0,'Données projet'!$E$14+1,1))-AVERAGE(OFFSET($H$3,0,0,'Données projet'!$E$14+1,1))</f>
        <v>247.92503505485405</v>
      </c>
      <c r="DU99" s="59">
        <f t="shared" si="98"/>
        <v>148.26437652597514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4.7884330689610142</v>
      </c>
      <c r="EB99" s="21">
        <f>EXP(-LN(2)/25)*EB98+(1-EXP(-LN(2)/25))/(LN(2)/25)*Calculateur!DW99*Calculateur!DY99*VLOOKUP('Données projet'!$B$14,Paramètres!$A$1:$I$89,3,0)*0.475*44/12</f>
        <v>22.210229100586673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26.998662169547686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4.75</v>
      </c>
      <c r="EJ99" s="12">
        <f>IF('Données projet'!$A$192&gt;35,EJ98+EI99-ER98,IF(A99&lt;'Données projet'!$A$192,$EG$205^A99,IF(A99='Données projet'!$A$192,'Données projet'!$B$192,EJ98+EI99-ER98)))</f>
        <v>182.49999999999991</v>
      </c>
      <c r="EK99" s="17">
        <f>EJ99*VLOOKUP('Données projet'!$B$15,Paramètres!$A$1:$I$89,3,0)*VLOOKUP('Données projet'!$B$15,Paramètres!$A$1:$I$89,5,0)</f>
        <v>176.51399999999992</v>
      </c>
      <c r="EL99" s="13">
        <f t="shared" si="99"/>
        <v>44.545734849936551</v>
      </c>
      <c r="EM99" s="20">
        <f t="shared" si="73"/>
        <v>385.01237153030598</v>
      </c>
      <c r="EN99" s="59">
        <f t="shared" si="74"/>
        <v>678.3457048636393</v>
      </c>
      <c r="EO99" s="59">
        <f ca="1">AVERAGE(OFFSET($EN$3,0,0,'Données projet'!$E$15+1,1))-AVERAGE(OFFSET($H$3,0,0,'Données projet'!$E$15+1,1))</f>
        <v>232.99870507181964</v>
      </c>
      <c r="EP99" s="59">
        <f t="shared" si="100"/>
        <v>140.07662669226278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4.5674284657781987</v>
      </c>
      <c r="EW99" s="21">
        <f>EXP(-LN(2)/25)*EW98+(1-EXP(-LN(2)/25))/(LN(2)/25)*Calculateur!ER99*Calculateur!ET99*VLOOKUP('Données projet'!$B$15,Paramètres!$A$1:$I$89,3,0)*0.475*44/12</f>
        <v>21.185141603636513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25.752570069414713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5.6843418860808015E-14</v>
      </c>
      <c r="FF99" s="17">
        <f>FE99*VLOOKUP('Données projet'!$B$16,Paramètres!$A$1:$I$89,3,0)*VLOOKUP('Données projet'!$B$16,Paramètres!$A$1:$I$89,5,0)</f>
        <v>4.4337866711430253E-14</v>
      </c>
      <c r="FG99" s="13">
        <f t="shared" si="101"/>
        <v>7.3222115536967035E-13</v>
      </c>
      <c r="FH99" s="20">
        <f t="shared" si="76"/>
        <v>1.3525069634579169E-12</v>
      </c>
      <c r="FI99" s="59">
        <f t="shared" si="77"/>
        <v>293.33333333333468</v>
      </c>
      <c r="FJ99" s="59">
        <f ca="1">AVERAGE(OFFSET($FI$3,0,0,'Données projet'!$E$16+1,1))-AVERAGE(OFFSET($H$3,0,0,'Données projet'!$E$16+1,1))</f>
        <v>193.47609744163839</v>
      </c>
      <c r="FK99" s="59">
        <f t="shared" si="102"/>
        <v>170.3221892406973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45.690204834147536</v>
      </c>
      <c r="FR99" s="21">
        <f>EXP(-LN(2)/25)*FR98+(1-EXP(-LN(2)/25))/(LN(2)/25)*Calculateur!FM99*Calculateur!FO99*VLOOKUP('Données projet'!$B$16,Paramètres!$A$1:$I$89,3,0)*0.475*44/12</f>
        <v>12.894751498175538</v>
      </c>
      <c r="FS99" s="21">
        <f>EXP(-LN(2)/2)*FS98+(1-EXP(-LN(2)/2))/(LN(2)/2)*FM99*FP99*VLOOKUP('Données projet'!$B$16,Paramètres!$A$1:$I$89,3,0)*0.475*44/12</f>
        <v>7.7962606392676922E-2</v>
      </c>
      <c r="FT99" s="22">
        <f t="shared" si="78"/>
        <v>58.662918938715748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>
        <f>FZ99*VLOOKUP('Données projet'!$B$17,Paramètres!$A$1:$I$89,3,0)*VLOOKUP('Données projet'!$B$17,Paramètres!$A$1:$I$89,5,0)</f>
        <v>0</v>
      </c>
      <c r="GB99" s="13" t="e">
        <f t="shared" si="103"/>
        <v>#NUM!</v>
      </c>
      <c r="GC99" s="20" t="e">
        <f t="shared" si="79"/>
        <v>#NUM!</v>
      </c>
      <c r="GD99" s="59" t="e">
        <f t="shared" si="80"/>
        <v>#NUM!</v>
      </c>
      <c r="GE99" s="59">
        <f ca="1">AVERAGE(OFFSET($GD$3,0,0,'Données projet'!$E$17+1,1))-AVERAGE(OFFSET($H$3,0,0,'Données projet'!$E$17+1,1))</f>
        <v>153.43773674911449</v>
      </c>
      <c r="GF99" s="59">
        <f t="shared" si="104"/>
        <v>235.49395036616602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60.059404346601873</v>
      </c>
      <c r="GM99" s="21">
        <f>EXP(-LN(2)/25)*GM98+(1-EXP(-LN(2)/25))/(LN(2)/25)*Calculateur!GH99*Calculateur!GJ99*VLOOKUP('Données projet'!$B$17,Paramètres!$A$1:$I$89,3,0)*0.475*44/12</f>
        <v>31.654316378302482</v>
      </c>
      <c r="GN99" s="21">
        <f>EXP(-LN(2)/2)*GN98+(1-EXP(-LN(2)/2))/(LN(2)/2)*GH99*GK99*VLOOKUP('Données projet'!$B$17,Paramètres!$A$1:$I$89,3,0)*0.475*44/12</f>
        <v>0</v>
      </c>
      <c r="GO99" s="21">
        <f t="shared" si="81"/>
        <v>91.713720724904363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5.6843418860808015E-14</v>
      </c>
      <c r="GV99" s="17">
        <f>GU99*VLOOKUP('Données projet'!$B$18,Paramètres!$A$1:$I$89,3,0)*VLOOKUP('Données projet'!$B$18,Paramètres!$A$1:$I$89,5,0)</f>
        <v>4.5224624045658861E-14</v>
      </c>
      <c r="GW99" s="13">
        <f t="shared" si="105"/>
        <v>7.4514601661523691E-13</v>
      </c>
      <c r="GX99" s="20">
        <f t="shared" si="82"/>
        <v>1.3765621991510601E-12</v>
      </c>
      <c r="GY99" s="59">
        <f t="shared" si="83"/>
        <v>293.33333333333468</v>
      </c>
      <c r="GZ99" s="59">
        <f ca="1">AVERAGE(OFFSET($GY$3,0,0,'Données projet'!$E$18+1,1))-AVERAGE(OFFSET($H$3,0,0,'Données projet'!$E$18+1,1))</f>
        <v>198.11534486400666</v>
      </c>
      <c r="HA99" s="59">
        <f t="shared" si="106"/>
        <v>174.29856796517652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>
        <f>EXP(-LN(2)/35)*HG98+(1-EXP(-LN(2)/35))/(LN(2)/35)*HC99*HD99*VLOOKUP('Données projet'!$B$18,Paramètres!$A$1:$I$89,3,0)*0.475*44/12</f>
        <v>57.44215054265154</v>
      </c>
      <c r="HH99" s="21">
        <f>EXP(-LN(2)/25)*HH98+(1-EXP(-LN(2)/25))/(LN(2)/25)*Calculateur!HC99*Calculateur!HE99*VLOOKUP('Données projet'!$B$18,Paramètres!$A$1:$I$89,3,0)*0.475*44/12</f>
        <v>16.21140153468302</v>
      </c>
      <c r="HI99" s="21">
        <f>EXP(-LN(2)/2)*HI98+(1-EXP(-LN(2)/2))/(LN(2)/2)*HC99*HF99*VLOOKUP('Données projet'!$B$18,Paramètres!$A$1:$I$89,3,0)*0.475*44/12</f>
        <v>7.952185852053037E-2</v>
      </c>
      <c r="HJ99" s="22">
        <f t="shared" si="84"/>
        <v>73.733073935855089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2.8</v>
      </c>
      <c r="N100" s="13">
        <f>IF('Données projet'!$A$36&gt;35,N99+M100-V99,IF(A100&lt;'Données projet'!$A$36,$K$205^A100,IF(A100='Données projet'!$A$36,'Données projet'!$B$36,N99+M100-V99)))</f>
        <v>481.60000000000008</v>
      </c>
      <c r="O100" s="13">
        <f>N100*VLOOKUP('Données projet'!$B$9,Paramètres!$A$1:$I$89,3,0)*VLOOKUP('Données projet'!$B$9,Paramètres!$A$1:$I$89,5,0)</f>
        <v>287.99680000000006</v>
      </c>
      <c r="P100" s="13">
        <f t="shared" si="87"/>
        <v>68.654182985788822</v>
      </c>
      <c r="Q100" s="20">
        <f t="shared" si="107"/>
        <v>621.16712870024901</v>
      </c>
      <c r="R100" s="59">
        <f t="shared" si="55"/>
        <v>914.50046203358238</v>
      </c>
      <c r="S100" s="59">
        <f ca="1">AVERAGE(OFFSET($R$3,0,0,'Données projet'!$E$9+1,1))-AVERAGE(OFFSET($H$3,0,0,'Données projet'!$E$9+1,1))</f>
        <v>295.19075440119076</v>
      </c>
      <c r="T100" s="59">
        <f t="shared" si="88"/>
        <v>173.0182327988216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11.991318547701676</v>
      </c>
      <c r="AA100" s="21">
        <f>EXP(-LN(2)/25)*AA99+(1-EXP(-LN(2)/25))/(LN(2)/25)*Calculateur!V100*Calculateur!X100*VLOOKUP('Données projet'!$B$9,Paramètres!$A$1:$I$89,3,0)*0.475*44/12</f>
        <v>14.535964234826441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26.527282782528118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294.45857786714919</v>
      </c>
      <c r="AO100" s="59">
        <f t="shared" si="90"/>
        <v>221.9773436301067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131.00157231042604</v>
      </c>
      <c r="AV100" s="21">
        <f>EXP(-LN(2)/25)*AV99+(1-EXP(-LN(2)/25))/(LN(2)/25)*Calculateur!AQ100*Calculateur!AS100*VLOOKUP('Données projet'!$B$10,Paramètres!$A$1:$I$89,3,0)*0.475*44/12</f>
        <v>62.756344459234406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193.75791676966045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179.44051550872138</v>
      </c>
      <c r="BJ100" s="59">
        <f t="shared" si="92"/>
        <v>272.9500808380069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67.293344068553736</v>
      </c>
      <c r="BQ100" s="21">
        <f>EXP(-LN(2)/25)*BQ99+(1-EXP(-LN(2)/25))/(LN(2)/25)*Calculateur!BL100*Calculateur!BN100*VLOOKUP('Données projet'!$B$11,Paramètres!$A$1:$I$89,3,0)*0.475*44/12</f>
        <v>35.187117065496757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102.4804611340505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18.5</v>
      </c>
      <c r="BY100" s="12">
        <f>IF('Données projet'!$A$114&gt;35,BY99+BX100-CG99,IF(A100&lt;'Données projet'!$A$114,$BV$205^A100,IF(A100='Données projet'!$A$114,'Données projet'!$B$114,BY99+BX100-CG99)))</f>
        <v>622.49999999999966</v>
      </c>
      <c r="BZ100" s="13">
        <f>BY100*VLOOKUP('Données projet'!$B$12,Paramètres!$A$1:$I$89,3,0)*VLOOKUP('Données projet'!$B$12,Paramètres!$A$1:$I$89,5,0)</f>
        <v>291.32999999999987</v>
      </c>
      <c r="CA100" s="13">
        <f t="shared" si="93"/>
        <v>69.355807959189647</v>
      </c>
      <c r="CB100" s="20">
        <f t="shared" si="64"/>
        <v>628.19444886225506</v>
      </c>
      <c r="CC100" s="59">
        <f t="shared" si="65"/>
        <v>921.52778219558832</v>
      </c>
      <c r="CD100" s="59">
        <f ca="1">AVERAGE(OFFSET($CC$3,0,0,'Données projet'!$E$12+1,1))-AVERAGE(OFFSET($H$3,0,0,'Données projet'!$E$12+1,1))</f>
        <v>259.87681411271632</v>
      </c>
      <c r="CE100" s="59">
        <f t="shared" si="94"/>
        <v>191.8684235641158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60.825581768101117</v>
      </c>
      <c r="CL100" s="21">
        <f>EXP(-LN(2)/25)*CL99+(1-EXP(-LN(2)/25))/(LN(2)/25)*Calculateur!CG100*Calculateur!CI100*VLOOKUP('Données projet'!$B$12,Paramètres!$A$1:$I$89,3,0)*0.475*44/12</f>
        <v>44.048113643524843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104.87369541162596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5.6843418860808015E-14</v>
      </c>
      <c r="CU100" s="17">
        <f>CT100*VLOOKUP('Données projet'!$B$13,Paramètres!$A$1:$I$89,3,0)*VLOOKUP('Données projet'!$B$13,Paramètres!$A$1:$I$89,5,0)</f>
        <v>4.5224624045658861E-14</v>
      </c>
      <c r="CV100" s="13">
        <f t="shared" si="95"/>
        <v>7.4514601661523691E-13</v>
      </c>
      <c r="CW100" s="20">
        <f t="shared" si="67"/>
        <v>1.3765621991510601E-12</v>
      </c>
      <c r="CX100" s="59">
        <f t="shared" si="68"/>
        <v>293.33333333333468</v>
      </c>
      <c r="CY100" s="59">
        <f ca="1">AVERAGE(OFFSET($CX$3,0,0,'Données projet'!$E$13+1,1))-AVERAGE(OFFSET($H$3,0,0,'Données projet'!$E$13+1,1))</f>
        <v>198.11534486400666</v>
      </c>
      <c r="CZ100" s="59">
        <f t="shared" si="96"/>
        <v>174.29856796517652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56.315745006762434</v>
      </c>
      <c r="DG100" s="21">
        <f>EXP(-LN(2)/25)*DG99+(1-EXP(-LN(2)/25))/(LN(2)/25)*Calculateur!DB100*Calculateur!DD100*VLOOKUP('Données projet'!$B$13,Paramètres!$A$1:$I$89,3,0)*0.475*44/12</f>
        <v>15.768099907196557</v>
      </c>
      <c r="DH100" s="21">
        <f>EXP(-LN(2)/2)*DH99+(1-EXP(-LN(2)/2))/(LN(2)/2)*DB100*DE100*VLOOKUP('Données projet'!$B$13,Paramètres!$A$1:$I$89,3,0)*0.475*44/12</f>
        <v>5.6230445412424258E-2</v>
      </c>
      <c r="DI100" s="22">
        <f t="shared" si="69"/>
        <v>72.140075359371409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4.75</v>
      </c>
      <c r="DO100" s="12">
        <f>IF('Données projet'!$A$166&gt;35,DO99+DN100-DW99,IF(A100&lt;'Données projet'!$A$166,$DL$205^A100,IF(A100='Données projet'!$A$166,'Données projet'!$B$166,DO99+DN100-DW99)))</f>
        <v>187.24999999999991</v>
      </c>
      <c r="DP100" s="17">
        <f>DO100*VLOOKUP('Données projet'!$B$14,Paramètres!$A$1:$I$89,3,0)*VLOOKUP('Données projet'!$B$14,Paramètres!$A$1:$I$89,5,0)</f>
        <v>189.87149999999994</v>
      </c>
      <c r="DQ100" s="13">
        <f t="shared" si="97"/>
        <v>47.511542207173193</v>
      </c>
      <c r="DR100" s="20">
        <f t="shared" si="70"/>
        <v>413.44213184415986</v>
      </c>
      <c r="DS100" s="59">
        <f t="shared" si="71"/>
        <v>706.77546517749317</v>
      </c>
      <c r="DT100" s="59">
        <f ca="1">AVERAGE(OFFSET($DS$3,0,0,'Données projet'!$E$14+1,1))-AVERAGE(OFFSET($H$3,0,0,'Données projet'!$E$14+1,1))</f>
        <v>247.92503505485405</v>
      </c>
      <c r="DU100" s="59">
        <f t="shared" si="98"/>
        <v>148.26437652597514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4.6945348171344703</v>
      </c>
      <c r="EB100" s="21">
        <f>EXP(-LN(2)/25)*EB99+(1-EXP(-LN(2)/25))/(LN(2)/25)*Calculateur!DW100*Calculateur!DY100*VLOOKUP('Données projet'!$B$14,Paramètres!$A$1:$I$89,3,0)*0.475*44/12</f>
        <v>21.602889217845945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26.297424034980416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4.75</v>
      </c>
      <c r="EJ100" s="12">
        <f>IF('Données projet'!$A$192&gt;35,EJ99+EI100-ER99,IF(A100&lt;'Données projet'!$A$192,$EG$205^A100,IF(A100='Données projet'!$A$192,'Données projet'!$B$192,EJ99+EI100-ER99)))</f>
        <v>187.24999999999991</v>
      </c>
      <c r="EK100" s="17">
        <f>EJ100*VLOOKUP('Données projet'!$B$15,Paramètres!$A$1:$I$89,3,0)*VLOOKUP('Données projet'!$B$15,Paramètres!$A$1:$I$89,5,0)</f>
        <v>181.10819999999993</v>
      </c>
      <c r="EL100" s="13">
        <f t="shared" si="99"/>
        <v>45.568652106174667</v>
      </c>
      <c r="EM100" s="20">
        <f t="shared" si="73"/>
        <v>394.79551741825406</v>
      </c>
      <c r="EN100" s="59">
        <f t="shared" si="74"/>
        <v>688.12885075158738</v>
      </c>
      <c r="EO100" s="59">
        <f ca="1">AVERAGE(OFFSET($EN$3,0,0,'Données projet'!$E$15+1,1))-AVERAGE(OFFSET($H$3,0,0,'Données projet'!$E$15+1,1))</f>
        <v>232.99870507181964</v>
      </c>
      <c r="EP100" s="59">
        <f t="shared" si="100"/>
        <v>140.07662669226278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4.4778639794205723</v>
      </c>
      <c r="EW100" s="21">
        <f>EXP(-LN(2)/25)*EW99+(1-EXP(-LN(2)/25))/(LN(2)/25)*Calculateur!ER100*Calculateur!ET100*VLOOKUP('Données projet'!$B$15,Paramètres!$A$1:$I$89,3,0)*0.475*44/12</f>
        <v>20.605832792406893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25.083696771827466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5.6843418860808015E-14</v>
      </c>
      <c r="FF100" s="17">
        <f>FE100*VLOOKUP('Données projet'!$B$16,Paramètres!$A$1:$I$89,3,0)*VLOOKUP('Données projet'!$B$16,Paramètres!$A$1:$I$89,5,0)</f>
        <v>4.4337866711430253E-14</v>
      </c>
      <c r="FG100" s="13">
        <f t="shared" si="101"/>
        <v>7.3222115536967035E-13</v>
      </c>
      <c r="FH100" s="20">
        <f t="shared" si="76"/>
        <v>1.3525069634579169E-12</v>
      </c>
      <c r="FI100" s="59">
        <f t="shared" si="77"/>
        <v>293.33333333333468</v>
      </c>
      <c r="FJ100" s="59">
        <f ca="1">AVERAGE(OFFSET($FI$3,0,0,'Données projet'!$E$16+1,1))-AVERAGE(OFFSET($H$3,0,0,'Données projet'!$E$16+1,1))</f>
        <v>193.47609744163839</v>
      </c>
      <c r="FK100" s="59">
        <f t="shared" si="102"/>
        <v>170.3221892406973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44.794247785623085</v>
      </c>
      <c r="FR100" s="21">
        <f>EXP(-LN(2)/25)*FR99+(1-EXP(-LN(2)/25))/(LN(2)/25)*Calculateur!FM100*Calculateur!FO100*VLOOKUP('Données projet'!$B$16,Paramètres!$A$1:$I$89,3,0)*0.475*44/12</f>
        <v>12.542143840352418</v>
      </c>
      <c r="FS100" s="21">
        <f>EXP(-LN(2)/2)*FS99+(1-EXP(-LN(2)/2))/(LN(2)/2)*FM100*FP100*VLOOKUP('Données projet'!$B$16,Paramètres!$A$1:$I$89,3,0)*0.475*44/12</f>
        <v>5.5127887659239538E-2</v>
      </c>
      <c r="FT100" s="22">
        <f t="shared" si="78"/>
        <v>57.391519513634741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>
        <f>FZ100*VLOOKUP('Données projet'!$B$17,Paramètres!$A$1:$I$89,3,0)*VLOOKUP('Données projet'!$B$17,Paramètres!$A$1:$I$89,5,0)</f>
        <v>0</v>
      </c>
      <c r="GB100" s="13" t="e">
        <f t="shared" si="103"/>
        <v>#NUM!</v>
      </c>
      <c r="GC100" s="20" t="e">
        <f t="shared" si="79"/>
        <v>#NUM!</v>
      </c>
      <c r="GD100" s="59" t="e">
        <f t="shared" si="80"/>
        <v>#NUM!</v>
      </c>
      <c r="GE100" s="59">
        <f ca="1">AVERAGE(OFFSET($GD$3,0,0,'Données projet'!$E$17+1,1))-AVERAGE(OFFSET($H$3,0,0,'Données projet'!$E$17+1,1))</f>
        <v>153.43773674911449</v>
      </c>
      <c r="GF100" s="59">
        <f t="shared" si="104"/>
        <v>235.49395036616602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58.881676059984493</v>
      </c>
      <c r="GM100" s="21">
        <f>EXP(-LN(2)/25)*GM99+(1-EXP(-LN(2)/25))/(LN(2)/25)*Calculateur!GH100*Calculateur!GJ100*VLOOKUP('Données projet'!$B$17,Paramètres!$A$1:$I$89,3,0)*0.475*44/12</f>
        <v>30.788727432309649</v>
      </c>
      <c r="GN100" s="21">
        <f>EXP(-LN(2)/2)*GN99+(1-EXP(-LN(2)/2))/(LN(2)/2)*GH100*GK100*VLOOKUP('Données projet'!$B$17,Paramètres!$A$1:$I$89,3,0)*0.475*44/12</f>
        <v>0</v>
      </c>
      <c r="GO100" s="21">
        <f t="shared" si="81"/>
        <v>89.670403492294142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5.6843418860808015E-14</v>
      </c>
      <c r="GV100" s="17">
        <f>GU100*VLOOKUP('Données projet'!$B$18,Paramètres!$A$1:$I$89,3,0)*VLOOKUP('Données projet'!$B$18,Paramètres!$A$1:$I$89,5,0)</f>
        <v>4.5224624045658861E-14</v>
      </c>
      <c r="GW100" s="13">
        <f t="shared" si="105"/>
        <v>7.4514601661523691E-13</v>
      </c>
      <c r="GX100" s="20">
        <f t="shared" si="82"/>
        <v>1.3765621991510601E-12</v>
      </c>
      <c r="GY100" s="59">
        <f t="shared" si="83"/>
        <v>293.33333333333468</v>
      </c>
      <c r="GZ100" s="59">
        <f ca="1">AVERAGE(OFFSET($GY$3,0,0,'Données projet'!$E$18+1,1))-AVERAGE(OFFSET($H$3,0,0,'Données projet'!$E$18+1,1))</f>
        <v>198.11534486400666</v>
      </c>
      <c r="HA100" s="59">
        <f t="shared" si="106"/>
        <v>174.29856796517652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>
        <f>EXP(-LN(2)/35)*HG99+(1-EXP(-LN(2)/35))/(LN(2)/35)*HC100*HD100*VLOOKUP('Données projet'!$B$18,Paramètres!$A$1:$I$89,3,0)*0.475*44/12</f>
        <v>56.315745006762434</v>
      </c>
      <c r="HH100" s="21">
        <f>EXP(-LN(2)/25)*HH99+(1-EXP(-LN(2)/25))/(LN(2)/25)*Calculateur!HC100*Calculateur!HE100*VLOOKUP('Données projet'!$B$18,Paramètres!$A$1:$I$89,3,0)*0.475*44/12</f>
        <v>15.768099907196557</v>
      </c>
      <c r="HI100" s="21">
        <f>EXP(-LN(2)/2)*HI99+(1-EXP(-LN(2)/2))/(LN(2)/2)*HC100*HF100*VLOOKUP('Données projet'!$B$18,Paramètres!$A$1:$I$89,3,0)*0.475*44/12</f>
        <v>5.6230445412424258E-2</v>
      </c>
      <c r="HJ100" s="22">
        <f t="shared" si="84"/>
        <v>72.140075359371409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2.8</v>
      </c>
      <c r="N101" s="13">
        <f>IF('Données projet'!$A$36&gt;35,N100+M101-V100,IF(A101&lt;'Données projet'!$A$36,$K$205^A101,IF(A101='Données projet'!$A$36,'Données projet'!$B$36,N100+M101-V100)))</f>
        <v>484.40000000000009</v>
      </c>
      <c r="O101" s="13">
        <f>N101*VLOOKUP('Données projet'!$B$9,Paramètres!$A$1:$I$89,3,0)*VLOOKUP('Données projet'!$B$9,Paramètres!$A$1:$I$89,5,0)</f>
        <v>289.67120000000006</v>
      </c>
      <c r="P101" s="13">
        <f t="shared" si="87"/>
        <v>69.0067548099166</v>
      </c>
      <c r="Q101" s="20">
        <f t="shared" si="107"/>
        <v>624.6974379606047</v>
      </c>
      <c r="R101" s="59">
        <f t="shared" si="55"/>
        <v>918.03077129393796</v>
      </c>
      <c r="S101" s="59">
        <f ca="1">AVERAGE(OFFSET($R$3,0,0,'Données projet'!$E$9+1,1))-AVERAGE(OFFSET($H$3,0,0,'Données projet'!$E$9+1,1))</f>
        <v>295.19075440119076</v>
      </c>
      <c r="T101" s="59">
        <f t="shared" si="88"/>
        <v>173.0182327988216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11.756176104963364</v>
      </c>
      <c r="AA101" s="21">
        <f>EXP(-LN(2)/25)*AA100+(1-EXP(-LN(2)/25))/(LN(2)/25)*Calculateur!V101*Calculateur!X101*VLOOKUP('Données projet'!$B$9,Paramètres!$A$1:$I$89,3,0)*0.475*44/12</f>
        <v>14.138477528411975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25.894653633375341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294.45857786714919</v>
      </c>
      <c r="AO101" s="59">
        <f t="shared" si="90"/>
        <v>221.9773436301067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128.43271138048792</v>
      </c>
      <c r="AV101" s="21">
        <f>EXP(-LN(2)/25)*AV100+(1-EXP(-LN(2)/25))/(LN(2)/25)*Calculateur!AQ101*Calculateur!AS101*VLOOKUP('Données projet'!$B$10,Paramètres!$A$1:$I$89,3,0)*0.475*44/12</f>
        <v>61.040268919783919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189.47298030027184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179.44051550872138</v>
      </c>
      <c r="BJ101" s="59">
        <f t="shared" si="92"/>
        <v>272.9500808380069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65.973762636256438</v>
      </c>
      <c r="BQ101" s="21">
        <f>EXP(-LN(2)/25)*BQ100+(1-EXP(-LN(2)/25))/(LN(2)/25)*Calculateur!BL101*Calculateur!BN101*VLOOKUP('Données projet'!$B$11,Paramètres!$A$1:$I$89,3,0)*0.475*44/12</f>
        <v>34.224923498930686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100.19868613518713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18.5</v>
      </c>
      <c r="BY101" s="12">
        <f>IF('Données projet'!$A$114&gt;35,BY100+BX101-CG100,IF(A101&lt;'Données projet'!$A$114,$BV$205^A101,IF(A101='Données projet'!$A$114,'Données projet'!$B$114,BY100+BX101-CG100)))</f>
        <v>640.99999999999966</v>
      </c>
      <c r="BZ101" s="13">
        <f>BY101*VLOOKUP('Données projet'!$B$12,Paramètres!$A$1:$I$89,3,0)*VLOOKUP('Données projet'!$B$12,Paramètres!$A$1:$I$89,5,0)</f>
        <v>299.98799999999983</v>
      </c>
      <c r="CA101" s="13">
        <f t="shared" si="93"/>
        <v>71.173947808906632</v>
      </c>
      <c r="CB101" s="20">
        <f t="shared" si="64"/>
        <v>646.44039243384543</v>
      </c>
      <c r="CC101" s="59">
        <f t="shared" si="65"/>
        <v>939.7737257671788</v>
      </c>
      <c r="CD101" s="59">
        <f ca="1">AVERAGE(OFFSET($CC$3,0,0,'Données projet'!$E$12+1,1))-AVERAGE(OFFSET($H$3,0,0,'Données projet'!$E$12+1,1))</f>
        <v>259.87681411271632</v>
      </c>
      <c r="CE101" s="59">
        <f t="shared" si="94"/>
        <v>191.8684235641158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59.632829209570218</v>
      </c>
      <c r="CL101" s="21">
        <f>EXP(-LN(2)/25)*CL100+(1-EXP(-LN(2)/25))/(LN(2)/25)*Calculateur!CG101*Calculateur!CI101*VLOOKUP('Données projet'!$B$12,Paramètres!$A$1:$I$89,3,0)*0.475*44/12</f>
        <v>42.843615659553031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102.47644486912324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5.6843418860808015E-14</v>
      </c>
      <c r="CU101" s="17">
        <f>CT101*VLOOKUP('Données projet'!$B$13,Paramètres!$A$1:$I$89,3,0)*VLOOKUP('Données projet'!$B$13,Paramètres!$A$1:$I$89,5,0)</f>
        <v>4.5224624045658861E-14</v>
      </c>
      <c r="CV101" s="13">
        <f t="shared" si="95"/>
        <v>7.4514601661523691E-13</v>
      </c>
      <c r="CW101" s="20">
        <f t="shared" si="67"/>
        <v>1.3765621991510601E-12</v>
      </c>
      <c r="CX101" s="59">
        <f t="shared" si="68"/>
        <v>293.33333333333468</v>
      </c>
      <c r="CY101" s="59">
        <f ca="1">AVERAGE(OFFSET($CX$3,0,0,'Données projet'!$E$13+1,1))-AVERAGE(OFFSET($H$3,0,0,'Données projet'!$E$13+1,1))</f>
        <v>198.11534486400666</v>
      </c>
      <c r="CZ101" s="59">
        <f t="shared" si="96"/>
        <v>174.29856796517652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55.211427596392575</v>
      </c>
      <c r="DG101" s="21">
        <f>EXP(-LN(2)/25)*DG100+(1-EXP(-LN(2)/25))/(LN(2)/25)*Calculateur!DB101*Calculateur!DD101*VLOOKUP('Données projet'!$B$13,Paramètres!$A$1:$I$89,3,0)*0.475*44/12</f>
        <v>15.336920386025932</v>
      </c>
      <c r="DH101" s="21">
        <f>EXP(-LN(2)/2)*DH100+(1-EXP(-LN(2)/2))/(LN(2)/2)*DB101*DE101*VLOOKUP('Données projet'!$B$13,Paramètres!$A$1:$I$89,3,0)*0.475*44/12</f>
        <v>3.9760929260265185E-2</v>
      </c>
      <c r="DI101" s="22">
        <f t="shared" si="69"/>
        <v>70.588108911678773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4.75</v>
      </c>
      <c r="DO101" s="12">
        <f>IF('Données projet'!$A$166&gt;35,DO100+DN101-DW100,IF(A101&lt;'Données projet'!$A$166,$DL$205^A101,IF(A101='Données projet'!$A$166,'Données projet'!$B$166,DO100+DN101-DW100)))</f>
        <v>191.99999999999991</v>
      </c>
      <c r="DP101" s="17">
        <f>DO101*VLOOKUP('Données projet'!$B$14,Paramètres!$A$1:$I$89,3,0)*VLOOKUP('Données projet'!$B$14,Paramètres!$A$1:$I$89,5,0)</f>
        <v>194.68799999999993</v>
      </c>
      <c r="DQ101" s="13">
        <f t="shared" si="97"/>
        <v>48.574928228914978</v>
      </c>
      <c r="DR101" s="20">
        <f t="shared" si="70"/>
        <v>423.68293333202678</v>
      </c>
      <c r="DS101" s="59">
        <f t="shared" si="71"/>
        <v>717.01626666536004</v>
      </c>
      <c r="DT101" s="59">
        <f ca="1">AVERAGE(OFFSET($DS$3,0,0,'Données projet'!$E$14+1,1))-AVERAGE(OFFSET($H$3,0,0,'Données projet'!$E$14+1,1))</f>
        <v>247.92503505485405</v>
      </c>
      <c r="DU101" s="59">
        <f t="shared" si="98"/>
        <v>148.26437652597514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4.6024778527539665</v>
      </c>
      <c r="EB101" s="21">
        <f>EXP(-LN(2)/25)*EB100+(1-EXP(-LN(2)/25))/(LN(2)/25)*Calculateur!DW101*Calculateur!DY101*VLOOKUP('Données projet'!$B$14,Paramètres!$A$1:$I$89,3,0)*0.475*44/12</f>
        <v>21.012157076137377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25.614634928891345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4.75</v>
      </c>
      <c r="EJ101" s="12">
        <f>IF('Données projet'!$A$192&gt;35,EJ100+EI101-ER100,IF(A101&lt;'Données projet'!$A$192,$EG$205^A101,IF(A101='Données projet'!$A$192,'Données projet'!$B$192,EJ100+EI101-ER100)))</f>
        <v>191.99999999999991</v>
      </c>
      <c r="EK101" s="17">
        <f>EJ101*VLOOKUP('Données projet'!$B$15,Paramètres!$A$1:$I$89,3,0)*VLOOKUP('Données projet'!$B$15,Paramètres!$A$1:$I$89,5,0)</f>
        <v>185.70239999999993</v>
      </c>
      <c r="EL101" s="13">
        <f t="shared" si="99"/>
        <v>46.588553069776786</v>
      </c>
      <c r="EM101" s="20">
        <f t="shared" si="73"/>
        <v>404.5734099298611</v>
      </c>
      <c r="EN101" s="59">
        <f t="shared" si="74"/>
        <v>697.90674326319436</v>
      </c>
      <c r="EO101" s="59">
        <f ca="1">AVERAGE(OFFSET($EN$3,0,0,'Données projet'!$E$15+1,1))-AVERAGE(OFFSET($H$3,0,0,'Données projet'!$E$15+1,1))</f>
        <v>232.99870507181964</v>
      </c>
      <c r="EP101" s="59">
        <f t="shared" si="100"/>
        <v>140.07662669226278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4.3900557980114758</v>
      </c>
      <c r="EW101" s="21">
        <f>EXP(-LN(2)/25)*EW100+(1-EXP(-LN(2)/25))/(LN(2)/25)*Calculateur!ER101*Calculateur!ET101*VLOOKUP('Données projet'!$B$15,Paramètres!$A$1:$I$89,3,0)*0.475*44/12</f>
        <v>20.042365211084874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24.432421009096352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5.6843418860808015E-14</v>
      </c>
      <c r="FF101" s="17">
        <f>FE101*VLOOKUP('Données projet'!$B$16,Paramètres!$A$1:$I$89,3,0)*VLOOKUP('Données projet'!$B$16,Paramètres!$A$1:$I$89,5,0)</f>
        <v>4.4337866711430253E-14</v>
      </c>
      <c r="FG101" s="13">
        <f t="shared" si="101"/>
        <v>7.3222115536967035E-13</v>
      </c>
      <c r="FH101" s="20">
        <f t="shared" si="76"/>
        <v>1.3525069634579169E-12</v>
      </c>
      <c r="FI101" s="59">
        <f t="shared" si="77"/>
        <v>293.33333333333468</v>
      </c>
      <c r="FJ101" s="59">
        <f ca="1">AVERAGE(OFFSET($FI$3,0,0,'Données projet'!$E$16+1,1))-AVERAGE(OFFSET($H$3,0,0,'Données projet'!$E$16+1,1))</f>
        <v>193.47609744163839</v>
      </c>
      <c r="FK101" s="59">
        <f t="shared" si="102"/>
        <v>170.3221892406973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43.915859908340366</v>
      </c>
      <c r="FR101" s="21">
        <f>EXP(-LN(2)/25)*FR100+(1-EXP(-LN(2)/25))/(LN(2)/25)*Calculateur!FM101*Calculateur!FO101*VLOOKUP('Données projet'!$B$16,Paramètres!$A$1:$I$89,3,0)*0.475*44/12</f>
        <v>12.199178257475301</v>
      </c>
      <c r="FS101" s="21">
        <f>EXP(-LN(2)/2)*FS100+(1-EXP(-LN(2)/2))/(LN(2)/2)*FM101*FP101*VLOOKUP('Données projet'!$B$16,Paramètres!$A$1:$I$89,3,0)*0.475*44/12</f>
        <v>3.8981303196338468E-2</v>
      </c>
      <c r="FT101" s="22">
        <f t="shared" si="78"/>
        <v>56.154019469012006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>
        <f>FZ101*VLOOKUP('Données projet'!$B$17,Paramètres!$A$1:$I$89,3,0)*VLOOKUP('Données projet'!$B$17,Paramètres!$A$1:$I$89,5,0)</f>
        <v>0</v>
      </c>
      <c r="GB101" s="13" t="e">
        <f t="shared" si="103"/>
        <v>#NUM!</v>
      </c>
      <c r="GC101" s="20" t="e">
        <f t="shared" si="79"/>
        <v>#NUM!</v>
      </c>
      <c r="GD101" s="59" t="e">
        <f t="shared" si="80"/>
        <v>#NUM!</v>
      </c>
      <c r="GE101" s="59">
        <f ca="1">AVERAGE(OFFSET($GD$3,0,0,'Données projet'!$E$17+1,1))-AVERAGE(OFFSET($H$3,0,0,'Données projet'!$E$17+1,1))</f>
        <v>153.43773674911449</v>
      </c>
      <c r="GF101" s="59">
        <f t="shared" si="104"/>
        <v>235.49395036616602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57.72704230672435</v>
      </c>
      <c r="GM101" s="21">
        <f>EXP(-LN(2)/25)*GM100+(1-EXP(-LN(2)/25))/(LN(2)/25)*Calculateur!GH101*Calculateur!GJ101*VLOOKUP('Données projet'!$B$17,Paramètres!$A$1:$I$89,3,0)*0.475*44/12</f>
        <v>29.946808061564333</v>
      </c>
      <c r="GN101" s="21">
        <f>EXP(-LN(2)/2)*GN100+(1-EXP(-LN(2)/2))/(LN(2)/2)*GH101*GK101*VLOOKUP('Données projet'!$B$17,Paramètres!$A$1:$I$89,3,0)*0.475*44/12</f>
        <v>0</v>
      </c>
      <c r="GO101" s="21">
        <f t="shared" si="81"/>
        <v>87.673850368288683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5.6843418860808015E-14</v>
      </c>
      <c r="GV101" s="17">
        <f>GU101*VLOOKUP('Données projet'!$B$18,Paramètres!$A$1:$I$89,3,0)*VLOOKUP('Données projet'!$B$18,Paramètres!$A$1:$I$89,5,0)</f>
        <v>4.5224624045658861E-14</v>
      </c>
      <c r="GW101" s="13">
        <f t="shared" si="105"/>
        <v>7.4514601661523691E-13</v>
      </c>
      <c r="GX101" s="20">
        <f t="shared" si="82"/>
        <v>1.3765621991510601E-12</v>
      </c>
      <c r="GY101" s="59">
        <f t="shared" si="83"/>
        <v>293.33333333333468</v>
      </c>
      <c r="GZ101" s="59">
        <f ca="1">AVERAGE(OFFSET($GY$3,0,0,'Données projet'!$E$18+1,1))-AVERAGE(OFFSET($H$3,0,0,'Données projet'!$E$18+1,1))</f>
        <v>198.11534486400666</v>
      </c>
      <c r="HA101" s="59">
        <f t="shared" si="106"/>
        <v>174.29856796517652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>
        <f>EXP(-LN(2)/35)*HG100+(1-EXP(-LN(2)/35))/(LN(2)/35)*HC101*HD101*VLOOKUP('Données projet'!$B$18,Paramètres!$A$1:$I$89,3,0)*0.475*44/12</f>
        <v>55.211427596392575</v>
      </c>
      <c r="HH101" s="21">
        <f>EXP(-LN(2)/25)*HH100+(1-EXP(-LN(2)/25))/(LN(2)/25)*Calculateur!HC101*Calculateur!HE101*VLOOKUP('Données projet'!$B$18,Paramètres!$A$1:$I$89,3,0)*0.475*44/12</f>
        <v>15.336920386025932</v>
      </c>
      <c r="HI101" s="21">
        <f>EXP(-LN(2)/2)*HI100+(1-EXP(-LN(2)/2))/(LN(2)/2)*HC101*HF101*VLOOKUP('Données projet'!$B$18,Paramètres!$A$1:$I$89,3,0)*0.475*44/12</f>
        <v>3.9760929260265185E-2</v>
      </c>
      <c r="HJ101" s="22">
        <f t="shared" si="84"/>
        <v>70.588108911678773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2.8</v>
      </c>
      <c r="N102" s="13">
        <f>IF('Données projet'!$A$36&gt;35,N101+M102-V101,IF(A102&lt;'Données projet'!$A$36,$K$205^A102,IF(A102='Données projet'!$A$36,'Données projet'!$B$36,N101+M102-V101)))</f>
        <v>487.2000000000001</v>
      </c>
      <c r="O102" s="13">
        <f>N102*VLOOKUP('Données projet'!$B$9,Paramètres!$A$1:$I$89,3,0)*VLOOKUP('Données projet'!$B$9,Paramètres!$A$1:$I$89,5,0)</f>
        <v>291.3456000000001</v>
      </c>
      <c r="P102" s="13">
        <f t="shared" si="87"/>
        <v>69.359089490698707</v>
      </c>
      <c r="Q102" s="20">
        <f t="shared" si="107"/>
        <v>628.22733419630038</v>
      </c>
      <c r="R102" s="59">
        <f t="shared" si="55"/>
        <v>921.56066752963375</v>
      </c>
      <c r="S102" s="59">
        <f ca="1">AVERAGE(OFFSET($R$3,0,0,'Données projet'!$E$9+1,1))-AVERAGE(OFFSET($H$3,0,0,'Données projet'!$E$9+1,1))</f>
        <v>295.19075440119076</v>
      </c>
      <c r="T102" s="59">
        <f t="shared" si="88"/>
        <v>173.0182327988216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11.525644662104423</v>
      </c>
      <c r="AA102" s="21">
        <f>EXP(-LN(2)/25)*AA101+(1-EXP(-LN(2)/25))/(LN(2)/25)*Calculateur!V102*Calculateur!X102*VLOOKUP('Données projet'!$B$9,Paramètres!$A$1:$I$89,3,0)*0.475*44/12</f>
        <v>13.751860116887331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25.277504778991755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294.45857786714919</v>
      </c>
      <c r="AO102" s="59">
        <f t="shared" si="90"/>
        <v>221.9773436301067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125.91422424653543</v>
      </c>
      <c r="AV102" s="21">
        <f>EXP(-LN(2)/25)*AV101+(1-EXP(-LN(2)/25))/(LN(2)/25)*Calculateur!AQ102*Calculateur!AS102*VLOOKUP('Données projet'!$B$10,Paramètres!$A$1:$I$89,3,0)*0.475*44/12</f>
        <v>59.371119556204192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185.28534380273962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179.44051550872138</v>
      </c>
      <c r="BJ102" s="59">
        <f t="shared" si="92"/>
        <v>272.9500808380069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64.68005739098129</v>
      </c>
      <c r="BQ102" s="21">
        <f>EXP(-LN(2)/25)*BQ101+(1-EXP(-LN(2)/25))/(LN(2)/25)*Calculateur!BL102*Calculateur!BN102*VLOOKUP('Données projet'!$B$11,Paramètres!$A$1:$I$89,3,0)*0.475*44/12</f>
        <v>33.289041166041919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97.969098557023216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18.5</v>
      </c>
      <c r="BY102" s="12">
        <f>IF('Données projet'!$A$114&gt;35,BY101+BX102-CG101,IF(A102&lt;'Données projet'!$A$114,$BV$205^A102,IF(A102='Données projet'!$A$114,'Données projet'!$B$114,BY101+BX102-CG101)))</f>
        <v>659.49999999999966</v>
      </c>
      <c r="BZ102" s="13">
        <f>BY102*VLOOKUP('Données projet'!$B$12,Paramètres!$A$1:$I$89,3,0)*VLOOKUP('Données projet'!$B$12,Paramètres!$A$1:$I$89,5,0)</f>
        <v>308.64599999999984</v>
      </c>
      <c r="CA102" s="13">
        <f t="shared" si="93"/>
        <v>72.985989083359797</v>
      </c>
      <c r="CB102" s="20">
        <f t="shared" si="64"/>
        <v>664.67571432018474</v>
      </c>
      <c r="CC102" s="59">
        <f t="shared" si="65"/>
        <v>958.00904765351811</v>
      </c>
      <c r="CD102" s="59">
        <f ca="1">AVERAGE(OFFSET($CC$3,0,0,'Données projet'!$E$12+1,1))-AVERAGE(OFFSET($H$3,0,0,'Données projet'!$E$12+1,1))</f>
        <v>259.87681411271632</v>
      </c>
      <c r="CE102" s="59">
        <f t="shared" si="94"/>
        <v>191.8684235641158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58.463465801204883</v>
      </c>
      <c r="CL102" s="21">
        <f>EXP(-LN(2)/25)*CL101+(1-EXP(-LN(2)/25))/(LN(2)/25)*Calculateur!CG102*Calculateur!CI102*VLOOKUP('Données projet'!$B$12,Paramètres!$A$1:$I$89,3,0)*0.475*44/12</f>
        <v>41.672054736294726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100.13552053749962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5.6843418860808015E-14</v>
      </c>
      <c r="CU102" s="17">
        <f>CT102*VLOOKUP('Données projet'!$B$13,Paramètres!$A$1:$I$89,3,0)*VLOOKUP('Données projet'!$B$13,Paramètres!$A$1:$I$89,5,0)</f>
        <v>4.5224624045658861E-14</v>
      </c>
      <c r="CV102" s="13">
        <f t="shared" si="95"/>
        <v>7.4514601661523691E-13</v>
      </c>
      <c r="CW102" s="20">
        <f t="shared" si="67"/>
        <v>1.3765621991510601E-12</v>
      </c>
      <c r="CX102" s="59">
        <f t="shared" si="68"/>
        <v>293.33333333333468</v>
      </c>
      <c r="CY102" s="59">
        <f ca="1">AVERAGE(OFFSET($CX$3,0,0,'Données projet'!$E$13+1,1))-AVERAGE(OFFSET($H$3,0,0,'Données projet'!$E$13+1,1))</f>
        <v>198.11534486400666</v>
      </c>
      <c r="CZ102" s="59">
        <f t="shared" si="96"/>
        <v>174.29856796517652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54.128765176872953</v>
      </c>
      <c r="DG102" s="21">
        <f>EXP(-LN(2)/25)*DG101+(1-EXP(-LN(2)/25))/(LN(2)/25)*Calculateur!DB102*Calculateur!DD102*VLOOKUP('Données projet'!$B$13,Paramètres!$A$1:$I$89,3,0)*0.475*44/12</f>
        <v>14.917531491536463</v>
      </c>
      <c r="DH102" s="21">
        <f>EXP(-LN(2)/2)*DH101+(1-EXP(-LN(2)/2))/(LN(2)/2)*DB102*DE102*VLOOKUP('Données projet'!$B$13,Paramètres!$A$1:$I$89,3,0)*0.475*44/12</f>
        <v>2.8115222706212129E-2</v>
      </c>
      <c r="DI102" s="22">
        <f t="shared" si="69"/>
        <v>69.074411891115616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4.75</v>
      </c>
      <c r="DO102" s="12">
        <f>IF('Données projet'!$A$166&gt;35,DO101+DN102-DW101,IF(A102&lt;'Données projet'!$A$166,$DL$205^A102,IF(A102='Données projet'!$A$166,'Données projet'!$B$166,DO101+DN102-DW101)))</f>
        <v>196.74999999999991</v>
      </c>
      <c r="DP102" s="17">
        <f>DO102*VLOOKUP('Données projet'!$B$14,Paramètres!$A$1:$I$89,3,0)*VLOOKUP('Données projet'!$B$14,Paramètres!$A$1:$I$89,5,0)</f>
        <v>199.50449999999992</v>
      </c>
      <c r="DQ102" s="13">
        <f t="shared" si="97"/>
        <v>49.635256106426247</v>
      </c>
      <c r="DR102" s="20">
        <f t="shared" si="70"/>
        <v>433.91840855202554</v>
      </c>
      <c r="DS102" s="59">
        <f t="shared" si="71"/>
        <v>727.2517418853588</v>
      </c>
      <c r="DT102" s="59">
        <f ca="1">AVERAGE(OFFSET($DS$3,0,0,'Données projet'!$E$14+1,1))-AVERAGE(OFFSET($H$3,0,0,'Données projet'!$E$14+1,1))</f>
        <v>247.92503505485405</v>
      </c>
      <c r="DU102" s="59">
        <f t="shared" si="98"/>
        <v>148.26437652597514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4.5122260692957603</v>
      </c>
      <c r="EB102" s="21">
        <f>EXP(-LN(2)/25)*EB101+(1-EXP(-LN(2)/25))/(LN(2)/25)*Calculateur!DW102*Calculateur!DY102*VLOOKUP('Données projet'!$B$14,Paramètres!$A$1:$I$89,3,0)*0.475*44/12</f>
        <v>20.437578535909083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24.949804605204843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4.75</v>
      </c>
      <c r="EJ102" s="12">
        <f>IF('Données projet'!$A$192&gt;35,EJ101+EI102-ER101,IF(A102&lt;'Données projet'!$A$192,$EG$205^A102,IF(A102='Données projet'!$A$192,'Données projet'!$B$192,EJ101+EI102-ER101)))</f>
        <v>196.74999999999991</v>
      </c>
      <c r="EK102" s="17">
        <f>EJ102*VLOOKUP('Données projet'!$B$15,Paramètres!$A$1:$I$89,3,0)*VLOOKUP('Données projet'!$B$15,Paramètres!$A$1:$I$89,5,0)</f>
        <v>190.29659999999993</v>
      </c>
      <c r="EL102" s="13">
        <f t="shared" si="99"/>
        <v>47.605520945879505</v>
      </c>
      <c r="EM102" s="20">
        <f t="shared" si="73"/>
        <v>414.34619398074</v>
      </c>
      <c r="EN102" s="59">
        <f t="shared" si="74"/>
        <v>707.67952731407331</v>
      </c>
      <c r="EO102" s="59">
        <f ca="1">AVERAGE(OFFSET($EN$3,0,0,'Données projet'!$E$15+1,1))-AVERAGE(OFFSET($H$3,0,0,'Données projet'!$E$15+1,1))</f>
        <v>232.99870507181964</v>
      </c>
      <c r="EP102" s="59">
        <f t="shared" si="100"/>
        <v>140.07662669226278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4.3039694814821097</v>
      </c>
      <c r="EW102" s="21">
        <f>EXP(-LN(2)/25)*EW101+(1-EXP(-LN(2)/25))/(LN(2)/25)*Calculateur!ER102*Calculateur!ET102*VLOOKUP('Données projet'!$B$15,Paramètres!$A$1:$I$89,3,0)*0.475*44/12</f>
        <v>19.494305680405578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23.798275161887688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5.6843418860808015E-14</v>
      </c>
      <c r="FF102" s="17">
        <f>FE102*VLOOKUP('Données projet'!$B$16,Paramètres!$A$1:$I$89,3,0)*VLOOKUP('Données projet'!$B$16,Paramètres!$A$1:$I$89,5,0)</f>
        <v>4.4337866711430253E-14</v>
      </c>
      <c r="FG102" s="13">
        <f t="shared" si="101"/>
        <v>7.3222115536967035E-13</v>
      </c>
      <c r="FH102" s="20">
        <f t="shared" si="76"/>
        <v>1.3525069634579169E-12</v>
      </c>
      <c r="FI102" s="59">
        <f t="shared" si="77"/>
        <v>293.33333333333468</v>
      </c>
      <c r="FJ102" s="59">
        <f ca="1">AVERAGE(OFFSET($FI$3,0,0,'Données projet'!$E$16+1,1))-AVERAGE(OFFSET($H$3,0,0,'Données projet'!$E$16+1,1))</f>
        <v>193.47609744163839</v>
      </c>
      <c r="FK102" s="59">
        <f t="shared" si="102"/>
        <v>170.3221892406973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43.054696681567457</v>
      </c>
      <c r="FR102" s="21">
        <f>EXP(-LN(2)/25)*FR101+(1-EXP(-LN(2)/25))/(LN(2)/25)*Calculateur!FM102*Calculateur!FO102*VLOOKUP('Données projet'!$B$16,Paramètres!$A$1:$I$89,3,0)*0.475*44/12</f>
        <v>11.865591086497735</v>
      </c>
      <c r="FS102" s="21">
        <f>EXP(-LN(2)/2)*FS101+(1-EXP(-LN(2)/2))/(LN(2)/2)*FM102*FP102*VLOOKUP('Données projet'!$B$16,Paramètres!$A$1:$I$89,3,0)*0.475*44/12</f>
        <v>2.7563943829619773E-2</v>
      </c>
      <c r="FT102" s="22">
        <f t="shared" si="78"/>
        <v>54.947851711894813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>
        <f>FZ102*VLOOKUP('Données projet'!$B$17,Paramètres!$A$1:$I$89,3,0)*VLOOKUP('Données projet'!$B$17,Paramètres!$A$1:$I$89,5,0)</f>
        <v>0</v>
      </c>
      <c r="GB102" s="13" t="e">
        <f t="shared" si="103"/>
        <v>#NUM!</v>
      </c>
      <c r="GC102" s="20" t="e">
        <f t="shared" si="79"/>
        <v>#NUM!</v>
      </c>
      <c r="GD102" s="59" t="e">
        <f t="shared" si="80"/>
        <v>#NUM!</v>
      </c>
      <c r="GE102" s="59">
        <f ca="1">AVERAGE(OFFSET($GD$3,0,0,'Données projet'!$E$17+1,1))-AVERAGE(OFFSET($H$3,0,0,'Données projet'!$E$17+1,1))</f>
        <v>153.43773674911449</v>
      </c>
      <c r="GF102" s="59">
        <f t="shared" si="104"/>
        <v>235.49395036616602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56.595050217108593</v>
      </c>
      <c r="GM102" s="21">
        <f>EXP(-LN(2)/25)*GM101+(1-EXP(-LN(2)/25))/(LN(2)/25)*Calculateur!GH102*Calculateur!GJ102*VLOOKUP('Données projet'!$B$17,Paramètres!$A$1:$I$89,3,0)*0.475*44/12</f>
        <v>29.127911020286664</v>
      </c>
      <c r="GN102" s="21">
        <f>EXP(-LN(2)/2)*GN101+(1-EXP(-LN(2)/2))/(LN(2)/2)*GH102*GK102*VLOOKUP('Données projet'!$B$17,Paramètres!$A$1:$I$89,3,0)*0.475*44/12</f>
        <v>0</v>
      </c>
      <c r="GO102" s="21">
        <f t="shared" si="81"/>
        <v>85.722961237395253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5.6843418860808015E-14</v>
      </c>
      <c r="GV102" s="17">
        <f>GU102*VLOOKUP('Données projet'!$B$18,Paramètres!$A$1:$I$89,3,0)*VLOOKUP('Données projet'!$B$18,Paramètres!$A$1:$I$89,5,0)</f>
        <v>4.5224624045658861E-14</v>
      </c>
      <c r="GW102" s="13">
        <f t="shared" si="105"/>
        <v>7.4514601661523691E-13</v>
      </c>
      <c r="GX102" s="20">
        <f t="shared" si="82"/>
        <v>1.3765621991510601E-12</v>
      </c>
      <c r="GY102" s="59">
        <f t="shared" si="83"/>
        <v>293.33333333333468</v>
      </c>
      <c r="GZ102" s="59">
        <f ca="1">AVERAGE(OFFSET($GY$3,0,0,'Données projet'!$E$18+1,1))-AVERAGE(OFFSET($H$3,0,0,'Données projet'!$E$18+1,1))</f>
        <v>198.11534486400666</v>
      </c>
      <c r="HA102" s="59">
        <f t="shared" si="106"/>
        <v>174.29856796517652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>
        <f>EXP(-LN(2)/35)*HG101+(1-EXP(-LN(2)/35))/(LN(2)/35)*HC102*HD102*VLOOKUP('Données projet'!$B$18,Paramètres!$A$1:$I$89,3,0)*0.475*44/12</f>
        <v>54.128765176872953</v>
      </c>
      <c r="HH102" s="21">
        <f>EXP(-LN(2)/25)*HH101+(1-EXP(-LN(2)/25))/(LN(2)/25)*Calculateur!HC102*Calculateur!HE102*VLOOKUP('Données projet'!$B$18,Paramètres!$A$1:$I$89,3,0)*0.475*44/12</f>
        <v>14.917531491536463</v>
      </c>
      <c r="HI102" s="21">
        <f>EXP(-LN(2)/2)*HI101+(1-EXP(-LN(2)/2))/(LN(2)/2)*HC102*HF102*VLOOKUP('Données projet'!$B$18,Paramètres!$A$1:$I$89,3,0)*0.475*44/12</f>
        <v>2.8115222706212129E-2</v>
      </c>
      <c r="HJ102" s="22">
        <f t="shared" si="84"/>
        <v>69.074411891115616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490</v>
      </c>
      <c r="L103" s="12">
        <f>VLOOKUP(A103,'Données projet'!$A$35:$I$55,9,0)</f>
        <v>2.8</v>
      </c>
      <c r="M103" s="12">
        <f t="array" ref="M103">INDEX(L:L,MIN(IF(ISNUMBER(L103:L299),ROW(L103:L299),"")))</f>
        <v>2.8</v>
      </c>
      <c r="N103" s="13">
        <f>IF('Données projet'!$A$36&gt;35,N102+M103-V102,IF(A103&lt;'Données projet'!$A$36,$K$205^A103,IF(A103='Données projet'!$A$36,'Données projet'!$B$36,N102+M103-V102)))</f>
        <v>490.00000000000011</v>
      </c>
      <c r="O103" s="13">
        <f>N103*VLOOKUP('Données projet'!$B$9,Paramètres!$A$1:$I$89,3,0)*VLOOKUP('Données projet'!$B$9,Paramètres!$A$1:$I$89,5,0)</f>
        <v>293.0200000000001</v>
      </c>
      <c r="P103" s="13">
        <f t="shared" si="87"/>
        <v>69.71118854917674</v>
      </c>
      <c r="Q103" s="20">
        <f t="shared" si="107"/>
        <v>631.75682005648298</v>
      </c>
      <c r="R103" s="59">
        <f t="shared" si="55"/>
        <v>925.09015338981635</v>
      </c>
      <c r="S103" s="59">
        <f ca="1">AVERAGE(OFFSET($R$3,0,0,'Données projet'!$E$9+1,1))-AVERAGE(OFFSET($H$3,0,0,'Données projet'!$E$9+1,1))</f>
        <v>295.19075440119076</v>
      </c>
      <c r="T103" s="59">
        <f t="shared" si="88"/>
        <v>173.0182327988216</v>
      </c>
      <c r="U103" s="15" t="str">
        <f>IF(ISNA(VLOOKUP(A103,'Données projet'!$A$35:$I$55,3,0)),0,VLOOKUP(A103,'Données projet'!$A$35:$I$55,3,0))</f>
        <v>CR</v>
      </c>
      <c r="V103" s="15">
        <f>IF(ISNA(VLOOKUP(A103,'Données projet'!$A$35:$I$55,4,0)),0,VLOOKUP(A103,'Données projet'!$A$35:$I$55,4,0))</f>
        <v>490</v>
      </c>
      <c r="W103" s="16">
        <f>IF(ISNA(VLOOKUP(A103,'Données projet'!$A$35:$I$55,5,0)),0%,VLOOKUP(A103,'Données projet'!$A$35:$I$55,5,0)*VLOOKUP('Données projet'!$B$9,Paramètres!$A$1:$I$89,7,0))</f>
        <v>0.315</v>
      </c>
      <c r="X103" s="16">
        <f>IF(ISNA(VLOOKUP(A103,'Données projet'!$A$35:$I$55,6,0)),0%,VLOOKUP(A103,'Données projet'!$A$35:$I$55,6,0)*VLOOKUP('Données projet'!$B$9,Paramètres!$A$1:$I$89,7,0))</f>
        <v>0.13500000000000001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133.74325757109131</v>
      </c>
      <c r="AA103" s="21">
        <f>EXP(-LN(2)/25)*AA102+(1-EXP(-LN(2)/25))/(LN(2)/25)*Calculateur!V103*Calculateur!X103*VLOOKUP('Données projet'!$B$9,Paramètres!$A$1:$I$89,3,0)*0.475*44/12</f>
        <v>65.645036165696766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199.38829373678806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294.45857786714919</v>
      </c>
      <c r="AO103" s="59">
        <f t="shared" si="90"/>
        <v>221.9773436301067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123.44512310915428</v>
      </c>
      <c r="AV103" s="21">
        <f>EXP(-LN(2)/25)*AV102+(1-EXP(-LN(2)/25))/(LN(2)/25)*Calculateur!AQ103*Calculateur!AS103*VLOOKUP('Données projet'!$B$10,Paramètres!$A$1:$I$89,3,0)*0.475*44/12</f>
        <v>57.747613169748305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181.1927362789026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179.44051550872138</v>
      </c>
      <c r="BJ103" s="59">
        <f t="shared" si="92"/>
        <v>272.9500808380069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63.411720916483695</v>
      </c>
      <c r="BQ103" s="21">
        <f>EXP(-LN(2)/25)*BQ102+(1-EXP(-LN(2)/25))/(LN(2)/25)*Calculateur!BL103*Calculateur!BN103*VLOOKUP('Données projet'!$B$11,Paramètres!$A$1:$I$89,3,0)*0.475*44/12</f>
        <v>32.37875058476191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95.790471501245605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678</v>
      </c>
      <c r="BW103" s="12">
        <f>VLOOKUP(A103,'Données projet'!$A$113:$I$133,9,0)</f>
        <v>18.5</v>
      </c>
      <c r="BX103" s="12">
        <f t="array" ref="BX103">INDEX(BW:BW,MIN(IF(ISNUMBER(BW103:BW299),ROW(BW103:BW299),"")))</f>
        <v>18.5</v>
      </c>
      <c r="BY103" s="12">
        <f>IF('Données projet'!$A$114&gt;35,BY102+BX103-CG102,IF(A103&lt;'Données projet'!$A$114,$BV$205^A103,IF(A103='Données projet'!$A$114,'Données projet'!$B$114,BY102+BX103-CG102)))</f>
        <v>677.99999999999966</v>
      </c>
      <c r="BZ103" s="13">
        <f>BY103*VLOOKUP('Données projet'!$B$12,Paramètres!$A$1:$I$89,3,0)*VLOOKUP('Données projet'!$B$12,Paramètres!$A$1:$I$89,5,0)</f>
        <v>317.30399999999986</v>
      </c>
      <c r="CA103" s="13">
        <f t="shared" si="93"/>
        <v>74.792122509346598</v>
      </c>
      <c r="CB103" s="20">
        <f t="shared" si="64"/>
        <v>682.90074670377828</v>
      </c>
      <c r="CC103" s="59">
        <f t="shared" si="65"/>
        <v>976.23408003711165</v>
      </c>
      <c r="CD103" s="59">
        <f ca="1">AVERAGE(OFFSET($CC$3,0,0,'Données projet'!$E$12+1,1))-AVERAGE(OFFSET($H$3,0,0,'Données projet'!$E$12+1,1))</f>
        <v>259.87681411271632</v>
      </c>
      <c r="CE103" s="59">
        <f t="shared" si="94"/>
        <v>191.8684235641158</v>
      </c>
      <c r="CF103" s="15" t="str">
        <f>IF(ISNA(VLOOKUP(A103,'Données projet'!$A$113:$I$133,3,0)),0,VLOOKUP(A103,'Données projet'!$A$113:$I$133,3,0))</f>
        <v>CR</v>
      </c>
      <c r="CG103" s="15">
        <f>IF(ISNA(VLOOKUP(A103,'Données projet'!$A$113:$I$133,4,0)),0,VLOOKUP(A103,'Données projet'!$A$113:$I$133,4,0))</f>
        <v>678</v>
      </c>
      <c r="CH103" s="16">
        <f>IF(ISNA(VLOOKUP(A103,'Données projet'!$A$113:$I$133,5,0)),0%,VLOOKUP(A103,'Données projet'!$A$113:$I$133,5,0)*VLOOKUP('Données projet'!$B$12,Paramètres!$A$1:$I$89,7,0))</f>
        <v>0.38500000000000001</v>
      </c>
      <c r="CI103" s="16">
        <f>IF(ISNA(VLOOKUP(A103,'Données projet'!$A$113:$I$133,6,0)),0%,VLOOKUP(A103,'Données projet'!$A$113:$I$133,6,0)*VLOOKUP('Données projet'!$B$12,Paramètres!$A$1:$I$89,7,0))</f>
        <v>0.16500000000000001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219.37285296401967</v>
      </c>
      <c r="CL103" s="21">
        <f>EXP(-LN(2)/25)*CL102+(1-EXP(-LN(2)/25))/(LN(2)/25)*Calculateur!CG103*Calculateur!CI103*VLOOKUP('Données projet'!$B$12,Paramètres!$A$1:$I$89,3,0)*0.475*44/12</f>
        <v>109.71156358935002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329.08441655336969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5.6843418860808015E-14</v>
      </c>
      <c r="CU103" s="17">
        <f>CT103*VLOOKUP('Données projet'!$B$13,Paramètres!$A$1:$I$89,3,0)*VLOOKUP('Données projet'!$B$13,Paramètres!$A$1:$I$89,5,0)</f>
        <v>4.5224624045658861E-14</v>
      </c>
      <c r="CV103" s="13">
        <f t="shared" si="95"/>
        <v>7.4514601661523691E-13</v>
      </c>
      <c r="CW103" s="20">
        <f t="shared" si="67"/>
        <v>1.3765621991510601E-12</v>
      </c>
      <c r="CX103" s="59">
        <f t="shared" si="68"/>
        <v>293.33333333333468</v>
      </c>
      <c r="CY103" s="59">
        <f ca="1">AVERAGE(OFFSET($CX$3,0,0,'Données projet'!$E$13+1,1))-AVERAGE(OFFSET($H$3,0,0,'Données projet'!$E$13+1,1))</f>
        <v>198.11534486400666</v>
      </c>
      <c r="CZ103" s="59">
        <f t="shared" si="96"/>
        <v>174.29856796517652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53.067333107041243</v>
      </c>
      <c r="DG103" s="21">
        <f>EXP(-LN(2)/25)*DG102+(1-EXP(-LN(2)/25))/(LN(2)/25)*Calculateur!DB103*Calculateur!DD103*VLOOKUP('Données projet'!$B$13,Paramètres!$A$1:$I$89,3,0)*0.475*44/12</f>
        <v>14.509610808421511</v>
      </c>
      <c r="DH103" s="21">
        <f>EXP(-LN(2)/2)*DH102+(1-EXP(-LN(2)/2))/(LN(2)/2)*DB103*DE103*VLOOKUP('Données projet'!$B$13,Paramètres!$A$1:$I$89,3,0)*0.475*44/12</f>
        <v>1.9880464630132592E-2</v>
      </c>
      <c r="DI103" s="22">
        <f t="shared" si="69"/>
        <v>67.596824380092883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4.75</v>
      </c>
      <c r="DO103" s="12">
        <f>IF('Données projet'!$A$166&gt;35,DO102+DN103-DW102,IF(A103&lt;'Données projet'!$A$166,$DL$205^A103,IF(A103='Données projet'!$A$166,'Données projet'!$B$166,DO102+DN103-DW102)))</f>
        <v>201.49999999999991</v>
      </c>
      <c r="DP103" s="17">
        <f>DO103*VLOOKUP('Données projet'!$B$14,Paramètres!$A$1:$I$89,3,0)*VLOOKUP('Données projet'!$B$14,Paramètres!$A$1:$I$89,5,0)</f>
        <v>204.32099999999991</v>
      </c>
      <c r="DQ103" s="13">
        <f t="shared" si="97"/>
        <v>50.692608164738445</v>
      </c>
      <c r="DR103" s="20">
        <f t="shared" si="70"/>
        <v>444.14870088691924</v>
      </c>
      <c r="DS103" s="59">
        <f t="shared" si="71"/>
        <v>737.48203422025256</v>
      </c>
      <c r="DT103" s="59">
        <f ca="1">AVERAGE(OFFSET($DS$3,0,0,'Données projet'!$E$14+1,1))-AVERAGE(OFFSET($H$3,0,0,'Données projet'!$E$14+1,1))</f>
        <v>247.92503505485405</v>
      </c>
      <c r="DU103" s="59">
        <f t="shared" si="98"/>
        <v>148.26437652597514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4.4237440682630167</v>
      </c>
      <c r="EB103" s="21">
        <f>EXP(-LN(2)/25)*EB102+(1-EXP(-LN(2)/25))/(LN(2)/25)*Calculateur!DW103*Calculateur!DY103*VLOOKUP('Données projet'!$B$14,Paramètres!$A$1:$I$89,3,0)*0.475*44/12</f>
        <v>19.878711876079105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24.302455944342121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4.75</v>
      </c>
      <c r="EJ103" s="12">
        <f>IF('Données projet'!$A$192&gt;35,EJ102+EI103-ER102,IF(A103&lt;'Données projet'!$A$192,$EG$205^A103,IF(A103='Données projet'!$A$192,'Données projet'!$B$192,EJ102+EI103-ER102)))</f>
        <v>201.49999999999991</v>
      </c>
      <c r="EK103" s="17">
        <f>EJ103*VLOOKUP('Données projet'!$B$15,Paramètres!$A$1:$I$89,3,0)*VLOOKUP('Données projet'!$B$15,Paramètres!$A$1:$I$89,5,0)</f>
        <v>194.89079999999993</v>
      </c>
      <c r="EL103" s="13">
        <f t="shared" si="99"/>
        <v>48.619634692995454</v>
      </c>
      <c r="EM103" s="20">
        <f t="shared" si="73"/>
        <v>424.11400709030028</v>
      </c>
      <c r="EN103" s="59">
        <f t="shared" si="74"/>
        <v>717.44734042363359</v>
      </c>
      <c r="EO103" s="59">
        <f ca="1">AVERAGE(OFFSET($EN$3,0,0,'Données projet'!$E$15+1,1))-AVERAGE(OFFSET($H$3,0,0,'Données projet'!$E$15+1,1))</f>
        <v>232.99870507181964</v>
      </c>
      <c r="EP103" s="59">
        <f t="shared" si="100"/>
        <v>140.07662669226278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4.2195712651124158</v>
      </c>
      <c r="EW103" s="21">
        <f>EXP(-LN(2)/25)*EW102+(1-EXP(-LN(2)/25))/(LN(2)/25)*Calculateur!ER103*Calculateur!ET103*VLOOKUP('Données projet'!$B$15,Paramètres!$A$1:$I$89,3,0)*0.475*44/12</f>
        <v>18.961232866413905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23.180804131526322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5.6843418860808015E-14</v>
      </c>
      <c r="FF103" s="17">
        <f>FE103*VLOOKUP('Données projet'!$B$16,Paramètres!$A$1:$I$89,3,0)*VLOOKUP('Données projet'!$B$16,Paramètres!$A$1:$I$89,5,0)</f>
        <v>4.4337866711430253E-14</v>
      </c>
      <c r="FG103" s="13">
        <f t="shared" si="101"/>
        <v>7.3222115536967035E-13</v>
      </c>
      <c r="FH103" s="20">
        <f t="shared" si="76"/>
        <v>1.3525069634579169E-12</v>
      </c>
      <c r="FI103" s="59">
        <f t="shared" si="77"/>
        <v>293.33333333333468</v>
      </c>
      <c r="FJ103" s="59">
        <f ca="1">AVERAGE(OFFSET($FI$3,0,0,'Données projet'!$E$16+1,1))-AVERAGE(OFFSET($H$3,0,0,'Données projet'!$E$16+1,1))</f>
        <v>193.47609744163839</v>
      </c>
      <c r="FK103" s="59">
        <f t="shared" si="102"/>
        <v>170.3221892406973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42.210420340413862</v>
      </c>
      <c r="FR103" s="21">
        <f>EXP(-LN(2)/25)*FR102+(1-EXP(-LN(2)/25))/(LN(2)/25)*Calculateur!FM103*Calculateur!FO103*VLOOKUP('Données projet'!$B$16,Paramètres!$A$1:$I$89,3,0)*0.475*44/12</f>
        <v>11.541125874253138</v>
      </c>
      <c r="FS103" s="21">
        <f>EXP(-LN(2)/2)*FS102+(1-EXP(-LN(2)/2))/(LN(2)/2)*FM103*FP103*VLOOKUP('Données projet'!$B$16,Paramètres!$A$1:$I$89,3,0)*0.475*44/12</f>
        <v>1.9490651598169238E-2</v>
      </c>
      <c r="FT103" s="22">
        <f t="shared" si="78"/>
        <v>53.77103686626517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>
        <f>FZ103*VLOOKUP('Données projet'!$B$17,Paramètres!$A$1:$I$89,3,0)*VLOOKUP('Données projet'!$B$17,Paramètres!$A$1:$I$89,5,0)</f>
        <v>0</v>
      </c>
      <c r="GB103" s="13" t="e">
        <f t="shared" si="103"/>
        <v>#NUM!</v>
      </c>
      <c r="GC103" s="20" t="e">
        <f t="shared" si="79"/>
        <v>#NUM!</v>
      </c>
      <c r="GD103" s="59" t="e">
        <f t="shared" si="80"/>
        <v>#NUM!</v>
      </c>
      <c r="GE103" s="59">
        <f ca="1">AVERAGE(OFFSET($GD$3,0,0,'Données projet'!$E$17+1,1))-AVERAGE(OFFSET($H$3,0,0,'Données projet'!$E$17+1,1))</f>
        <v>153.43773674911449</v>
      </c>
      <c r="GF103" s="59">
        <f t="shared" si="104"/>
        <v>235.49395036616602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55.485255801923202</v>
      </c>
      <c r="GM103" s="21">
        <f>EXP(-LN(2)/25)*GM102+(1-EXP(-LN(2)/25))/(LN(2)/25)*Calculateur!GH103*Calculateur!GJ103*VLOOKUP('Données projet'!$B$17,Paramètres!$A$1:$I$89,3,0)*0.475*44/12</f>
        <v>28.331406761666656</v>
      </c>
      <c r="GN103" s="21">
        <f>EXP(-LN(2)/2)*GN102+(1-EXP(-LN(2)/2))/(LN(2)/2)*GH103*GK103*VLOOKUP('Données projet'!$B$17,Paramètres!$A$1:$I$89,3,0)*0.475*44/12</f>
        <v>0</v>
      </c>
      <c r="GO103" s="21">
        <f t="shared" si="81"/>
        <v>83.816662563589858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5.6843418860808015E-14</v>
      </c>
      <c r="GV103" s="17">
        <f>GU103*VLOOKUP('Données projet'!$B$18,Paramètres!$A$1:$I$89,3,0)*VLOOKUP('Données projet'!$B$18,Paramètres!$A$1:$I$89,5,0)</f>
        <v>4.5224624045658861E-14</v>
      </c>
      <c r="GW103" s="13">
        <f t="shared" si="105"/>
        <v>7.4514601661523691E-13</v>
      </c>
      <c r="GX103" s="20">
        <f t="shared" si="82"/>
        <v>1.3765621991510601E-12</v>
      </c>
      <c r="GY103" s="59">
        <f t="shared" si="83"/>
        <v>293.33333333333468</v>
      </c>
      <c r="GZ103" s="59">
        <f ca="1">AVERAGE(OFFSET($GY$3,0,0,'Données projet'!$E$18+1,1))-AVERAGE(OFFSET($H$3,0,0,'Données projet'!$E$18+1,1))</f>
        <v>198.11534486400666</v>
      </c>
      <c r="HA103" s="59">
        <f t="shared" si="106"/>
        <v>174.29856796517652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>
        <f>EXP(-LN(2)/35)*HG102+(1-EXP(-LN(2)/35))/(LN(2)/35)*HC103*HD103*VLOOKUP('Données projet'!$B$18,Paramètres!$A$1:$I$89,3,0)*0.475*44/12</f>
        <v>53.067333107041243</v>
      </c>
      <c r="HH103" s="21">
        <f>EXP(-LN(2)/25)*HH102+(1-EXP(-LN(2)/25))/(LN(2)/25)*Calculateur!HC103*Calculateur!HE103*VLOOKUP('Données projet'!$B$18,Paramètres!$A$1:$I$89,3,0)*0.475*44/12</f>
        <v>14.509610808421511</v>
      </c>
      <c r="HI103" s="21">
        <f>EXP(-LN(2)/2)*HI102+(1-EXP(-LN(2)/2))/(LN(2)/2)*HC103*HF103*VLOOKUP('Données projet'!$B$18,Paramètres!$A$1:$I$89,3,0)*0.475*44/12</f>
        <v>1.9880464630132592E-2</v>
      </c>
      <c r="HJ103" s="22">
        <f t="shared" si="84"/>
        <v>67.596824380092883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1.1368683772161603E-13</v>
      </c>
      <c r="O104" s="13">
        <f>N104*VLOOKUP('Données projet'!$B$9,Paramètres!$A$1:$I$89,3,0)*VLOOKUP('Données projet'!$B$9,Paramètres!$A$1:$I$89,5,0)</f>
        <v>6.7984728957526396E-14</v>
      </c>
      <c r="P104" s="13">
        <f t="shared" si="87"/>
        <v>1.0682447123141398E-12</v>
      </c>
      <c r="Q104" s="20">
        <f t="shared" si="107"/>
        <v>1.978932943548152E-12</v>
      </c>
      <c r="R104" s="59">
        <f t="shared" si="55"/>
        <v>293.3333333333353</v>
      </c>
      <c r="S104" s="59">
        <f ca="1">AVERAGE(OFFSET($R$3,0,0,'Données projet'!$E$9+1,1))-AVERAGE(OFFSET($H$3,0,0,'Données projet'!$E$9+1,1))</f>
        <v>295.19075440119076</v>
      </c>
      <c r="T104" s="59">
        <f t="shared" si="88"/>
        <v>173.0182327988216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131.12063386545444</v>
      </c>
      <c r="AA104" s="21">
        <f>EXP(-LN(2)/25)*AA103+(1-EXP(-LN(2)/25))/(LN(2)/25)*Calculateur!V104*Calculateur!X104*VLOOKUP('Données projet'!$B$9,Paramètres!$A$1:$I$89,3,0)*0.475*44/12</f>
        <v>63.849969199623366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194.9706030650778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294.45857786714919</v>
      </c>
      <c r="AO104" s="59">
        <f t="shared" si="90"/>
        <v>221.9773436301067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121.02443953907419</v>
      </c>
      <c r="AV104" s="21">
        <f>EXP(-LN(2)/25)*AV103+(1-EXP(-LN(2)/25))/(LN(2)/25)*Calculateur!AQ104*Calculateur!AS104*VLOOKUP('Données projet'!$B$10,Paramètres!$A$1:$I$89,3,0)*0.475*44/12</f>
        <v>56.168501650806547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177.19294118988074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179.44051550872138</v>
      </c>
      <c r="BJ104" s="59">
        <f t="shared" si="92"/>
        <v>272.9500808380069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62.168255746642139</v>
      </c>
      <c r="BQ104" s="21">
        <f>EXP(-LN(2)/25)*BQ103+(1-EXP(-LN(2)/25))/(LN(2)/25)*Calculateur!BL104*Calculateur!BN104*VLOOKUP('Données projet'!$B$11,Paramètres!$A$1:$I$89,3,0)*0.475*44/12</f>
        <v>31.493351947297104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93.661607693939246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-3.4106051316484809E-13</v>
      </c>
      <c r="BZ104" s="13">
        <f>BY104*VLOOKUP('Données projet'!$B$12,Paramètres!$A$1:$I$89,3,0)*VLOOKUP('Données projet'!$B$12,Paramètres!$A$1:$I$89,5,0)</f>
        <v>-1.5961632016114892E-13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259.87681411271632</v>
      </c>
      <c r="CE104" s="59">
        <f t="shared" si="94"/>
        <v>191.8684235641158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215.0710851216235</v>
      </c>
      <c r="CL104" s="21">
        <f>EXP(-LN(2)/25)*CL103+(1-EXP(-LN(2)/25))/(LN(2)/25)*Calculateur!CG104*Calculateur!CI104*VLOOKUP('Données projet'!$B$12,Paramètres!$A$1:$I$89,3,0)*0.475*44/12</f>
        <v>106.71149511351886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321.78258023514235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5.6843418860808015E-14</v>
      </c>
      <c r="CU104" s="17">
        <f>CT104*VLOOKUP('Données projet'!$B$13,Paramètres!$A$1:$I$89,3,0)*VLOOKUP('Données projet'!$B$13,Paramètres!$A$1:$I$89,5,0)</f>
        <v>4.5224624045658861E-14</v>
      </c>
      <c r="CV104" s="13">
        <f t="shared" si="95"/>
        <v>7.4514601661523691E-13</v>
      </c>
      <c r="CW104" s="20">
        <f t="shared" si="67"/>
        <v>1.3765621991510601E-12</v>
      </c>
      <c r="CX104" s="59">
        <f t="shared" si="68"/>
        <v>293.33333333333468</v>
      </c>
      <c r="CY104" s="59">
        <f ca="1">AVERAGE(OFFSET($CX$3,0,0,'Données projet'!$E$13+1,1))-AVERAGE(OFFSET($H$3,0,0,'Données projet'!$E$13+1,1))</f>
        <v>198.11534486400666</v>
      </c>
      <c r="CZ104" s="59">
        <f t="shared" si="96"/>
        <v>174.29856796517652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52.026715072689299</v>
      </c>
      <c r="DG104" s="21">
        <f>EXP(-LN(2)/25)*DG103+(1-EXP(-LN(2)/25))/(LN(2)/25)*Calculateur!DB104*Calculateur!DD104*VLOOKUP('Données projet'!$B$13,Paramètres!$A$1:$I$89,3,0)*0.475*44/12</f>
        <v>14.112844737837955</v>
      </c>
      <c r="DH104" s="21">
        <f>EXP(-LN(2)/2)*DH103+(1-EXP(-LN(2)/2))/(LN(2)/2)*DB104*DE104*VLOOKUP('Données projet'!$B$13,Paramètres!$A$1:$I$89,3,0)*0.475*44/12</f>
        <v>1.4057611353106065E-2</v>
      </c>
      <c r="DI104" s="22">
        <f t="shared" si="69"/>
        <v>66.153617421880369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4.75</v>
      </c>
      <c r="DO104" s="12">
        <f>IF('Données projet'!$A$166&gt;35,DO103+DN104-DW103,IF(A104&lt;'Données projet'!$A$166,$DL$205^A104,IF(A104='Données projet'!$A$166,'Données projet'!$B$166,DO103+DN104-DW103)))</f>
        <v>206.24999999999991</v>
      </c>
      <c r="DP104" s="17">
        <f>DO104*VLOOKUP('Données projet'!$B$14,Paramètres!$A$1:$I$89,3,0)*VLOOKUP('Données projet'!$B$14,Paramètres!$A$1:$I$89,5,0)</f>
        <v>209.13749999999993</v>
      </c>
      <c r="DQ104" s="13">
        <f t="shared" si="97"/>
        <v>51.747062626146445</v>
      </c>
      <c r="DR104" s="20">
        <f t="shared" si="70"/>
        <v>454.37394657387154</v>
      </c>
      <c r="DS104" s="59">
        <f t="shared" si="71"/>
        <v>747.70727990720479</v>
      </c>
      <c r="DT104" s="59">
        <f ca="1">AVERAGE(OFFSET($DS$3,0,0,'Données projet'!$E$14+1,1))-AVERAGE(OFFSET($H$3,0,0,'Données projet'!$E$14+1,1))</f>
        <v>247.92503505485405</v>
      </c>
      <c r="DU104" s="59">
        <f t="shared" si="98"/>
        <v>148.26437652597514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4.3369971453018339</v>
      </c>
      <c r="EB104" s="21">
        <f>EXP(-LN(2)/25)*EB103+(1-EXP(-LN(2)/25))/(LN(2)/25)*Calculateur!DW104*Calculateur!DY104*VLOOKUP('Données projet'!$B$14,Paramètres!$A$1:$I$89,3,0)*0.475*44/12</f>
        <v>19.335127454451698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23.672124599753531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4.75</v>
      </c>
      <c r="EJ104" s="12">
        <f>IF('Données projet'!$A$192&gt;35,EJ103+EI104-ER103,IF(A104&lt;'Données projet'!$A$192,$EG$205^A104,IF(A104='Données projet'!$A$192,'Données projet'!$B$192,EJ103+EI104-ER103)))</f>
        <v>206.24999999999991</v>
      </c>
      <c r="EK104" s="17">
        <f>EJ104*VLOOKUP('Données projet'!$B$15,Paramètres!$A$1:$I$89,3,0)*VLOOKUP('Données projet'!$B$15,Paramètres!$A$1:$I$89,5,0)</f>
        <v>199.48499999999993</v>
      </c>
      <c r="EL104" s="13">
        <f t="shared" si="99"/>
        <v>49.630969334674425</v>
      </c>
      <c r="EM104" s="20">
        <f t="shared" si="73"/>
        <v>433.87697992455782</v>
      </c>
      <c r="EN104" s="59">
        <f t="shared" si="74"/>
        <v>727.21031325789113</v>
      </c>
      <c r="EO104" s="59">
        <f ca="1">AVERAGE(OFFSET($EN$3,0,0,'Données projet'!$E$15+1,1))-AVERAGE(OFFSET($H$3,0,0,'Données projet'!$E$15+1,1))</f>
        <v>232.99870507181964</v>
      </c>
      <c r="EP104" s="59">
        <f t="shared" si="100"/>
        <v>140.07662669226278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4.1368280462879028</v>
      </c>
      <c r="EW104" s="21">
        <f>EXP(-LN(2)/25)*EW103+(1-EXP(-LN(2)/25))/(LN(2)/25)*Calculateur!ER104*Calculateur!ET104*VLOOKUP('Données projet'!$B$15,Paramètres!$A$1:$I$89,3,0)*0.475*44/12</f>
        <v>18.442736956553915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22.579565002841818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5.6843418860808015E-14</v>
      </c>
      <c r="FF104" s="17">
        <f>FE104*VLOOKUP('Données projet'!$B$16,Paramètres!$A$1:$I$89,3,0)*VLOOKUP('Données projet'!$B$16,Paramètres!$A$1:$I$89,5,0)</f>
        <v>4.4337866711430253E-14</v>
      </c>
      <c r="FG104" s="13">
        <f t="shared" si="101"/>
        <v>7.3222115536967035E-13</v>
      </c>
      <c r="FH104" s="20">
        <f t="shared" si="76"/>
        <v>1.3525069634579169E-12</v>
      </c>
      <c r="FI104" s="59">
        <f t="shared" si="77"/>
        <v>293.33333333333468</v>
      </c>
      <c r="FJ104" s="59">
        <f ca="1">AVERAGE(OFFSET($FI$3,0,0,'Données projet'!$E$16+1,1))-AVERAGE(OFFSET($H$3,0,0,'Données projet'!$E$16+1,1))</f>
        <v>193.47609744163839</v>
      </c>
      <c r="FK104" s="59">
        <f t="shared" si="102"/>
        <v>170.3221892406973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41.382699743352568</v>
      </c>
      <c r="FR104" s="21">
        <f>EXP(-LN(2)/25)*FR103+(1-EXP(-LN(2)/25))/(LN(2)/25)*Calculateur!FM104*Calculateur!FO104*VLOOKUP('Données projet'!$B$16,Paramètres!$A$1:$I$89,3,0)*0.475*44/12</f>
        <v>11.225533180300253</v>
      </c>
      <c r="FS104" s="21">
        <f>EXP(-LN(2)/2)*FS103+(1-EXP(-LN(2)/2))/(LN(2)/2)*FM104*FP104*VLOOKUP('Données projet'!$B$16,Paramètres!$A$1:$I$89,3,0)*0.475*44/12</f>
        <v>1.3781971914809888E-2</v>
      </c>
      <c r="FT104" s="22">
        <f t="shared" si="78"/>
        <v>52.622014895567631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>
        <f>FZ104*VLOOKUP('Données projet'!$B$17,Paramètres!$A$1:$I$89,3,0)*VLOOKUP('Données projet'!$B$17,Paramètres!$A$1:$I$89,5,0)</f>
        <v>0</v>
      </c>
      <c r="GB104" s="13" t="e">
        <f t="shared" si="103"/>
        <v>#NUM!</v>
      </c>
      <c r="GC104" s="20" t="e">
        <f t="shared" si="79"/>
        <v>#NUM!</v>
      </c>
      <c r="GD104" s="59" t="e">
        <f t="shared" si="80"/>
        <v>#NUM!</v>
      </c>
      <c r="GE104" s="59">
        <f ca="1">AVERAGE(OFFSET($GD$3,0,0,'Données projet'!$E$17+1,1))-AVERAGE(OFFSET($H$3,0,0,'Données projet'!$E$17+1,1))</f>
        <v>153.43773674911449</v>
      </c>
      <c r="GF104" s="59">
        <f t="shared" si="104"/>
        <v>235.49395036616602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54.39722377831184</v>
      </c>
      <c r="GM104" s="21">
        <f>EXP(-LN(2)/25)*GM103+(1-EXP(-LN(2)/25))/(LN(2)/25)*Calculateur!GH104*Calculateur!GJ104*VLOOKUP('Données projet'!$B$17,Paramètres!$A$1:$I$89,3,0)*0.475*44/12</f>
        <v>27.556682953884952</v>
      </c>
      <c r="GN104" s="21">
        <f>EXP(-LN(2)/2)*GN103+(1-EXP(-LN(2)/2))/(LN(2)/2)*GH104*GK104*VLOOKUP('Données projet'!$B$17,Paramètres!$A$1:$I$89,3,0)*0.475*44/12</f>
        <v>0</v>
      </c>
      <c r="GO104" s="21">
        <f t="shared" si="81"/>
        <v>81.953906732196799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5.6843418860808015E-14</v>
      </c>
      <c r="GV104" s="17">
        <f>GU104*VLOOKUP('Données projet'!$B$18,Paramètres!$A$1:$I$89,3,0)*VLOOKUP('Données projet'!$B$18,Paramètres!$A$1:$I$89,5,0)</f>
        <v>4.5224624045658861E-14</v>
      </c>
      <c r="GW104" s="13">
        <f t="shared" si="105"/>
        <v>7.4514601661523691E-13</v>
      </c>
      <c r="GX104" s="20">
        <f t="shared" si="82"/>
        <v>1.3765621991510601E-12</v>
      </c>
      <c r="GY104" s="59">
        <f t="shared" si="83"/>
        <v>293.33333333333468</v>
      </c>
      <c r="GZ104" s="59">
        <f ca="1">AVERAGE(OFFSET($GY$3,0,0,'Données projet'!$E$18+1,1))-AVERAGE(OFFSET($H$3,0,0,'Données projet'!$E$18+1,1))</f>
        <v>198.11534486400666</v>
      </c>
      <c r="HA104" s="59">
        <f t="shared" si="106"/>
        <v>174.29856796517652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>
        <f>EXP(-LN(2)/35)*HG103+(1-EXP(-LN(2)/35))/(LN(2)/35)*HC104*HD104*VLOOKUP('Données projet'!$B$18,Paramètres!$A$1:$I$89,3,0)*0.475*44/12</f>
        <v>52.026715072689299</v>
      </c>
      <c r="HH104" s="21">
        <f>EXP(-LN(2)/25)*HH103+(1-EXP(-LN(2)/25))/(LN(2)/25)*Calculateur!HC104*Calculateur!HE104*VLOOKUP('Données projet'!$B$18,Paramètres!$A$1:$I$89,3,0)*0.475*44/12</f>
        <v>14.112844737837955</v>
      </c>
      <c r="HI104" s="21">
        <f>EXP(-LN(2)/2)*HI103+(1-EXP(-LN(2)/2))/(LN(2)/2)*HC104*HF104*VLOOKUP('Données projet'!$B$18,Paramètres!$A$1:$I$89,3,0)*0.475*44/12</f>
        <v>1.4057611353106065E-2</v>
      </c>
      <c r="HJ104" s="22">
        <f t="shared" si="84"/>
        <v>66.153617421880369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1.1368683772161603E-13</v>
      </c>
      <c r="O105" s="13">
        <f>N105*VLOOKUP('Données projet'!$B$9,Paramètres!$A$1:$I$89,3,0)*VLOOKUP('Données projet'!$B$9,Paramètres!$A$1:$I$89,5,0)</f>
        <v>6.7984728957526396E-14</v>
      </c>
      <c r="P105" s="13">
        <f t="shared" si="87"/>
        <v>1.0682447123141398E-12</v>
      </c>
      <c r="Q105" s="20">
        <f t="shared" si="107"/>
        <v>1.978932943548152E-12</v>
      </c>
      <c r="R105" s="59">
        <f t="shared" si="55"/>
        <v>293.3333333333353</v>
      </c>
      <c r="S105" s="59">
        <f ca="1">AVERAGE(OFFSET($R$3,0,0,'Données projet'!$E$9+1,1))-AVERAGE(OFFSET($H$3,0,0,'Données projet'!$E$9+1,1))</f>
        <v>295.19075440119076</v>
      </c>
      <c r="T105" s="59">
        <f t="shared" si="88"/>
        <v>173.0182327988216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128.5494382110426</v>
      </c>
      <c r="AA105" s="21">
        <f>EXP(-LN(2)/25)*AA104+(1-EXP(-LN(2)/25))/(LN(2)/25)*Calculateur!V105*Calculateur!X105*VLOOKUP('Données projet'!$B$9,Paramètres!$A$1:$I$89,3,0)*0.475*44/12</f>
        <v>62.103988434135715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190.65342664517831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294.45857786714919</v>
      </c>
      <c r="AO105" s="59">
        <f t="shared" si="90"/>
        <v>221.9773436301067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118.65122409733219</v>
      </c>
      <c r="AV105" s="21">
        <f>EXP(-LN(2)/25)*AV104+(1-EXP(-LN(2)/25))/(LN(2)/25)*Calculateur!AQ105*Calculateur!AS105*VLOOKUP('Données projet'!$B$10,Paramètres!$A$1:$I$89,3,0)*0.475*44/12</f>
        <v>54.632571019392117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173.28379511672432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179.44051550872138</v>
      </c>
      <c r="BJ105" s="59">
        <f t="shared" si="92"/>
        <v>272.9500808380069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60.94917417034231</v>
      </c>
      <c r="BQ105" s="21">
        <f>EXP(-LN(2)/25)*BQ104+(1-EXP(-LN(2)/25))/(LN(2)/25)*Calculateur!BL105*Calculateur!BN105*VLOOKUP('Données projet'!$B$11,Paramètres!$A$1:$I$89,3,0)*0.475*44/12</f>
        <v>30.632164582134866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91.58133875247718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-3.4106051316484809E-13</v>
      </c>
      <c r="BZ105" s="13">
        <f>BY105*VLOOKUP('Données projet'!$B$12,Paramètres!$A$1:$I$89,3,0)*VLOOKUP('Données projet'!$B$12,Paramètres!$A$1:$I$89,5,0)</f>
        <v>-1.5961632016114892E-13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259.87681411271632</v>
      </c>
      <c r="CE105" s="59">
        <f t="shared" si="94"/>
        <v>191.8684235641158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210.85367232279739</v>
      </c>
      <c r="CL105" s="21">
        <f>EXP(-LN(2)/25)*CL104+(1-EXP(-LN(2)/25))/(LN(2)/25)*Calculateur!CG105*Calculateur!CI105*VLOOKUP('Données projet'!$B$12,Paramètres!$A$1:$I$89,3,0)*0.475*44/12</f>
        <v>103.79346366792606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314.64713599072343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5.6843418860808015E-14</v>
      </c>
      <c r="CU105" s="17">
        <f>CT105*VLOOKUP('Données projet'!$B$13,Paramètres!$A$1:$I$89,3,0)*VLOOKUP('Données projet'!$B$13,Paramètres!$A$1:$I$89,5,0)</f>
        <v>4.5224624045658861E-14</v>
      </c>
      <c r="CV105" s="13">
        <f t="shared" si="95"/>
        <v>7.4514601661523691E-13</v>
      </c>
      <c r="CW105" s="20">
        <f t="shared" si="67"/>
        <v>1.3765621991510601E-12</v>
      </c>
      <c r="CX105" s="59">
        <f t="shared" si="68"/>
        <v>293.33333333333468</v>
      </c>
      <c r="CY105" s="59">
        <f ca="1">AVERAGE(OFFSET($CX$3,0,0,'Données projet'!$E$13+1,1))-AVERAGE(OFFSET($H$3,0,0,'Données projet'!$E$13+1,1))</f>
        <v>198.11534486400666</v>
      </c>
      <c r="CZ105" s="59">
        <f t="shared" si="96"/>
        <v>174.29856796517652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51.006502923276663</v>
      </c>
      <c r="DG105" s="21">
        <f>EXP(-LN(2)/25)*DG104+(1-EXP(-LN(2)/25))/(LN(2)/25)*Calculateur!DB105*Calculateur!DD105*VLOOKUP('Données projet'!$B$13,Paramètres!$A$1:$I$89,3,0)*0.475*44/12</f>
        <v>13.726928256319527</v>
      </c>
      <c r="DH105" s="21">
        <f>EXP(-LN(2)/2)*DH104+(1-EXP(-LN(2)/2))/(LN(2)/2)*DB105*DE105*VLOOKUP('Données projet'!$B$13,Paramètres!$A$1:$I$89,3,0)*0.475*44/12</f>
        <v>9.9402323150662962E-3</v>
      </c>
      <c r="DI105" s="22">
        <f t="shared" si="69"/>
        <v>64.743371411911255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>
        <f>VLOOKUP(A105,'Données projet'!$A$165:$I$185,2,0)</f>
        <v>211</v>
      </c>
      <c r="DM105" s="12">
        <f>VLOOKUP(A105,'Données projet'!$A$165:$I$185,9,0)</f>
        <v>4.75</v>
      </c>
      <c r="DN105" s="12">
        <f t="array" ref="DN105">INDEX(DM:DM,MIN(IF(ISNUMBER(DM105:DM301),ROW(DM105:DM301),"")))</f>
        <v>4.75</v>
      </c>
      <c r="DO105" s="12">
        <f>IF('Données projet'!$A$166&gt;35,DO104+DN105-DW104,IF(A105&lt;'Données projet'!$A$166,$DL$205^A105,IF(A105='Données projet'!$A$166,'Données projet'!$B$166,DO104+DN105-DW104)))</f>
        <v>210.99999999999991</v>
      </c>
      <c r="DP105" s="17">
        <f>DO105*VLOOKUP('Données projet'!$B$14,Paramètres!$A$1:$I$89,3,0)*VLOOKUP('Données projet'!$B$14,Paramètres!$A$1:$I$89,5,0)</f>
        <v>213.95399999999992</v>
      </c>
      <c r="DQ105" s="13">
        <f t="shared" si="97"/>
        <v>52.798693904379121</v>
      </c>
      <c r="DR105" s="20">
        <f t="shared" si="70"/>
        <v>464.59427521679351</v>
      </c>
      <c r="DS105" s="59">
        <f t="shared" si="71"/>
        <v>757.92760855012682</v>
      </c>
      <c r="DT105" s="59">
        <f ca="1">AVERAGE(OFFSET($DS$3,0,0,'Données projet'!$E$14+1,1))-AVERAGE(OFFSET($H$3,0,0,'Données projet'!$E$14+1,1))</f>
        <v>247.92503505485405</v>
      </c>
      <c r="DU105" s="59">
        <f t="shared" si="98"/>
        <v>148.26437652597514</v>
      </c>
      <c r="DV105" s="15">
        <f>IF(ISNA(VLOOKUP(A105,'Données projet'!$A$165:$I$185,3,0)),0,VLOOKUP(A105,'Données projet'!$A$165:$I$185,3,0))</f>
        <v>8</v>
      </c>
      <c r="DW105" s="15">
        <f>IF(ISNA(VLOOKUP(A105,'Données projet'!$A$165:$I$185,4,0)),0,VLOOKUP(A105,'Données projet'!$A$165:$I$185,4,0))</f>
        <v>41</v>
      </c>
      <c r="DX105" s="16">
        <f>IF(ISNA(VLOOKUP(A105,'Données projet'!$A$165:$I$185,5,0)),0%,VLOOKUP(A105,'Données projet'!$A$165:$I$185,5,0)*VLOOKUP('Données projet'!$B$14,Paramètres!$A$1:$I$89,7,0))</f>
        <v>8.6000000000000007E-2</v>
      </c>
      <c r="DY105" s="16">
        <f>IF(ISNA(VLOOKUP(A105,'Données projet'!$A$165:$I$185,6,0)),0%,VLOOKUP(A105,'Données projet'!$A$165:$I$185,6,0)*VLOOKUP('Données projet'!$B$14,Paramètres!$A$1:$I$89,7,0))</f>
        <v>0.215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8.2044102746379686</v>
      </c>
      <c r="EB105" s="21">
        <f>EXP(-LN(2)/25)*EB104+(1-EXP(-LN(2)/25))/(LN(2)/25)*Calculateur!DW105*Calculateur!DY105*VLOOKUP('Données projet'!$B$14,Paramètres!$A$1:$I$89,3,0)*0.475*44/12</f>
        <v>28.648649029840008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36.853059304477981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>
        <f>VLOOKUP(A105,'Données projet'!$A$191:$I$211,2,0)</f>
        <v>211</v>
      </c>
      <c r="EH105" s="12">
        <f>VLOOKUP(A105,'Données projet'!$A$191:$I$211,9,0)</f>
        <v>4.75</v>
      </c>
      <c r="EI105" s="12">
        <f t="array" ref="EI105">INDEX(EH:EH,MIN(IF(ISNUMBER(EH105:EH301),ROW(EH105:EH301),"")))</f>
        <v>4.75</v>
      </c>
      <c r="EJ105" s="12">
        <f>IF('Données projet'!$A$192&gt;35,EJ104+EI105-ER104,IF(A105&lt;'Données projet'!$A$192,$EG$205^A105,IF(A105='Données projet'!$A$192,'Données projet'!$B$192,EJ104+EI105-ER104)))</f>
        <v>210.99999999999991</v>
      </c>
      <c r="EK105" s="17">
        <f>EJ105*VLOOKUP('Données projet'!$B$15,Paramètres!$A$1:$I$89,3,0)*VLOOKUP('Données projet'!$B$15,Paramètres!$A$1:$I$89,5,0)</f>
        <v>204.0791999999999</v>
      </c>
      <c r="EL105" s="13">
        <f t="shared" si="99"/>
        <v>50.639596241643517</v>
      </c>
      <c r="EM105" s="20">
        <f t="shared" si="73"/>
        <v>443.63523678752887</v>
      </c>
      <c r="EN105" s="59">
        <f t="shared" si="74"/>
        <v>736.96857012086218</v>
      </c>
      <c r="EO105" s="59">
        <f ca="1">AVERAGE(OFFSET($EN$3,0,0,'Données projet'!$E$15+1,1))-AVERAGE(OFFSET($H$3,0,0,'Données projet'!$E$15+1,1))</f>
        <v>232.99870507181964</v>
      </c>
      <c r="EP105" s="59">
        <f t="shared" si="100"/>
        <v>140.07662669226278</v>
      </c>
      <c r="EQ105" s="15">
        <f>IF(ISNA(VLOOKUP(A105,'Données projet'!$A$191:$I$211,3,0)),0,VLOOKUP(A105,'Données projet'!$A$191:$I$211,3,0))</f>
        <v>8</v>
      </c>
      <c r="ER105" s="15">
        <f>IF(ISNA(VLOOKUP(A105,'Données projet'!$A$191:$I$211,4,0)),0,VLOOKUP(A105,'Données projet'!$A$191:$I$211,4,0))</f>
        <v>41</v>
      </c>
      <c r="ES105" s="16">
        <f>IF(ISNA(VLOOKUP(A105,'Données projet'!$A$191:$I$211,5,0)),0%,VLOOKUP(A105,'Données projet'!$A$191:$I$211,5,0)*VLOOKUP('Données projet'!$B$15,Paramètres!$A$1:$I$89,7,0))</f>
        <v>8.6000000000000007E-2</v>
      </c>
      <c r="ET105" s="16">
        <f>IF(ISNA(VLOOKUP(A105,'Données projet'!$A$191:$I$211,6,0)),0%,VLOOKUP(A105,'Données projet'!$A$191:$I$211,6,0)*VLOOKUP('Données projet'!$B$15,Paramètres!$A$1:$I$89,7,0))</f>
        <v>0.215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7.8257451850392918</v>
      </c>
      <c r="EW105" s="21">
        <f>EXP(-LN(2)/25)*EW104+(1-EXP(-LN(2)/25))/(LN(2)/25)*Calculateur!ER105*Calculateur!ET105*VLOOKUP('Données projet'!$B$15,Paramètres!$A$1:$I$89,3,0)*0.475*44/12</f>
        <v>27.326403690001229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35.152148875040524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5.6843418860808015E-14</v>
      </c>
      <c r="FF105" s="17">
        <f>FE105*VLOOKUP('Données projet'!$B$16,Paramètres!$A$1:$I$89,3,0)*VLOOKUP('Données projet'!$B$16,Paramètres!$A$1:$I$89,5,0)</f>
        <v>4.4337866711430253E-14</v>
      </c>
      <c r="FG105" s="13">
        <f t="shared" si="101"/>
        <v>7.3222115536967035E-13</v>
      </c>
      <c r="FH105" s="20">
        <f t="shared" si="76"/>
        <v>1.3525069634579169E-12</v>
      </c>
      <c r="FI105" s="59">
        <f t="shared" si="77"/>
        <v>293.33333333333468</v>
      </c>
      <c r="FJ105" s="59">
        <f ca="1">AVERAGE(OFFSET($FI$3,0,0,'Données projet'!$E$16+1,1))-AVERAGE(OFFSET($H$3,0,0,'Données projet'!$E$16+1,1))</f>
        <v>193.47609744163839</v>
      </c>
      <c r="FK105" s="59">
        <f t="shared" si="102"/>
        <v>170.3221892406973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40.57121024233993</v>
      </c>
      <c r="FR105" s="21">
        <f>EXP(-LN(2)/25)*FR104+(1-EXP(-LN(2)/25))/(LN(2)/25)*Calculateur!FM105*Calculateur!FO105*VLOOKUP('Données projet'!$B$16,Paramètres!$A$1:$I$89,3,0)*0.475*44/12</f>
        <v>10.918570385159809</v>
      </c>
      <c r="FS105" s="21">
        <f>EXP(-LN(2)/2)*FS104+(1-EXP(-LN(2)/2))/(LN(2)/2)*FM105*FP105*VLOOKUP('Données projet'!$B$16,Paramètres!$A$1:$I$89,3,0)*0.475*44/12</f>
        <v>9.7453257990846188E-3</v>
      </c>
      <c r="FT105" s="22">
        <f t="shared" si="78"/>
        <v>51.499525953298829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>
        <f>FZ105*VLOOKUP('Données projet'!$B$17,Paramètres!$A$1:$I$89,3,0)*VLOOKUP('Données projet'!$B$17,Paramètres!$A$1:$I$89,5,0)</f>
        <v>0</v>
      </c>
      <c r="GB105" s="13" t="e">
        <f t="shared" si="103"/>
        <v>#NUM!</v>
      </c>
      <c r="GC105" s="20" t="e">
        <f t="shared" si="79"/>
        <v>#NUM!</v>
      </c>
      <c r="GD105" s="59" t="e">
        <f t="shared" si="80"/>
        <v>#NUM!</v>
      </c>
      <c r="GE105" s="59">
        <f ca="1">AVERAGE(OFFSET($GD$3,0,0,'Données projet'!$E$17+1,1))-AVERAGE(OFFSET($H$3,0,0,'Données projet'!$E$17+1,1))</f>
        <v>153.43773674911449</v>
      </c>
      <c r="GF105" s="59">
        <f t="shared" si="104"/>
        <v>235.49395036616602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53.330527399049494</v>
      </c>
      <c r="GM105" s="21">
        <f>EXP(-LN(2)/25)*GM104+(1-EXP(-LN(2)/25))/(LN(2)/25)*Calculateur!GH105*Calculateur!GJ105*VLOOKUP('Données projet'!$B$17,Paramètres!$A$1:$I$89,3,0)*0.475*44/12</f>
        <v>26.803144009367994</v>
      </c>
      <c r="GN105" s="21">
        <f>EXP(-LN(2)/2)*GN104+(1-EXP(-LN(2)/2))/(LN(2)/2)*GH105*GK105*VLOOKUP('Données projet'!$B$17,Paramètres!$A$1:$I$89,3,0)*0.475*44/12</f>
        <v>0</v>
      </c>
      <c r="GO105" s="21">
        <f t="shared" si="81"/>
        <v>80.133671408417484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5.6843418860808015E-14</v>
      </c>
      <c r="GV105" s="17">
        <f>GU105*VLOOKUP('Données projet'!$B$18,Paramètres!$A$1:$I$89,3,0)*VLOOKUP('Données projet'!$B$18,Paramètres!$A$1:$I$89,5,0)</f>
        <v>4.5224624045658861E-14</v>
      </c>
      <c r="GW105" s="13">
        <f t="shared" si="105"/>
        <v>7.4514601661523691E-13</v>
      </c>
      <c r="GX105" s="20">
        <f t="shared" si="82"/>
        <v>1.3765621991510601E-12</v>
      </c>
      <c r="GY105" s="59">
        <f t="shared" si="83"/>
        <v>293.33333333333468</v>
      </c>
      <c r="GZ105" s="59">
        <f ca="1">AVERAGE(OFFSET($GY$3,0,0,'Données projet'!$E$18+1,1))-AVERAGE(OFFSET($H$3,0,0,'Données projet'!$E$18+1,1))</f>
        <v>198.11534486400666</v>
      </c>
      <c r="HA105" s="59">
        <f t="shared" si="106"/>
        <v>174.29856796517652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>
        <f>EXP(-LN(2)/35)*HG104+(1-EXP(-LN(2)/35))/(LN(2)/35)*HC105*HD105*VLOOKUP('Données projet'!$B$18,Paramètres!$A$1:$I$89,3,0)*0.475*44/12</f>
        <v>51.006502923276663</v>
      </c>
      <c r="HH105" s="21">
        <f>EXP(-LN(2)/25)*HH104+(1-EXP(-LN(2)/25))/(LN(2)/25)*Calculateur!HC105*Calculateur!HE105*VLOOKUP('Données projet'!$B$18,Paramètres!$A$1:$I$89,3,0)*0.475*44/12</f>
        <v>13.726928256319527</v>
      </c>
      <c r="HI105" s="21">
        <f>EXP(-LN(2)/2)*HI104+(1-EXP(-LN(2)/2))/(LN(2)/2)*HC105*HF105*VLOOKUP('Données projet'!$B$18,Paramètres!$A$1:$I$89,3,0)*0.475*44/12</f>
        <v>9.9402323150662962E-3</v>
      </c>
      <c r="HJ105" s="22">
        <f t="shared" si="84"/>
        <v>64.743371411911255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1.1368683772161603E-13</v>
      </c>
      <c r="O106" s="13">
        <f>N106*VLOOKUP('Données projet'!$B$9,Paramètres!$A$1:$I$89,3,0)*VLOOKUP('Données projet'!$B$9,Paramètres!$A$1:$I$89,5,0)</f>
        <v>6.7984728957526396E-14</v>
      </c>
      <c r="P106" s="13">
        <f t="shared" si="87"/>
        <v>1.0682447123141398E-12</v>
      </c>
      <c r="Q106" s="20">
        <f t="shared" si="107"/>
        <v>1.978932943548152E-12</v>
      </c>
      <c r="R106" s="59">
        <f t="shared" si="55"/>
        <v>293.3333333333353</v>
      </c>
      <c r="S106" s="59">
        <f ca="1">AVERAGE(OFFSET($R$3,0,0,'Données projet'!$E$9+1,1))-AVERAGE(OFFSET($H$3,0,0,'Données projet'!$E$9+1,1))</f>
        <v>295.19075440119076</v>
      </c>
      <c r="T106" s="59">
        <f t="shared" si="88"/>
        <v>173.0182327988216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126.02866213513927</v>
      </c>
      <c r="AA106" s="21">
        <f>EXP(-LN(2)/25)*AA105+(1-EXP(-LN(2)/25))/(LN(2)/25)*Calculateur!V106*Calculateur!X106*VLOOKUP('Données projet'!$B$9,Paramètres!$A$1:$I$89,3,0)*0.475*44/12</f>
        <v>60.405751604497461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186.43441373963674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294.45857786714919</v>
      </c>
      <c r="AO106" s="59">
        <f t="shared" si="90"/>
        <v>221.9773436301067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116.32454596288424</v>
      </c>
      <c r="AV106" s="21">
        <f>EXP(-LN(2)/25)*AV105+(1-EXP(-LN(2)/25))/(LN(2)/25)*Calculateur!AQ106*Calculateur!AS106*VLOOKUP('Données projet'!$B$10,Paramètres!$A$1:$I$89,3,0)*0.475*44/12</f>
        <v>53.138640491864791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169.46318645474904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179.44051550872138</v>
      </c>
      <c r="BJ106" s="59">
        <f t="shared" si="92"/>
        <v>272.9500808380069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59.753998040187383</v>
      </c>
      <c r="BQ106" s="21">
        <f>EXP(-LN(2)/25)*BQ105+(1-EXP(-LN(2)/25))/(LN(2)/25)*Calculateur!BL106*Calculateur!BN106*VLOOKUP('Données projet'!$B$11,Paramètres!$A$1:$I$89,3,0)*0.475*44/12</f>
        <v>29.794526430760865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89.548524470948252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-3.4106051316484809E-13</v>
      </c>
      <c r="BZ106" s="13">
        <f>BY106*VLOOKUP('Données projet'!$B$12,Paramètres!$A$1:$I$89,3,0)*VLOOKUP('Données projet'!$B$12,Paramètres!$A$1:$I$89,5,0)</f>
        <v>-1.5961632016114892E-13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259.87681411271632</v>
      </c>
      <c r="CE106" s="59">
        <f t="shared" si="94"/>
        <v>191.8684235641158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206.71896041658846</v>
      </c>
      <c r="CL106" s="21">
        <f>EXP(-LN(2)/25)*CL105+(1-EXP(-LN(2)/25))/(LN(2)/25)*Calculateur!CG106*Calculateur!CI106*VLOOKUP('Données projet'!$B$12,Paramètres!$A$1:$I$89,3,0)*0.475*44/12</f>
        <v>100.95522594566559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307.67418636225403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5.6843418860808015E-14</v>
      </c>
      <c r="CU106" s="17">
        <f>CT106*VLOOKUP('Données projet'!$B$13,Paramètres!$A$1:$I$89,3,0)*VLOOKUP('Données projet'!$B$13,Paramètres!$A$1:$I$89,5,0)</f>
        <v>4.5224624045658861E-14</v>
      </c>
      <c r="CV106" s="13">
        <f t="shared" si="95"/>
        <v>7.4514601661523691E-13</v>
      </c>
      <c r="CW106" s="20">
        <f t="shared" si="67"/>
        <v>1.3765621991510601E-12</v>
      </c>
      <c r="CX106" s="59">
        <f t="shared" si="68"/>
        <v>293.33333333333468</v>
      </c>
      <c r="CY106" s="59">
        <f ca="1">AVERAGE(OFFSET($CX$3,0,0,'Données projet'!$E$13+1,1))-AVERAGE(OFFSET($H$3,0,0,'Données projet'!$E$13+1,1))</f>
        <v>198.11534486400666</v>
      </c>
      <c r="CZ106" s="59">
        <f t="shared" si="96"/>
        <v>174.29856796517652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50.006296511846045</v>
      </c>
      <c r="DG106" s="21">
        <f>EXP(-LN(2)/25)*DG105+(1-EXP(-LN(2)/25))/(LN(2)/25)*Calculateur!DB106*Calculateur!DD106*VLOOKUP('Données projet'!$B$13,Paramètres!$A$1:$I$89,3,0)*0.475*44/12</f>
        <v>13.351564681282685</v>
      </c>
      <c r="DH106" s="21">
        <f>EXP(-LN(2)/2)*DH105+(1-EXP(-LN(2)/2))/(LN(2)/2)*DB106*DE106*VLOOKUP('Données projet'!$B$13,Paramètres!$A$1:$I$89,3,0)*0.475*44/12</f>
        <v>7.0288056765530323E-3</v>
      </c>
      <c r="DI106" s="22">
        <f t="shared" si="69"/>
        <v>63.364889998805282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4.583333333333333</v>
      </c>
      <c r="DO106" s="12">
        <f>IF('Données projet'!$A$166&gt;35,DO105+DN106-DW105,IF(A106&lt;'Données projet'!$A$166,$DL$205^A106,IF(A106='Données projet'!$A$166,'Données projet'!$B$166,DO105+DN106-DW105)))</f>
        <v>174.58333333333326</v>
      </c>
      <c r="DP106" s="17">
        <f>DO106*VLOOKUP('Données projet'!$B$14,Paramètres!$A$1:$I$89,3,0)*VLOOKUP('Données projet'!$B$14,Paramètres!$A$1:$I$89,5,0)</f>
        <v>177.02749999999992</v>
      </c>
      <c r="DQ106" s="13">
        <f t="shared" si="97"/>
        <v>44.660220134711423</v>
      </c>
      <c r="DR106" s="20">
        <f t="shared" si="70"/>
        <v>386.10611256795556</v>
      </c>
      <c r="DS106" s="59">
        <f t="shared" si="71"/>
        <v>679.43944590128888</v>
      </c>
      <c r="DT106" s="59">
        <f ca="1">AVERAGE(OFFSET($DS$3,0,0,'Données projet'!$E$14+1,1))-AVERAGE(OFFSET($H$3,0,0,'Données projet'!$E$14+1,1))</f>
        <v>247.92503505485405</v>
      </c>
      <c r="DU106" s="59">
        <f t="shared" si="98"/>
        <v>148.26437652597514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8.0435267933484624</v>
      </c>
      <c r="EB106" s="21">
        <f>EXP(-LN(2)/25)*EB105+(1-EXP(-LN(2)/25))/(LN(2)/25)*Calculateur!DW106*Calculateur!DY106*VLOOKUP('Données projet'!$B$14,Paramètres!$A$1:$I$89,3,0)*0.475*44/12</f>
        <v>27.865250215552059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35.908777008900522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4.583333333333333</v>
      </c>
      <c r="EJ106" s="12">
        <f>IF('Données projet'!$A$192&gt;35,EJ105+EI106-ER105,IF(A106&lt;'Données projet'!$A$192,$EG$205^A106,IF(A106='Données projet'!$A$192,'Données projet'!$B$192,EJ105+EI106-ER105)))</f>
        <v>174.58333333333326</v>
      </c>
      <c r="EK106" s="17">
        <f>EJ106*VLOOKUP('Données projet'!$B$15,Paramètres!$A$1:$I$89,3,0)*VLOOKUP('Données projet'!$B$15,Paramètres!$A$1:$I$89,5,0)</f>
        <v>168.85699999999994</v>
      </c>
      <c r="EL106" s="13">
        <f t="shared" si="99"/>
        <v>42.833929183561338</v>
      </c>
      <c r="EM106" s="20">
        <f t="shared" si="73"/>
        <v>368.69503499470255</v>
      </c>
      <c r="EN106" s="59">
        <f t="shared" si="74"/>
        <v>662.02836832803587</v>
      </c>
      <c r="EO106" s="59">
        <f ca="1">AVERAGE(OFFSET($EN$3,0,0,'Données projet'!$E$15+1,1))-AVERAGE(OFFSET($H$3,0,0,'Données projet'!$E$15+1,1))</f>
        <v>232.99870507181964</v>
      </c>
      <c r="EP106" s="59">
        <f t="shared" si="100"/>
        <v>140.07662669226278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7.6722870951939166</v>
      </c>
      <c r="EW106" s="21">
        <f>EXP(-LN(2)/25)*EW105+(1-EXP(-LN(2)/25))/(LN(2)/25)*Calculateur!ER106*Calculateur!ET106*VLOOKUP('Données projet'!$B$15,Paramètres!$A$1:$I$89,3,0)*0.475*44/12</f>
        <v>26.579161744065029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34.251448839258948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5.6843418860808015E-14</v>
      </c>
      <c r="FF106" s="17">
        <f>FE106*VLOOKUP('Données projet'!$B$16,Paramètres!$A$1:$I$89,3,0)*VLOOKUP('Données projet'!$B$16,Paramètres!$A$1:$I$89,5,0)</f>
        <v>4.4337866711430253E-14</v>
      </c>
      <c r="FG106" s="13">
        <f t="shared" si="101"/>
        <v>7.3222115536967035E-13</v>
      </c>
      <c r="FH106" s="20">
        <f t="shared" si="76"/>
        <v>1.3525069634579169E-12</v>
      </c>
      <c r="FI106" s="59">
        <f t="shared" si="77"/>
        <v>293.33333333333468</v>
      </c>
      <c r="FJ106" s="59">
        <f ca="1">AVERAGE(OFFSET($FI$3,0,0,'Données projet'!$E$16+1,1))-AVERAGE(OFFSET($H$3,0,0,'Données projet'!$E$16+1,1))</f>
        <v>193.47609744163839</v>
      </c>
      <c r="FK106" s="59">
        <f t="shared" si="102"/>
        <v>170.3221892406973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39.775633555482429</v>
      </c>
      <c r="FR106" s="21">
        <f>EXP(-LN(2)/25)*FR105+(1-EXP(-LN(2)/25))/(LN(2)/25)*Calculateur!FM106*Calculateur!FO106*VLOOKUP('Données projet'!$B$16,Paramètres!$A$1:$I$89,3,0)*0.475*44/12</f>
        <v>10.620001503794953</v>
      </c>
      <c r="FS106" s="21">
        <f>EXP(-LN(2)/2)*FS105+(1-EXP(-LN(2)/2))/(LN(2)/2)*FM106*FP106*VLOOKUP('Données projet'!$B$16,Paramètres!$A$1:$I$89,3,0)*0.475*44/12</f>
        <v>6.890985957404944E-3</v>
      </c>
      <c r="FT106" s="22">
        <f t="shared" si="78"/>
        <v>50.402526045234787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>
        <f>FZ106*VLOOKUP('Données projet'!$B$17,Paramètres!$A$1:$I$89,3,0)*VLOOKUP('Données projet'!$B$17,Paramètres!$A$1:$I$89,5,0)</f>
        <v>0</v>
      </c>
      <c r="GB106" s="13" t="e">
        <f t="shared" si="103"/>
        <v>#NUM!</v>
      </c>
      <c r="GC106" s="20" t="e">
        <f t="shared" si="79"/>
        <v>#NUM!</v>
      </c>
      <c r="GD106" s="59" t="e">
        <f t="shared" si="80"/>
        <v>#NUM!</v>
      </c>
      <c r="GE106" s="59">
        <f ca="1">AVERAGE(OFFSET($GD$3,0,0,'Données projet'!$E$17+1,1))-AVERAGE(OFFSET($H$3,0,0,'Données projet'!$E$17+1,1))</f>
        <v>153.43773674911449</v>
      </c>
      <c r="GF106" s="59">
        <f t="shared" si="104"/>
        <v>235.49395036616602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52.284748285163936</v>
      </c>
      <c r="GM106" s="21">
        <f>EXP(-LN(2)/25)*GM105+(1-EXP(-LN(2)/25))/(LN(2)/25)*Calculateur!GH106*Calculateur!GJ106*VLOOKUP('Données projet'!$B$17,Paramètres!$A$1:$I$89,3,0)*0.475*44/12</f>
        <v>26.070210626915742</v>
      </c>
      <c r="GN106" s="21">
        <f>EXP(-LN(2)/2)*GN105+(1-EXP(-LN(2)/2))/(LN(2)/2)*GH106*GK106*VLOOKUP('Données projet'!$B$17,Paramètres!$A$1:$I$89,3,0)*0.475*44/12</f>
        <v>0</v>
      </c>
      <c r="GO106" s="21">
        <f t="shared" si="81"/>
        <v>78.354958912079681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5.6843418860808015E-14</v>
      </c>
      <c r="GV106" s="17">
        <f>GU106*VLOOKUP('Données projet'!$B$18,Paramètres!$A$1:$I$89,3,0)*VLOOKUP('Données projet'!$B$18,Paramètres!$A$1:$I$89,5,0)</f>
        <v>4.5224624045658861E-14</v>
      </c>
      <c r="GW106" s="13">
        <f t="shared" si="105"/>
        <v>7.4514601661523691E-13</v>
      </c>
      <c r="GX106" s="20">
        <f t="shared" si="82"/>
        <v>1.3765621991510601E-12</v>
      </c>
      <c r="GY106" s="59">
        <f t="shared" si="83"/>
        <v>293.33333333333468</v>
      </c>
      <c r="GZ106" s="59">
        <f ca="1">AVERAGE(OFFSET($GY$3,0,0,'Données projet'!$E$18+1,1))-AVERAGE(OFFSET($H$3,0,0,'Données projet'!$E$18+1,1))</f>
        <v>198.11534486400666</v>
      </c>
      <c r="HA106" s="59">
        <f t="shared" si="106"/>
        <v>174.29856796517652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>
        <f>EXP(-LN(2)/35)*HG105+(1-EXP(-LN(2)/35))/(LN(2)/35)*HC106*HD106*VLOOKUP('Données projet'!$B$18,Paramètres!$A$1:$I$89,3,0)*0.475*44/12</f>
        <v>50.006296511846045</v>
      </c>
      <c r="HH106" s="21">
        <f>EXP(-LN(2)/25)*HH105+(1-EXP(-LN(2)/25))/(LN(2)/25)*Calculateur!HC106*Calculateur!HE106*VLOOKUP('Données projet'!$B$18,Paramètres!$A$1:$I$89,3,0)*0.475*44/12</f>
        <v>13.351564681282685</v>
      </c>
      <c r="HI106" s="21">
        <f>EXP(-LN(2)/2)*HI105+(1-EXP(-LN(2)/2))/(LN(2)/2)*HC106*HF106*VLOOKUP('Données projet'!$B$18,Paramètres!$A$1:$I$89,3,0)*0.475*44/12</f>
        <v>7.0288056765530323E-3</v>
      </c>
      <c r="HJ106" s="22">
        <f t="shared" si="84"/>
        <v>63.364889998805282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1.1368683772161603E-13</v>
      </c>
      <c r="O107" s="13">
        <f>N107*VLOOKUP('Données projet'!$B$9,Paramètres!$A$1:$I$89,3,0)*VLOOKUP('Données projet'!$B$9,Paramètres!$A$1:$I$89,5,0)</f>
        <v>6.7984728957526396E-14</v>
      </c>
      <c r="P107" s="13">
        <f t="shared" si="87"/>
        <v>1.0682447123141398E-12</v>
      </c>
      <c r="Q107" s="20">
        <f t="shared" si="107"/>
        <v>1.978932943548152E-12</v>
      </c>
      <c r="R107" s="59">
        <f t="shared" si="55"/>
        <v>293.3333333333353</v>
      </c>
      <c r="S107" s="59">
        <f ca="1">AVERAGE(OFFSET($R$3,0,0,'Données projet'!$E$9+1,1))-AVERAGE(OFFSET($H$3,0,0,'Données projet'!$E$9+1,1))</f>
        <v>295.19075440119076</v>
      </c>
      <c r="T107" s="59">
        <f t="shared" si="88"/>
        <v>173.0182327988216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123.55731694056283</v>
      </c>
      <c r="AA107" s="21">
        <f>EXP(-LN(2)/25)*AA106+(1-EXP(-LN(2)/25))/(LN(2)/25)*Calculateur!V107*Calculateur!X107*VLOOKUP('Données projet'!$B$9,Paramètres!$A$1:$I$89,3,0)*0.475*44/12</f>
        <v>58.753953150272061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182.31127009083488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294.45857786714919</v>
      </c>
      <c r="AO107" s="59">
        <f t="shared" si="90"/>
        <v>221.9773436301067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114.04349256751929</v>
      </c>
      <c r="AV107" s="21">
        <f>EXP(-LN(2)/25)*AV106+(1-EXP(-LN(2)/25))/(LN(2)/25)*Calculateur!AQ107*Calculateur!AS107*VLOOKUP('Données projet'!$B$10,Paramètres!$A$1:$I$89,3,0)*0.475*44/12</f>
        <v>51.685561573175093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165.72905414069439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179.44051550872138</v>
      </c>
      <c r="BJ107" s="59">
        <f t="shared" si="92"/>
        <v>272.9500808380069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58.582258584959334</v>
      </c>
      <c r="BQ107" s="21">
        <f>EXP(-LN(2)/25)*BQ106+(1-EXP(-LN(2)/25))/(LN(2)/25)*Calculateur!BL107*Calculateur!BN107*VLOOKUP('Données projet'!$B$11,Paramètres!$A$1:$I$89,3,0)*0.475*44/12</f>
        <v>28.979793538685659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87.562052123644989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-3.4106051316484809E-13</v>
      </c>
      <c r="BZ107" s="13">
        <f>BY107*VLOOKUP('Données projet'!$B$12,Paramètres!$A$1:$I$89,3,0)*VLOOKUP('Données projet'!$B$12,Paramètres!$A$1:$I$89,5,0)</f>
        <v>-1.5961632016114892E-13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259.87681411271632</v>
      </c>
      <c r="CE107" s="59">
        <f t="shared" si="94"/>
        <v>191.8684235641158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202.66532768893504</v>
      </c>
      <c r="CL107" s="21">
        <f>EXP(-LN(2)/25)*CL106+(1-EXP(-LN(2)/25))/(LN(2)/25)*Calculateur!CG107*Calculateur!CI107*VLOOKUP('Données projet'!$B$12,Paramètres!$A$1:$I$89,3,0)*0.475*44/12</f>
        <v>98.194599983176772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300.85992767211178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5.6843418860808015E-14</v>
      </c>
      <c r="CU107" s="17">
        <f>CT107*VLOOKUP('Données projet'!$B$13,Paramètres!$A$1:$I$89,3,0)*VLOOKUP('Données projet'!$B$13,Paramètres!$A$1:$I$89,5,0)</f>
        <v>4.5224624045658861E-14</v>
      </c>
      <c r="CV107" s="13">
        <f t="shared" si="95"/>
        <v>7.4514601661523691E-13</v>
      </c>
      <c r="CW107" s="20">
        <f t="shared" si="67"/>
        <v>1.3765621991510601E-12</v>
      </c>
      <c r="CX107" s="59">
        <f t="shared" si="68"/>
        <v>293.33333333333468</v>
      </c>
      <c r="CY107" s="59">
        <f ca="1">AVERAGE(OFFSET($CX$3,0,0,'Données projet'!$E$13+1,1))-AVERAGE(OFFSET($H$3,0,0,'Données projet'!$E$13+1,1))</f>
        <v>198.11534486400666</v>
      </c>
      <c r="CZ107" s="59">
        <f t="shared" si="96"/>
        <v>174.29856796517652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49.025703538077913</v>
      </c>
      <c r="DG107" s="21">
        <f>EXP(-LN(2)/25)*DG106+(1-EXP(-LN(2)/25))/(LN(2)/25)*Calculateur!DB107*Calculateur!DD107*VLOOKUP('Données projet'!$B$13,Paramètres!$A$1:$I$89,3,0)*0.475*44/12</f>
        <v>12.986465442944739</v>
      </c>
      <c r="DH107" s="21">
        <f>EXP(-LN(2)/2)*DH106+(1-EXP(-LN(2)/2))/(LN(2)/2)*DB107*DE107*VLOOKUP('Données projet'!$B$13,Paramètres!$A$1:$I$89,3,0)*0.475*44/12</f>
        <v>4.9701161575331481E-3</v>
      </c>
      <c r="DI107" s="22">
        <f t="shared" si="69"/>
        <v>62.017139097180184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4.583333333333333</v>
      </c>
      <c r="DO107" s="12">
        <f>IF('Données projet'!$A$166&gt;35,DO106+DN107-DW106,IF(A107&lt;'Données projet'!$A$166,$DL$205^A107,IF(A107='Données projet'!$A$166,'Données projet'!$B$166,DO106+DN107-DW106)))</f>
        <v>179.1666666666666</v>
      </c>
      <c r="DP107" s="17">
        <f>DO107*VLOOKUP('Données projet'!$B$14,Paramètres!$A$1:$I$89,3,0)*VLOOKUP('Données projet'!$B$14,Paramètres!$A$1:$I$89,5,0)</f>
        <v>181.67499999999995</v>
      </c>
      <c r="DQ107" s="13">
        <f t="shared" si="97"/>
        <v>45.694641677373617</v>
      </c>
      <c r="DR107" s="20">
        <f t="shared" si="70"/>
        <v>396.00212592142566</v>
      </c>
      <c r="DS107" s="59">
        <f t="shared" si="71"/>
        <v>689.33545925475892</v>
      </c>
      <c r="DT107" s="59">
        <f ca="1">AVERAGE(OFFSET($DS$3,0,0,'Données projet'!$E$14+1,1))-AVERAGE(OFFSET($H$3,0,0,'Données projet'!$E$14+1,1))</f>
        <v>247.92503505485405</v>
      </c>
      <c r="DU107" s="59">
        <f t="shared" si="98"/>
        <v>148.26437652597514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7.8857981389978091</v>
      </c>
      <c r="EB107" s="21">
        <f>EXP(-LN(2)/25)*EB106+(1-EXP(-LN(2)/25))/(LN(2)/25)*Calculateur!DW107*Calculateur!DY107*VLOOKUP('Données projet'!$B$14,Paramètres!$A$1:$I$89,3,0)*0.475*44/12</f>
        <v>27.103273483037967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34.989071622035773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4.583333333333333</v>
      </c>
      <c r="EJ107" s="12">
        <f>IF('Données projet'!$A$192&gt;35,EJ106+EI107-ER106,IF(A107&lt;'Données projet'!$A$192,$EG$205^A107,IF(A107='Données projet'!$A$192,'Données projet'!$B$192,EJ106+EI107-ER106)))</f>
        <v>179.1666666666666</v>
      </c>
      <c r="EK107" s="17">
        <f>EJ107*VLOOKUP('Données projet'!$B$15,Paramètres!$A$1:$I$89,3,0)*VLOOKUP('Données projet'!$B$15,Paramètres!$A$1:$I$89,5,0)</f>
        <v>173.28999999999994</v>
      </c>
      <c r="EL107" s="13">
        <f t="shared" si="99"/>
        <v>43.826050112896013</v>
      </c>
      <c r="EM107" s="20">
        <f t="shared" si="73"/>
        <v>378.14378727996041</v>
      </c>
      <c r="EN107" s="59">
        <f t="shared" si="74"/>
        <v>671.47712061329366</v>
      </c>
      <c r="EO107" s="59">
        <f ca="1">AVERAGE(OFFSET($EN$3,0,0,'Données projet'!$E$15+1,1))-AVERAGE(OFFSET($H$3,0,0,'Données projet'!$E$15+1,1))</f>
        <v>232.99870507181964</v>
      </c>
      <c r="EP107" s="59">
        <f t="shared" si="100"/>
        <v>140.07662669226278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7.5218382248902165</v>
      </c>
      <c r="EW107" s="21">
        <f>EXP(-LN(2)/25)*EW106+(1-EXP(-LN(2)/25))/(LN(2)/25)*Calculateur!ER107*Calculateur!ET107*VLOOKUP('Données projet'!$B$15,Paramètres!$A$1:$I$89,3,0)*0.475*44/12</f>
        <v>25.852353168436203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33.37419139332642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5.6843418860808015E-14</v>
      </c>
      <c r="FF107" s="17">
        <f>FE107*VLOOKUP('Données projet'!$B$16,Paramètres!$A$1:$I$89,3,0)*VLOOKUP('Données projet'!$B$16,Paramètres!$A$1:$I$89,5,0)</f>
        <v>4.4337866711430253E-14</v>
      </c>
      <c r="FG107" s="13">
        <f t="shared" si="101"/>
        <v>7.3222115536967035E-13</v>
      </c>
      <c r="FH107" s="20">
        <f t="shared" si="76"/>
        <v>1.3525069634579169E-12</v>
      </c>
      <c r="FI107" s="59">
        <f t="shared" si="77"/>
        <v>293.33333333333468</v>
      </c>
      <c r="FJ107" s="59">
        <f ca="1">AVERAGE(OFFSET($FI$3,0,0,'Données projet'!$E$16+1,1))-AVERAGE(OFFSET($H$3,0,0,'Données projet'!$E$16+1,1))</f>
        <v>193.47609744163839</v>
      </c>
      <c r="FK107" s="59">
        <f t="shared" si="102"/>
        <v>170.3221892406973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38.995657642200335</v>
      </c>
      <c r="FR107" s="21">
        <f>EXP(-LN(2)/25)*FR106+(1-EXP(-LN(2)/25))/(LN(2)/25)*Calculateur!FM107*Calculateur!FO107*VLOOKUP('Données projet'!$B$16,Paramètres!$A$1:$I$89,3,0)*0.475*44/12</f>
        <v>10.329597004192072</v>
      </c>
      <c r="FS107" s="21">
        <f>EXP(-LN(2)/2)*FS106+(1-EXP(-LN(2)/2))/(LN(2)/2)*FM107*FP107*VLOOKUP('Données projet'!$B$16,Paramètres!$A$1:$I$89,3,0)*0.475*44/12</f>
        <v>4.8726628995423094E-3</v>
      </c>
      <c r="FT107" s="22">
        <f t="shared" si="78"/>
        <v>49.330127309291953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>
        <f>FZ107*VLOOKUP('Données projet'!$B$17,Paramètres!$A$1:$I$89,3,0)*VLOOKUP('Données projet'!$B$17,Paramètres!$A$1:$I$89,5,0)</f>
        <v>0</v>
      </c>
      <c r="GB107" s="13" t="e">
        <f t="shared" si="103"/>
        <v>#NUM!</v>
      </c>
      <c r="GC107" s="20" t="e">
        <f t="shared" si="79"/>
        <v>#NUM!</v>
      </c>
      <c r="GD107" s="59" t="e">
        <f t="shared" si="80"/>
        <v>#NUM!</v>
      </c>
      <c r="GE107" s="59">
        <f ca="1">AVERAGE(OFFSET($GD$3,0,0,'Données projet'!$E$17+1,1))-AVERAGE(OFFSET($H$3,0,0,'Données projet'!$E$17+1,1))</f>
        <v>153.43773674911449</v>
      </c>
      <c r="GF107" s="59">
        <f t="shared" si="104"/>
        <v>235.49395036616602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51.259476261839396</v>
      </c>
      <c r="GM107" s="21">
        <f>EXP(-LN(2)/25)*GM106+(1-EXP(-LN(2)/25))/(LN(2)/25)*Calculateur!GH107*Calculateur!GJ107*VLOOKUP('Données projet'!$B$17,Paramètres!$A$1:$I$89,3,0)*0.475*44/12</f>
        <v>25.357319346349939</v>
      </c>
      <c r="GN107" s="21">
        <f>EXP(-LN(2)/2)*GN106+(1-EXP(-LN(2)/2))/(LN(2)/2)*GH107*GK107*VLOOKUP('Données projet'!$B$17,Paramètres!$A$1:$I$89,3,0)*0.475*44/12</f>
        <v>0</v>
      </c>
      <c r="GO107" s="21">
        <f t="shared" si="81"/>
        <v>76.616795608189335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5.6843418860808015E-14</v>
      </c>
      <c r="GV107" s="17">
        <f>GU107*VLOOKUP('Données projet'!$B$18,Paramètres!$A$1:$I$89,3,0)*VLOOKUP('Données projet'!$B$18,Paramètres!$A$1:$I$89,5,0)</f>
        <v>4.5224624045658861E-14</v>
      </c>
      <c r="GW107" s="13">
        <f t="shared" si="105"/>
        <v>7.4514601661523691E-13</v>
      </c>
      <c r="GX107" s="20">
        <f t="shared" si="82"/>
        <v>1.3765621991510601E-12</v>
      </c>
      <c r="GY107" s="59">
        <f t="shared" si="83"/>
        <v>293.33333333333468</v>
      </c>
      <c r="GZ107" s="59">
        <f ca="1">AVERAGE(OFFSET($GY$3,0,0,'Données projet'!$E$18+1,1))-AVERAGE(OFFSET($H$3,0,0,'Données projet'!$E$18+1,1))</f>
        <v>198.11534486400666</v>
      </c>
      <c r="HA107" s="59">
        <f t="shared" si="106"/>
        <v>174.29856796517652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>
        <f>EXP(-LN(2)/35)*HG106+(1-EXP(-LN(2)/35))/(LN(2)/35)*HC107*HD107*VLOOKUP('Données projet'!$B$18,Paramètres!$A$1:$I$89,3,0)*0.475*44/12</f>
        <v>49.025703538077913</v>
      </c>
      <c r="HH107" s="21">
        <f>EXP(-LN(2)/25)*HH106+(1-EXP(-LN(2)/25))/(LN(2)/25)*Calculateur!HC107*Calculateur!HE107*VLOOKUP('Données projet'!$B$18,Paramètres!$A$1:$I$89,3,0)*0.475*44/12</f>
        <v>12.986465442944739</v>
      </c>
      <c r="HI107" s="21">
        <f>EXP(-LN(2)/2)*HI106+(1-EXP(-LN(2)/2))/(LN(2)/2)*HC107*HF107*VLOOKUP('Données projet'!$B$18,Paramètres!$A$1:$I$89,3,0)*0.475*44/12</f>
        <v>4.9701161575331481E-3</v>
      </c>
      <c r="HJ107" s="22">
        <f t="shared" si="84"/>
        <v>62.017139097180184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1.1368683772161603E-13</v>
      </c>
      <c r="O108" s="13">
        <f>N108*VLOOKUP('Données projet'!$B$9,Paramètres!$A$1:$I$89,3,0)*VLOOKUP('Données projet'!$B$9,Paramètres!$A$1:$I$89,5,0)</f>
        <v>6.7984728957526396E-14</v>
      </c>
      <c r="P108" s="13">
        <f t="shared" si="87"/>
        <v>1.0682447123141398E-12</v>
      </c>
      <c r="Q108" s="20">
        <f t="shared" si="107"/>
        <v>1.978932943548152E-12</v>
      </c>
      <c r="R108" s="59">
        <f t="shared" si="55"/>
        <v>293.3333333333353</v>
      </c>
      <c r="S108" s="59">
        <f ca="1">AVERAGE(OFFSET($R$3,0,0,'Données projet'!$E$9+1,1))-AVERAGE(OFFSET($H$3,0,0,'Données projet'!$E$9+1,1))</f>
        <v>295.19075440119076</v>
      </c>
      <c r="T108" s="59">
        <f t="shared" si="88"/>
        <v>173.0182327988216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121.13443331788029</v>
      </c>
      <c r="AA108" s="21">
        <f>EXP(-LN(2)/25)*AA107+(1-EXP(-LN(2)/25))/(LN(2)/25)*Calculateur!V108*Calculateur!X108*VLOOKUP('Données projet'!$B$9,Paramètres!$A$1:$I$89,3,0)*0.475*44/12</f>
        <v>57.147323211641762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178.28175652952206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294.45857786714919</v>
      </c>
      <c r="AO108" s="59">
        <f t="shared" si="90"/>
        <v>221.9773436301067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111.80716923793226</v>
      </c>
      <c r="AV108" s="21">
        <f>EXP(-LN(2)/25)*AV107+(1-EXP(-LN(2)/25))/(LN(2)/25)*Calculateur!AQ108*Calculateur!AS108*VLOOKUP('Données projet'!$B$10,Paramètres!$A$1:$I$89,3,0)*0.475*44/12</f>
        <v>50.272217173931068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162.07938641186331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179.44051550872138</v>
      </c>
      <c r="BJ108" s="59">
        <f t="shared" si="92"/>
        <v>272.9500808380069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57.433496225757814</v>
      </c>
      <c r="BQ108" s="21">
        <f>EXP(-LN(2)/25)*BQ107+(1-EXP(-LN(2)/25))/(LN(2)/25)*Calculateur!BL108*Calculateur!BN108*VLOOKUP('Données projet'!$B$11,Paramètres!$A$1:$I$89,3,0)*0.475*44/12</f>
        <v>28.187339560389191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85.620835786147012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-3.4106051316484809E-13</v>
      </c>
      <c r="BZ108" s="13">
        <f>BY108*VLOOKUP('Données projet'!$B$12,Paramètres!$A$1:$I$89,3,0)*VLOOKUP('Données projet'!$B$12,Paramètres!$A$1:$I$89,5,0)</f>
        <v>-1.5961632016114892E-13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259.87681411271632</v>
      </c>
      <c r="CE108" s="59">
        <f t="shared" si="94"/>
        <v>191.8684235641158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198.69118422659909</v>
      </c>
      <c r="CL108" s="21">
        <f>EXP(-LN(2)/25)*CL107+(1-EXP(-LN(2)/25))/(LN(2)/25)*Calculateur!CG108*Calculateur!CI108*VLOOKUP('Données projet'!$B$12,Paramètres!$A$1:$I$89,3,0)*0.475*44/12</f>
        <v>95.50946348280722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294.20064770940633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5.6843418860808015E-14</v>
      </c>
      <c r="CU108" s="17">
        <f>CT108*VLOOKUP('Données projet'!$B$13,Paramètres!$A$1:$I$89,3,0)*VLOOKUP('Données projet'!$B$13,Paramètres!$A$1:$I$89,5,0)</f>
        <v>4.5224624045658861E-14</v>
      </c>
      <c r="CV108" s="13">
        <f t="shared" si="95"/>
        <v>7.4514601661523691E-13</v>
      </c>
      <c r="CW108" s="20">
        <f t="shared" si="67"/>
        <v>1.3765621991510601E-12</v>
      </c>
      <c r="CX108" s="59">
        <f t="shared" si="68"/>
        <v>293.33333333333468</v>
      </c>
      <c r="CY108" s="59">
        <f ca="1">AVERAGE(OFFSET($CX$3,0,0,'Données projet'!$E$13+1,1))-AVERAGE(OFFSET($H$3,0,0,'Données projet'!$E$13+1,1))</f>
        <v>198.11534486400666</v>
      </c>
      <c r="CZ108" s="59">
        <f t="shared" si="96"/>
        <v>174.29856796517652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48.064339394422717</v>
      </c>
      <c r="DG108" s="21">
        <f>EXP(-LN(2)/25)*DG107+(1-EXP(-LN(2)/25))/(LN(2)/25)*Calculateur!DB108*Calculateur!DD108*VLOOKUP('Données projet'!$B$13,Paramètres!$A$1:$I$89,3,0)*0.475*44/12</f>
        <v>12.63134986247888</v>
      </c>
      <c r="DH108" s="21">
        <f>EXP(-LN(2)/2)*DH107+(1-EXP(-LN(2)/2))/(LN(2)/2)*DB108*DE108*VLOOKUP('Données projet'!$B$13,Paramètres!$A$1:$I$89,3,0)*0.475*44/12</f>
        <v>3.5144028382765161E-3</v>
      </c>
      <c r="DI108" s="22">
        <f t="shared" si="69"/>
        <v>60.699203659739872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4.583333333333333</v>
      </c>
      <c r="DO108" s="12">
        <f>IF('Données projet'!$A$166&gt;35,DO107+DN108-DW107,IF(A108&lt;'Données projet'!$A$166,$DL$205^A108,IF(A108='Données projet'!$A$166,'Données projet'!$B$166,DO107+DN108-DW107)))</f>
        <v>183.74999999999994</v>
      </c>
      <c r="DP108" s="17">
        <f>DO108*VLOOKUP('Données projet'!$B$14,Paramètres!$A$1:$I$89,3,0)*VLOOKUP('Données projet'!$B$14,Paramètres!$A$1:$I$89,5,0)</f>
        <v>186.32249999999996</v>
      </c>
      <c r="DQ108" s="13">
        <f t="shared" si="97"/>
        <v>46.725987276254116</v>
      </c>
      <c r="DR108" s="20">
        <f t="shared" si="70"/>
        <v>405.89278200614257</v>
      </c>
      <c r="DS108" s="59">
        <f t="shared" si="71"/>
        <v>699.22611533947588</v>
      </c>
      <c r="DT108" s="59">
        <f ca="1">AVERAGE(OFFSET($DS$3,0,0,'Données projet'!$E$14+1,1))-AVERAGE(OFFSET($H$3,0,0,'Données projet'!$E$14+1,1))</f>
        <v>247.92503505485405</v>
      </c>
      <c r="DU108" s="59">
        <f t="shared" si="98"/>
        <v>148.26437652597514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7.7311624473539924</v>
      </c>
      <c r="EB108" s="21">
        <f>EXP(-LN(2)/25)*EB107+(1-EXP(-LN(2)/25))/(LN(2)/25)*Calculateur!DW108*Calculateur!DY108*VLOOKUP('Données projet'!$B$14,Paramètres!$A$1:$I$89,3,0)*0.475*44/12</f>
        <v>26.362133044345086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34.093295491699081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4.583333333333333</v>
      </c>
      <c r="EJ108" s="12">
        <f>IF('Données projet'!$A$192&gt;35,EJ107+EI108-ER107,IF(A108&lt;'Données projet'!$A$192,$EG$205^A108,IF(A108='Données projet'!$A$192,'Données projet'!$B$192,EJ107+EI108-ER107)))</f>
        <v>183.74999999999994</v>
      </c>
      <c r="EK108" s="17">
        <f>EJ108*VLOOKUP('Données projet'!$B$15,Paramètres!$A$1:$I$89,3,0)*VLOOKUP('Données projet'!$B$15,Paramètres!$A$1:$I$89,5,0)</f>
        <v>177.72299999999996</v>
      </c>
      <c r="EL108" s="13">
        <f t="shared" si="99"/>
        <v>44.815220883057329</v>
      </c>
      <c r="EM108" s="20">
        <f t="shared" si="73"/>
        <v>387.58740137132469</v>
      </c>
      <c r="EN108" s="59">
        <f t="shared" si="74"/>
        <v>680.920734704658</v>
      </c>
      <c r="EO108" s="59">
        <f ca="1">AVERAGE(OFFSET($EN$3,0,0,'Données projet'!$E$15+1,1))-AVERAGE(OFFSET($H$3,0,0,'Données projet'!$E$15+1,1))</f>
        <v>232.99870507181964</v>
      </c>
      <c r="EP108" s="59">
        <f t="shared" si="100"/>
        <v>140.07662669226278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7.3743395651684223</v>
      </c>
      <c r="EW108" s="21">
        <f>EXP(-LN(2)/25)*EW107+(1-EXP(-LN(2)/25))/(LN(2)/25)*Calculateur!ER108*Calculateur!ET108*VLOOKUP('Données projet'!$B$15,Paramètres!$A$1:$I$89,3,0)*0.475*44/12</f>
        <v>25.145419211529148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32.519758776697572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5.6843418860808015E-14</v>
      </c>
      <c r="FF108" s="17">
        <f>FE108*VLOOKUP('Données projet'!$B$16,Paramètres!$A$1:$I$89,3,0)*VLOOKUP('Données projet'!$B$16,Paramètres!$A$1:$I$89,5,0)</f>
        <v>4.4337866711430253E-14</v>
      </c>
      <c r="FG108" s="13">
        <f t="shared" si="101"/>
        <v>7.3222115536967035E-13</v>
      </c>
      <c r="FH108" s="20">
        <f t="shared" si="76"/>
        <v>1.3525069634579169E-12</v>
      </c>
      <c r="FI108" s="59">
        <f t="shared" si="77"/>
        <v>293.33333333333468</v>
      </c>
      <c r="FJ108" s="59">
        <f ca="1">AVERAGE(OFFSET($FI$3,0,0,'Données projet'!$E$16+1,1))-AVERAGE(OFFSET($H$3,0,0,'Données projet'!$E$16+1,1))</f>
        <v>193.47609744163839</v>
      </c>
      <c r="FK108" s="59">
        <f t="shared" si="102"/>
        <v>170.3221892406973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38.230976580839375</v>
      </c>
      <c r="FR108" s="21">
        <f>EXP(-LN(2)/25)*FR107+(1-EXP(-LN(2)/25))/(LN(2)/25)*Calculateur!FM108*Calculateur!FO108*VLOOKUP('Données projet'!$B$16,Paramètres!$A$1:$I$89,3,0)*0.475*44/12</f>
        <v>10.047133630902541</v>
      </c>
      <c r="FS108" s="21">
        <f>EXP(-LN(2)/2)*FS107+(1-EXP(-LN(2)/2))/(LN(2)/2)*FM108*FP108*VLOOKUP('Données projet'!$B$16,Paramètres!$A$1:$I$89,3,0)*0.475*44/12</f>
        <v>3.445492978702472E-3</v>
      </c>
      <c r="FT108" s="22">
        <f t="shared" si="78"/>
        <v>48.281555704720624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>
        <f>FZ108*VLOOKUP('Données projet'!$B$17,Paramètres!$A$1:$I$89,3,0)*VLOOKUP('Données projet'!$B$17,Paramètres!$A$1:$I$89,5,0)</f>
        <v>0</v>
      </c>
      <c r="GB108" s="13" t="e">
        <f t="shared" si="103"/>
        <v>#NUM!</v>
      </c>
      <c r="GC108" s="20" t="e">
        <f t="shared" si="79"/>
        <v>#NUM!</v>
      </c>
      <c r="GD108" s="59" t="e">
        <f t="shared" si="80"/>
        <v>#NUM!</v>
      </c>
      <c r="GE108" s="59">
        <f ca="1">AVERAGE(OFFSET($GD$3,0,0,'Données projet'!$E$17+1,1))-AVERAGE(OFFSET($H$3,0,0,'Données projet'!$E$17+1,1))</f>
        <v>153.43773674911449</v>
      </c>
      <c r="GF108" s="59">
        <f t="shared" si="104"/>
        <v>235.49395036616602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50.254309197538063</v>
      </c>
      <c r="GM108" s="21">
        <f>EXP(-LN(2)/25)*GM107+(1-EXP(-LN(2)/25))/(LN(2)/25)*Calculateur!GH108*Calculateur!GJ108*VLOOKUP('Données projet'!$B$17,Paramètres!$A$1:$I$89,3,0)*0.475*44/12</f>
        <v>24.663922115340529</v>
      </c>
      <c r="GN108" s="21">
        <f>EXP(-LN(2)/2)*GN107+(1-EXP(-LN(2)/2))/(LN(2)/2)*GH108*GK108*VLOOKUP('Données projet'!$B$17,Paramètres!$A$1:$I$89,3,0)*0.475*44/12</f>
        <v>0</v>
      </c>
      <c r="GO108" s="21">
        <f t="shared" si="81"/>
        <v>74.918231312878589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5.6843418860808015E-14</v>
      </c>
      <c r="GV108" s="17">
        <f>GU108*VLOOKUP('Données projet'!$B$18,Paramètres!$A$1:$I$89,3,0)*VLOOKUP('Données projet'!$B$18,Paramètres!$A$1:$I$89,5,0)</f>
        <v>4.5224624045658861E-14</v>
      </c>
      <c r="GW108" s="13">
        <f t="shared" si="105"/>
        <v>7.4514601661523691E-13</v>
      </c>
      <c r="GX108" s="20">
        <f t="shared" si="82"/>
        <v>1.3765621991510601E-12</v>
      </c>
      <c r="GY108" s="59">
        <f t="shared" si="83"/>
        <v>293.33333333333468</v>
      </c>
      <c r="GZ108" s="59">
        <f ca="1">AVERAGE(OFFSET($GY$3,0,0,'Données projet'!$E$18+1,1))-AVERAGE(OFFSET($H$3,0,0,'Données projet'!$E$18+1,1))</f>
        <v>198.11534486400666</v>
      </c>
      <c r="HA108" s="59">
        <f t="shared" si="106"/>
        <v>174.29856796517652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>
        <f>EXP(-LN(2)/35)*HG107+(1-EXP(-LN(2)/35))/(LN(2)/35)*HC108*HD108*VLOOKUP('Données projet'!$B$18,Paramètres!$A$1:$I$89,3,0)*0.475*44/12</f>
        <v>48.064339394422717</v>
      </c>
      <c r="HH108" s="21">
        <f>EXP(-LN(2)/25)*HH107+(1-EXP(-LN(2)/25))/(LN(2)/25)*Calculateur!HC108*Calculateur!HE108*VLOOKUP('Données projet'!$B$18,Paramètres!$A$1:$I$89,3,0)*0.475*44/12</f>
        <v>12.63134986247888</v>
      </c>
      <c r="HI108" s="21">
        <f>EXP(-LN(2)/2)*HI107+(1-EXP(-LN(2)/2))/(LN(2)/2)*HC108*HF108*VLOOKUP('Données projet'!$B$18,Paramètres!$A$1:$I$89,3,0)*0.475*44/12</f>
        <v>3.5144028382765161E-3</v>
      </c>
      <c r="HJ108" s="22">
        <f t="shared" si="84"/>
        <v>60.699203659739872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1.1368683772161603E-13</v>
      </c>
      <c r="O109" s="13">
        <f>N109*VLOOKUP('Données projet'!$B$9,Paramètres!$A$1:$I$89,3,0)*VLOOKUP('Données projet'!$B$9,Paramètres!$A$1:$I$89,5,0)</f>
        <v>6.7984728957526396E-14</v>
      </c>
      <c r="P109" s="13">
        <f t="shared" si="87"/>
        <v>1.0682447123141398E-12</v>
      </c>
      <c r="Q109" s="20">
        <f t="shared" si="107"/>
        <v>1.978932943548152E-12</v>
      </c>
      <c r="R109" s="59">
        <f t="shared" si="55"/>
        <v>293.3333333333353</v>
      </c>
      <c r="S109" s="59">
        <f ca="1">AVERAGE(OFFSET($R$3,0,0,'Données projet'!$E$9+1,1))-AVERAGE(OFFSET($H$3,0,0,'Données projet'!$E$9+1,1))</f>
        <v>295.19075440119076</v>
      </c>
      <c r="T109" s="59">
        <f t="shared" si="88"/>
        <v>173.0182327988216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118.75906096522547</v>
      </c>
      <c r="AA109" s="21">
        <f>EXP(-LN(2)/25)*AA108+(1-EXP(-LN(2)/25))/(LN(2)/25)*Calculateur!V109*Calculateur!X109*VLOOKUP('Données projet'!$B$9,Paramètres!$A$1:$I$89,3,0)*0.475*44/12</f>
        <v>55.5846266531723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174.34368761839778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294.45857786714919</v>
      </c>
      <c r="AO109" s="59">
        <f t="shared" si="90"/>
        <v>221.9773436301067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109.61469884481588</v>
      </c>
      <c r="AV109" s="21">
        <f>EXP(-LN(2)/25)*AV108+(1-EXP(-LN(2)/25))/(LN(2)/25)*Calculateur!AQ109*Calculateur!AS109*VLOOKUP('Données projet'!$B$10,Paramètres!$A$1:$I$89,3,0)*0.475*44/12</f>
        <v>48.897520751608923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158.51221959642481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179.44051550872138</v>
      </c>
      <c r="BJ109" s="59">
        <f t="shared" si="92"/>
        <v>272.9500808380069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56.307260395744379</v>
      </c>
      <c r="BQ109" s="21">
        <f>EXP(-LN(2)/25)*BQ108+(1-EXP(-LN(2)/25))/(LN(2)/25)*Calculateur!BL109*Calculateur!BN109*VLOOKUP('Données projet'!$B$11,Paramètres!$A$1:$I$89,3,0)*0.475*44/12</f>
        <v>27.416555277802583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83.723815673546966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-3.4106051316484809E-13</v>
      </c>
      <c r="BZ109" s="13">
        <f>BY109*VLOOKUP('Données projet'!$B$12,Paramètres!$A$1:$I$89,3,0)*VLOOKUP('Données projet'!$B$12,Paramètres!$A$1:$I$89,5,0)</f>
        <v>-1.5961632016114892E-13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259.87681411271632</v>
      </c>
      <c r="CE109" s="59">
        <f t="shared" si="94"/>
        <v>191.8684235641158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194.79497129357136</v>
      </c>
      <c r="CL109" s="21">
        <f>EXP(-LN(2)/25)*CL108+(1-EXP(-LN(2)/25))/(LN(2)/25)*Calculateur!CG109*Calculateur!CI109*VLOOKUP('Données projet'!$B$12,Paramètres!$A$1:$I$89,3,0)*0.475*44/12</f>
        <v>92.897752181245465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287.69272347481683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5.6843418860808015E-14</v>
      </c>
      <c r="CU109" s="17">
        <f>CT109*VLOOKUP('Données projet'!$B$13,Paramètres!$A$1:$I$89,3,0)*VLOOKUP('Données projet'!$B$13,Paramètres!$A$1:$I$89,5,0)</f>
        <v>4.5224624045658861E-14</v>
      </c>
      <c r="CV109" s="13">
        <f t="shared" si="95"/>
        <v>7.4514601661523691E-13</v>
      </c>
      <c r="CW109" s="20">
        <f t="shared" si="67"/>
        <v>1.3765621991510601E-12</v>
      </c>
      <c r="CX109" s="59">
        <f t="shared" si="68"/>
        <v>293.33333333333468</v>
      </c>
      <c r="CY109" s="59">
        <f ca="1">AVERAGE(OFFSET($CX$3,0,0,'Données projet'!$E$13+1,1))-AVERAGE(OFFSET($H$3,0,0,'Données projet'!$E$13+1,1))</f>
        <v>198.11534486400666</v>
      </c>
      <c r="CZ109" s="59">
        <f t="shared" si="96"/>
        <v>174.29856796517652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47.121827015250368</v>
      </c>
      <c r="DG109" s="21">
        <f>EXP(-LN(2)/25)*DG108+(1-EXP(-LN(2)/25))/(LN(2)/25)*Calculateur!DB109*Calculateur!DD109*VLOOKUP('Données projet'!$B$13,Paramètres!$A$1:$I$89,3,0)*0.475*44/12</f>
        <v>12.285944936235575</v>
      </c>
      <c r="DH109" s="21">
        <f>EXP(-LN(2)/2)*DH108+(1-EXP(-LN(2)/2))/(LN(2)/2)*DB109*DE109*VLOOKUP('Données projet'!$B$13,Paramètres!$A$1:$I$89,3,0)*0.475*44/12</f>
        <v>2.4850580787665741E-3</v>
      </c>
      <c r="DI109" s="22">
        <f t="shared" si="69"/>
        <v>59.41025700956471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4.583333333333333</v>
      </c>
      <c r="DO109" s="12">
        <f>IF('Données projet'!$A$166&gt;35,DO108+DN109-DW108,IF(A109&lt;'Données projet'!$A$166,$DL$205^A109,IF(A109='Données projet'!$A$166,'Données projet'!$B$166,DO108+DN109-DW108)))</f>
        <v>188.33333333333329</v>
      </c>
      <c r="DP109" s="17">
        <f>DO109*VLOOKUP('Données projet'!$B$14,Paramètres!$A$1:$I$89,3,0)*VLOOKUP('Données projet'!$B$14,Paramètres!$A$1:$I$89,5,0)</f>
        <v>190.96999999999997</v>
      </c>
      <c r="DQ109" s="13">
        <f t="shared" si="97"/>
        <v>47.754342479994186</v>
      </c>
      <c r="DR109" s="20">
        <f t="shared" si="70"/>
        <v>415.77822981932314</v>
      </c>
      <c r="DS109" s="59">
        <f t="shared" si="71"/>
        <v>709.11156315265646</v>
      </c>
      <c r="DT109" s="59">
        <f ca="1">AVERAGE(OFFSET($DS$3,0,0,'Données projet'!$E$14+1,1))-AVERAGE(OFFSET($H$3,0,0,'Données projet'!$E$14+1,1))</f>
        <v>247.92503505485405</v>
      </c>
      <c r="DU109" s="59">
        <f t="shared" si="98"/>
        <v>148.26437652597514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7.5795590673048521</v>
      </c>
      <c r="EB109" s="21">
        <f>EXP(-LN(2)/25)*EB108+(1-EXP(-LN(2)/25))/(LN(2)/25)*Calculateur!DW109*Calculateur!DY109*VLOOKUP('Données projet'!$B$14,Paramètres!$A$1:$I$89,3,0)*0.475*44/12</f>
        <v>25.641259129923146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33.220818197227999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4.583333333333333</v>
      </c>
      <c r="EJ109" s="12">
        <f>IF('Données projet'!$A$192&gt;35,EJ108+EI109-ER108,IF(A109&lt;'Données projet'!$A$192,$EG$205^A109,IF(A109='Données projet'!$A$192,'Données projet'!$B$192,EJ108+EI109-ER108)))</f>
        <v>188.33333333333329</v>
      </c>
      <c r="EK109" s="17">
        <f>EJ109*VLOOKUP('Données projet'!$B$15,Paramètres!$A$1:$I$89,3,0)*VLOOKUP('Données projet'!$B$15,Paramètres!$A$1:$I$89,5,0)</f>
        <v>182.15599999999995</v>
      </c>
      <c r="EL109" s="13">
        <f t="shared" si="99"/>
        <v>45.801523544344732</v>
      </c>
      <c r="EM109" s="20">
        <f t="shared" si="73"/>
        <v>397.02602017306691</v>
      </c>
      <c r="EN109" s="59">
        <f t="shared" si="74"/>
        <v>690.35935350640023</v>
      </c>
      <c r="EO109" s="59">
        <f ca="1">AVERAGE(OFFSET($EN$3,0,0,'Données projet'!$E$15+1,1))-AVERAGE(OFFSET($H$3,0,0,'Données projet'!$E$15+1,1))</f>
        <v>232.99870507181964</v>
      </c>
      <c r="EP109" s="59">
        <f t="shared" si="100"/>
        <v>140.07662669226278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7.2297332641984733</v>
      </c>
      <c r="EW109" s="21">
        <f>EXP(-LN(2)/25)*EW108+(1-EXP(-LN(2)/25))/(LN(2)/25)*Calculateur!ER109*Calculateur!ET109*VLOOKUP('Données projet'!$B$15,Paramètres!$A$1:$I$89,3,0)*0.475*44/12</f>
        <v>24.457816400849758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31.68754966504823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5.6843418860808015E-14</v>
      </c>
      <c r="FF109" s="17">
        <f>FE109*VLOOKUP('Données projet'!$B$16,Paramètres!$A$1:$I$89,3,0)*VLOOKUP('Données projet'!$B$16,Paramètres!$A$1:$I$89,5,0)</f>
        <v>4.4337866711430253E-14</v>
      </c>
      <c r="FG109" s="13">
        <f t="shared" si="101"/>
        <v>7.3222115536967035E-13</v>
      </c>
      <c r="FH109" s="20">
        <f t="shared" si="76"/>
        <v>1.3525069634579169E-12</v>
      </c>
      <c r="FI109" s="59">
        <f t="shared" si="77"/>
        <v>293.33333333333468</v>
      </c>
      <c r="FJ109" s="59">
        <f ca="1">AVERAGE(OFFSET($FI$3,0,0,'Données projet'!$E$16+1,1))-AVERAGE(OFFSET($H$3,0,0,'Données projet'!$E$16+1,1))</f>
        <v>193.47609744163839</v>
      </c>
      <c r="FK109" s="59">
        <f t="shared" si="102"/>
        <v>170.3221892406973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37.481290448682309</v>
      </c>
      <c r="FR109" s="21">
        <f>EXP(-LN(2)/25)*FR108+(1-EXP(-LN(2)/25))/(LN(2)/25)*Calculateur!FM109*Calculateur!FO109*VLOOKUP('Données projet'!$B$16,Paramètres!$A$1:$I$89,3,0)*0.475*44/12</f>
        <v>9.7723942334097167</v>
      </c>
      <c r="FS109" s="21">
        <f>EXP(-LN(2)/2)*FS108+(1-EXP(-LN(2)/2))/(LN(2)/2)*FM109*FP109*VLOOKUP('Données projet'!$B$16,Paramètres!$A$1:$I$89,3,0)*0.475*44/12</f>
        <v>2.4363314497711547E-3</v>
      </c>
      <c r="FT109" s="22">
        <f t="shared" si="78"/>
        <v>47.256121013541801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>
        <f>FZ109*VLOOKUP('Données projet'!$B$17,Paramètres!$A$1:$I$89,3,0)*VLOOKUP('Données projet'!$B$17,Paramètres!$A$1:$I$89,5,0)</f>
        <v>0</v>
      </c>
      <c r="GB109" s="13" t="e">
        <f t="shared" si="103"/>
        <v>#NUM!</v>
      </c>
      <c r="GC109" s="20" t="e">
        <f t="shared" si="79"/>
        <v>#NUM!</v>
      </c>
      <c r="GD109" s="59" t="e">
        <f t="shared" si="80"/>
        <v>#NUM!</v>
      </c>
      <c r="GE109" s="59">
        <f ca="1">AVERAGE(OFFSET($GD$3,0,0,'Données projet'!$E$17+1,1))-AVERAGE(OFFSET($H$3,0,0,'Données projet'!$E$17+1,1))</f>
        <v>153.43773674911449</v>
      </c>
      <c r="GF109" s="59">
        <f t="shared" si="104"/>
        <v>235.49395036616602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49.26885284627631</v>
      </c>
      <c r="GM109" s="21">
        <f>EXP(-LN(2)/25)*GM108+(1-EXP(-LN(2)/25))/(LN(2)/25)*Calculateur!GH109*Calculateur!GJ109*VLOOKUP('Données projet'!$B$17,Paramètres!$A$1:$I$89,3,0)*0.475*44/12</f>
        <v>23.989485868077249</v>
      </c>
      <c r="GN109" s="21">
        <f>EXP(-LN(2)/2)*GN108+(1-EXP(-LN(2)/2))/(LN(2)/2)*GH109*GK109*VLOOKUP('Données projet'!$B$17,Paramètres!$A$1:$I$89,3,0)*0.475*44/12</f>
        <v>0</v>
      </c>
      <c r="GO109" s="21">
        <f t="shared" si="81"/>
        <v>73.258338714353556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5.6843418860808015E-14</v>
      </c>
      <c r="GV109" s="17">
        <f>GU109*VLOOKUP('Données projet'!$B$18,Paramètres!$A$1:$I$89,3,0)*VLOOKUP('Données projet'!$B$18,Paramètres!$A$1:$I$89,5,0)</f>
        <v>4.5224624045658861E-14</v>
      </c>
      <c r="GW109" s="13">
        <f t="shared" si="105"/>
        <v>7.4514601661523691E-13</v>
      </c>
      <c r="GX109" s="20">
        <f t="shared" si="82"/>
        <v>1.3765621991510601E-12</v>
      </c>
      <c r="GY109" s="59">
        <f t="shared" si="83"/>
        <v>293.33333333333468</v>
      </c>
      <c r="GZ109" s="59">
        <f ca="1">AVERAGE(OFFSET($GY$3,0,0,'Données projet'!$E$18+1,1))-AVERAGE(OFFSET($H$3,0,0,'Données projet'!$E$18+1,1))</f>
        <v>198.11534486400666</v>
      </c>
      <c r="HA109" s="59">
        <f t="shared" si="106"/>
        <v>174.29856796517652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>
        <f>EXP(-LN(2)/35)*HG108+(1-EXP(-LN(2)/35))/(LN(2)/35)*HC109*HD109*VLOOKUP('Données projet'!$B$18,Paramètres!$A$1:$I$89,3,0)*0.475*44/12</f>
        <v>47.121827015250368</v>
      </c>
      <c r="HH109" s="21">
        <f>EXP(-LN(2)/25)*HH108+(1-EXP(-LN(2)/25))/(LN(2)/25)*Calculateur!HC109*Calculateur!HE109*VLOOKUP('Données projet'!$B$18,Paramètres!$A$1:$I$89,3,0)*0.475*44/12</f>
        <v>12.285944936235575</v>
      </c>
      <c r="HI109" s="21">
        <f>EXP(-LN(2)/2)*HI108+(1-EXP(-LN(2)/2))/(LN(2)/2)*HC109*HF109*VLOOKUP('Données projet'!$B$18,Paramètres!$A$1:$I$89,3,0)*0.475*44/12</f>
        <v>2.4850580787665741E-3</v>
      </c>
      <c r="HJ109" s="22">
        <f t="shared" si="84"/>
        <v>59.41025700956471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1.1368683772161603E-13</v>
      </c>
      <c r="O110" s="13">
        <f>N110*VLOOKUP('Données projet'!$B$9,Paramètres!$A$1:$I$89,3,0)*VLOOKUP('Données projet'!$B$9,Paramètres!$A$1:$I$89,5,0)</f>
        <v>6.7984728957526396E-14</v>
      </c>
      <c r="P110" s="13">
        <f t="shared" si="87"/>
        <v>1.0682447123141398E-12</v>
      </c>
      <c r="Q110" s="20">
        <f t="shared" si="107"/>
        <v>1.978932943548152E-12</v>
      </c>
      <c r="R110" s="59">
        <f t="shared" si="55"/>
        <v>293.3333333333353</v>
      </c>
      <c r="S110" s="59">
        <f ca="1">AVERAGE(OFFSET($R$3,0,0,'Données projet'!$E$9+1,1))-AVERAGE(OFFSET($H$3,0,0,'Données projet'!$E$9+1,1))</f>
        <v>295.19075440119076</v>
      </c>
      <c r="T110" s="59">
        <f t="shared" si="88"/>
        <v>173.0182327988216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116.43026821557214</v>
      </c>
      <c r="AA110" s="21">
        <f>EXP(-LN(2)/25)*AA109+(1-EXP(-LN(2)/25))/(LN(2)/25)*Calculateur!V110*Calculateur!X110*VLOOKUP('Données projet'!$B$9,Paramètres!$A$1:$I$89,3,0)*0.475*44/12</f>
        <v>54.064662114272828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170.49493032984498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294.45857786714919</v>
      </c>
      <c r="AO110" s="59">
        <f t="shared" si="90"/>
        <v>221.9773436301067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107.46522145883361</v>
      </c>
      <c r="AV110" s="21">
        <f>EXP(-LN(2)/25)*AV109+(1-EXP(-LN(2)/25))/(LN(2)/25)*Calculateur!AQ110*Calculateur!AS110*VLOOKUP('Données projet'!$B$10,Paramètres!$A$1:$I$89,3,0)*0.475*44/12</f>
        <v>47.560415475247318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155.02563693408092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179.44051550872138</v>
      </c>
      <c r="BJ110" s="59">
        <f t="shared" si="92"/>
        <v>272.9500808380069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55.203109363421483</v>
      </c>
      <c r="BQ110" s="21">
        <f>EXP(-LN(2)/25)*BQ109+(1-EXP(-LN(2)/25))/(LN(2)/25)*Calculateur!BL110*Calculateur!BN110*VLOOKUP('Données projet'!$B$11,Paramètres!$A$1:$I$89,3,0)*0.475*44/12</f>
        <v>26.666848131957092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81.869957495378571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-3.4106051316484809E-13</v>
      </c>
      <c r="BZ110" s="13">
        <f>BY110*VLOOKUP('Données projet'!$B$12,Paramètres!$A$1:$I$89,3,0)*VLOOKUP('Données projet'!$B$12,Paramètres!$A$1:$I$89,5,0)</f>
        <v>-1.5961632016114892E-13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259.87681411271632</v>
      </c>
      <c r="CE110" s="59">
        <f t="shared" si="94"/>
        <v>191.8684235641158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190.97516071970509</v>
      </c>
      <c r="CL110" s="21">
        <f>EXP(-LN(2)/25)*CL109+(1-EXP(-LN(2)/25))/(LN(2)/25)*Calculateur!CG110*Calculateur!CI110*VLOOKUP('Données projet'!$B$12,Paramètres!$A$1:$I$89,3,0)*0.475*44/12</f>
        <v>90.357458262568841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281.33261898227391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5.6843418860808015E-14</v>
      </c>
      <c r="CU110" s="17">
        <f>CT110*VLOOKUP('Données projet'!$B$13,Paramètres!$A$1:$I$89,3,0)*VLOOKUP('Données projet'!$B$13,Paramètres!$A$1:$I$89,5,0)</f>
        <v>4.5224624045658861E-14</v>
      </c>
      <c r="CV110" s="13">
        <f t="shared" si="95"/>
        <v>7.4514601661523691E-13</v>
      </c>
      <c r="CW110" s="20">
        <f t="shared" si="67"/>
        <v>1.3765621991510601E-12</v>
      </c>
      <c r="CX110" s="59">
        <f t="shared" si="68"/>
        <v>293.33333333333468</v>
      </c>
      <c r="CY110" s="59">
        <f ca="1">AVERAGE(OFFSET($CX$3,0,0,'Données projet'!$E$13+1,1))-AVERAGE(OFFSET($H$3,0,0,'Données projet'!$E$13+1,1))</f>
        <v>198.11534486400666</v>
      </c>
      <c r="CZ110" s="59">
        <f t="shared" si="96"/>
        <v>174.29856796517652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46.197796728957805</v>
      </c>
      <c r="DG110" s="21">
        <f>EXP(-LN(2)/25)*DG109+(1-EXP(-LN(2)/25))/(LN(2)/25)*Calculateur!DB110*Calculateur!DD110*VLOOKUP('Données projet'!$B$13,Paramètres!$A$1:$I$89,3,0)*0.475*44/12</f>
        <v>11.949985125864449</v>
      </c>
      <c r="DH110" s="21">
        <f>EXP(-LN(2)/2)*DH109+(1-EXP(-LN(2)/2))/(LN(2)/2)*DB110*DE110*VLOOKUP('Données projet'!$B$13,Paramètres!$A$1:$I$89,3,0)*0.475*44/12</f>
        <v>1.7572014191382581E-3</v>
      </c>
      <c r="DI110" s="22">
        <f t="shared" si="69"/>
        <v>58.149539056241395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4.583333333333333</v>
      </c>
      <c r="DO110" s="12">
        <f>IF('Données projet'!$A$166&gt;35,DO109+DN110-DW109,IF(A110&lt;'Données projet'!$A$166,$DL$205^A110,IF(A110='Données projet'!$A$166,'Données projet'!$B$166,DO109+DN110-DW109)))</f>
        <v>192.91666666666663</v>
      </c>
      <c r="DP110" s="17">
        <f>DO110*VLOOKUP('Données projet'!$B$14,Paramètres!$A$1:$I$89,3,0)*VLOOKUP('Données projet'!$B$14,Paramètres!$A$1:$I$89,5,0)</f>
        <v>195.61749999999998</v>
      </c>
      <c r="DQ110" s="13">
        <f t="shared" si="97"/>
        <v>48.779788435951872</v>
      </c>
      <c r="DR110" s="20">
        <f t="shared" si="70"/>
        <v>425.65861069261609</v>
      </c>
      <c r="DS110" s="59">
        <f t="shared" si="71"/>
        <v>718.99194402594935</v>
      </c>
      <c r="DT110" s="59">
        <f ca="1">AVERAGE(OFFSET($DS$3,0,0,'Données projet'!$E$14+1,1))-AVERAGE(OFFSET($H$3,0,0,'Données projet'!$E$14+1,1))</f>
        <v>247.92503505485405</v>
      </c>
      <c r="DU110" s="59">
        <f t="shared" si="98"/>
        <v>148.26437652597514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7.4309285370695441</v>
      </c>
      <c r="EB110" s="21">
        <f>EXP(-LN(2)/25)*EB109+(1-EXP(-LN(2)/25))/(LN(2)/25)*Calculateur!DW110*Calculateur!DY110*VLOOKUP('Données projet'!$B$14,Paramètres!$A$1:$I$89,3,0)*0.475*44/12</f>
        <v>24.940097550600182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32.371026087669726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4.583333333333333</v>
      </c>
      <c r="EJ110" s="12">
        <f>IF('Données projet'!$A$192&gt;35,EJ109+EI110-ER109,IF(A110&lt;'Données projet'!$A$192,$EG$205^A110,IF(A110='Données projet'!$A$192,'Données projet'!$B$192,EJ109+EI110-ER109)))</f>
        <v>192.91666666666663</v>
      </c>
      <c r="EK110" s="17">
        <f>EJ110*VLOOKUP('Données projet'!$B$15,Paramètres!$A$1:$I$89,3,0)*VLOOKUP('Données projet'!$B$15,Paramètres!$A$1:$I$89,5,0)</f>
        <v>186.58899999999997</v>
      </c>
      <c r="EL110" s="13">
        <f t="shared" si="99"/>
        <v>46.785035925756475</v>
      </c>
      <c r="EM110" s="20">
        <f t="shared" si="73"/>
        <v>406.45977923735921</v>
      </c>
      <c r="EN110" s="59">
        <f t="shared" si="74"/>
        <v>699.79311257069253</v>
      </c>
      <c r="EO110" s="59">
        <f ca="1">AVERAGE(OFFSET($EN$3,0,0,'Données projet'!$E$15+1,1))-AVERAGE(OFFSET($H$3,0,0,'Données projet'!$E$15+1,1))</f>
        <v>232.99870507181964</v>
      </c>
      <c r="EP110" s="59">
        <f t="shared" si="100"/>
        <v>140.07662669226278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7.0879626045894106</v>
      </c>
      <c r="EW110" s="21">
        <f>EXP(-LN(2)/25)*EW109+(1-EXP(-LN(2)/25))/(LN(2)/25)*Calculateur!ER110*Calculateur!ET110*VLOOKUP('Données projet'!$B$15,Paramètres!$A$1:$I$89,3,0)*0.475*44/12</f>
        <v>23.789016125187857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30.876978729777267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5.6843418860808015E-14</v>
      </c>
      <c r="FF110" s="17">
        <f>FE110*VLOOKUP('Données projet'!$B$16,Paramètres!$A$1:$I$89,3,0)*VLOOKUP('Données projet'!$B$16,Paramètres!$A$1:$I$89,5,0)</f>
        <v>4.4337866711430253E-14</v>
      </c>
      <c r="FG110" s="13">
        <f t="shared" si="101"/>
        <v>7.3222115536967035E-13</v>
      </c>
      <c r="FH110" s="20">
        <f t="shared" si="76"/>
        <v>1.3525069634579169E-12</v>
      </c>
      <c r="FI110" s="59">
        <f t="shared" si="77"/>
        <v>293.33333333333468</v>
      </c>
      <c r="FJ110" s="59">
        <f ca="1">AVERAGE(OFFSET($FI$3,0,0,'Données projet'!$E$16+1,1))-AVERAGE(OFFSET($H$3,0,0,'Données projet'!$E$16+1,1))</f>
        <v>193.47609744163839</v>
      </c>
      <c r="FK110" s="59">
        <f t="shared" si="102"/>
        <v>170.3221892406973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36.746305204313451</v>
      </c>
      <c r="FR110" s="21">
        <f>EXP(-LN(2)/25)*FR109+(1-EXP(-LN(2)/25))/(LN(2)/25)*Calculateur!FM110*Calculateur!FO110*VLOOKUP('Données projet'!$B$16,Paramètres!$A$1:$I$89,3,0)*0.475*44/12</f>
        <v>9.5051675991892512</v>
      </c>
      <c r="FS110" s="21">
        <f>EXP(-LN(2)/2)*FS109+(1-EXP(-LN(2)/2))/(LN(2)/2)*FM110*FP110*VLOOKUP('Données projet'!$B$16,Paramètres!$A$1:$I$89,3,0)*0.475*44/12</f>
        <v>1.722746489351236E-3</v>
      </c>
      <c r="FT110" s="22">
        <f t="shared" si="78"/>
        <v>46.25319554999205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>
        <f>FZ110*VLOOKUP('Données projet'!$B$17,Paramètres!$A$1:$I$89,3,0)*VLOOKUP('Données projet'!$B$17,Paramètres!$A$1:$I$89,5,0)</f>
        <v>0</v>
      </c>
      <c r="GB110" s="13" t="e">
        <f t="shared" si="103"/>
        <v>#NUM!</v>
      </c>
      <c r="GC110" s="20" t="e">
        <f t="shared" si="79"/>
        <v>#NUM!</v>
      </c>
      <c r="GD110" s="59" t="e">
        <f t="shared" si="80"/>
        <v>#NUM!</v>
      </c>
      <c r="GE110" s="59">
        <f ca="1">AVERAGE(OFFSET($GD$3,0,0,'Données projet'!$E$17+1,1))-AVERAGE(OFFSET($H$3,0,0,'Données projet'!$E$17+1,1))</f>
        <v>153.43773674911449</v>
      </c>
      <c r="GF110" s="59">
        <f t="shared" si="104"/>
        <v>235.49395036616602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48.302720692993773</v>
      </c>
      <c r="GM110" s="21">
        <f>EXP(-LN(2)/25)*GM109+(1-EXP(-LN(2)/25))/(LN(2)/25)*Calculateur!GH110*Calculateur!GJ110*VLOOKUP('Données projet'!$B$17,Paramètres!$A$1:$I$89,3,0)*0.475*44/12</f>
        <v>23.333492115462445</v>
      </c>
      <c r="GN110" s="21">
        <f>EXP(-LN(2)/2)*GN109+(1-EXP(-LN(2)/2))/(LN(2)/2)*GH110*GK110*VLOOKUP('Données projet'!$B$17,Paramètres!$A$1:$I$89,3,0)*0.475*44/12</f>
        <v>0</v>
      </c>
      <c r="GO110" s="21">
        <f t="shared" si="81"/>
        <v>71.636212808456222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5.6843418860808015E-14</v>
      </c>
      <c r="GV110" s="17">
        <f>GU110*VLOOKUP('Données projet'!$B$18,Paramètres!$A$1:$I$89,3,0)*VLOOKUP('Données projet'!$B$18,Paramètres!$A$1:$I$89,5,0)</f>
        <v>4.5224624045658861E-14</v>
      </c>
      <c r="GW110" s="13">
        <f t="shared" si="105"/>
        <v>7.4514601661523691E-13</v>
      </c>
      <c r="GX110" s="20">
        <f t="shared" si="82"/>
        <v>1.3765621991510601E-12</v>
      </c>
      <c r="GY110" s="59">
        <f t="shared" si="83"/>
        <v>293.33333333333468</v>
      </c>
      <c r="GZ110" s="59">
        <f ca="1">AVERAGE(OFFSET($GY$3,0,0,'Données projet'!$E$18+1,1))-AVERAGE(OFFSET($H$3,0,0,'Données projet'!$E$18+1,1))</f>
        <v>198.11534486400666</v>
      </c>
      <c r="HA110" s="59">
        <f t="shared" si="106"/>
        <v>174.29856796517652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>
        <f>EXP(-LN(2)/35)*HG109+(1-EXP(-LN(2)/35))/(LN(2)/35)*HC110*HD110*VLOOKUP('Données projet'!$B$18,Paramètres!$A$1:$I$89,3,0)*0.475*44/12</f>
        <v>46.197796728957805</v>
      </c>
      <c r="HH110" s="21">
        <f>EXP(-LN(2)/25)*HH109+(1-EXP(-LN(2)/25))/(LN(2)/25)*Calculateur!HC110*Calculateur!HE110*VLOOKUP('Données projet'!$B$18,Paramètres!$A$1:$I$89,3,0)*0.475*44/12</f>
        <v>11.949985125864449</v>
      </c>
      <c r="HI110" s="21">
        <f>EXP(-LN(2)/2)*HI109+(1-EXP(-LN(2)/2))/(LN(2)/2)*HC110*HF110*VLOOKUP('Données projet'!$B$18,Paramètres!$A$1:$I$89,3,0)*0.475*44/12</f>
        <v>1.7572014191382581E-3</v>
      </c>
      <c r="HJ110" s="22">
        <f t="shared" si="84"/>
        <v>58.149539056241395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1.1368683772161603E-13</v>
      </c>
      <c r="O111" s="13">
        <f>N111*VLOOKUP('Données projet'!$B$9,Paramètres!$A$1:$I$89,3,0)*VLOOKUP('Données projet'!$B$9,Paramètres!$A$1:$I$89,5,0)</f>
        <v>6.7984728957526396E-14</v>
      </c>
      <c r="P111" s="13">
        <f t="shared" si="87"/>
        <v>1.0682447123141398E-12</v>
      </c>
      <c r="Q111" s="20">
        <f t="shared" si="107"/>
        <v>1.978932943548152E-12</v>
      </c>
      <c r="R111" s="59">
        <f t="shared" si="55"/>
        <v>293.3333333333353</v>
      </c>
      <c r="S111" s="59">
        <f ca="1">AVERAGE(OFFSET($R$3,0,0,'Données projet'!$E$9+1,1))-AVERAGE(OFFSET($H$3,0,0,'Données projet'!$E$9+1,1))</f>
        <v>295.19075440119076</v>
      </c>
      <c r="T111" s="59">
        <f t="shared" si="88"/>
        <v>173.0182327988216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114.14714167131619</v>
      </c>
      <c r="AA111" s="21">
        <f>EXP(-LN(2)/25)*AA110+(1-EXP(-LN(2)/25))/(LN(2)/25)*Calculateur!V111*Calculateur!X111*VLOOKUP('Données projet'!$B$9,Paramètres!$A$1:$I$89,3,0)*0.475*44/12</f>
        <v>52.586261085621025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166.73340275693721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294.45857786714919</v>
      </c>
      <c r="AO111" s="59">
        <f t="shared" si="90"/>
        <v>221.9773436301067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105.35789401333871</v>
      </c>
      <c r="AV111" s="21">
        <f>EXP(-LN(2)/25)*AV110+(1-EXP(-LN(2)/25))/(LN(2)/25)*Calculateur!AQ111*Calculateur!AS111*VLOOKUP('Données projet'!$B$10,Paramètres!$A$1:$I$89,3,0)*0.475*44/12</f>
        <v>46.259873412983133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151.61776742632185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179.44051550872138</v>
      </c>
      <c r="BJ111" s="59">
        <f t="shared" si="92"/>
        <v>272.9500808380069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54.120610059376808</v>
      </c>
      <c r="BQ111" s="21">
        <f>EXP(-LN(2)/25)*BQ110+(1-EXP(-LN(2)/25))/(LN(2)/25)*Calculateur!BL111*Calculateur!BN111*VLOOKUP('Données projet'!$B$11,Paramètres!$A$1:$I$89,3,0)*0.475*44/12</f>
        <v>25.93764176744013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80.058251826816942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-3.4106051316484809E-13</v>
      </c>
      <c r="BZ111" s="13">
        <f>BY111*VLOOKUP('Données projet'!$B$12,Paramètres!$A$1:$I$89,3,0)*VLOOKUP('Données projet'!$B$12,Paramètres!$A$1:$I$89,5,0)</f>
        <v>-1.5961632016114892E-13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259.87681411271632</v>
      </c>
      <c r="CE111" s="59">
        <f t="shared" si="94"/>
        <v>191.8684235641158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187.23025430133794</v>
      </c>
      <c r="CL111" s="21">
        <f>EXP(-LN(2)/25)*CL110+(1-EXP(-LN(2)/25))/(LN(2)/25)*Calculateur!CG111*Calculateur!CI111*VLOOKUP('Données projet'!$B$12,Paramètres!$A$1:$I$89,3,0)*0.475*44/12</f>
        <v>87.886628814686674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275.11688311602461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5.6843418860808015E-14</v>
      </c>
      <c r="CU111" s="17">
        <f>CT111*VLOOKUP('Données projet'!$B$13,Paramètres!$A$1:$I$89,3,0)*VLOOKUP('Données projet'!$B$13,Paramètres!$A$1:$I$89,5,0)</f>
        <v>4.5224624045658861E-14</v>
      </c>
      <c r="CV111" s="13">
        <f t="shared" si="95"/>
        <v>7.4514601661523691E-13</v>
      </c>
      <c r="CW111" s="20">
        <f t="shared" si="67"/>
        <v>1.3765621991510601E-12</v>
      </c>
      <c r="CX111" s="59">
        <f t="shared" si="68"/>
        <v>293.33333333333468</v>
      </c>
      <c r="CY111" s="59">
        <f ca="1">AVERAGE(OFFSET($CX$3,0,0,'Données projet'!$E$13+1,1))-AVERAGE(OFFSET($H$3,0,0,'Données projet'!$E$13+1,1))</f>
        <v>198.11534486400666</v>
      </c>
      <c r="CZ111" s="59">
        <f t="shared" si="96"/>
        <v>174.29856796517652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45.291886112976613</v>
      </c>
      <c r="DG111" s="21">
        <f>EXP(-LN(2)/25)*DG110+(1-EXP(-LN(2)/25))/(LN(2)/25)*Calculateur!DB111*Calculateur!DD111*VLOOKUP('Données projet'!$B$13,Paramètres!$A$1:$I$89,3,0)*0.475*44/12</f>
        <v>11.623212154175281</v>
      </c>
      <c r="DH111" s="21">
        <f>EXP(-LN(2)/2)*DH110+(1-EXP(-LN(2)/2))/(LN(2)/2)*DB111*DE111*VLOOKUP('Données projet'!$B$13,Paramètres!$A$1:$I$89,3,0)*0.475*44/12</f>
        <v>1.242529039383287E-3</v>
      </c>
      <c r="DI111" s="22">
        <f t="shared" si="69"/>
        <v>56.916340796191271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4.583333333333333</v>
      </c>
      <c r="DO111" s="12">
        <f>IF('Données projet'!$A$166&gt;35,DO110+DN111-DW110,IF(A111&lt;'Données projet'!$A$166,$DL$205^A111,IF(A111='Données projet'!$A$166,'Données projet'!$B$166,DO110+DN111-DW110)))</f>
        <v>197.49999999999997</v>
      </c>
      <c r="DP111" s="17">
        <f>DO111*VLOOKUP('Données projet'!$B$14,Paramètres!$A$1:$I$89,3,0)*VLOOKUP('Données projet'!$B$14,Paramètres!$A$1:$I$89,5,0)</f>
        <v>200.26500000000001</v>
      </c>
      <c r="DQ111" s="13">
        <f t="shared" si="97"/>
        <v>49.802402215745047</v>
      </c>
      <c r="DR111" s="20">
        <f t="shared" si="70"/>
        <v>435.53405885908927</v>
      </c>
      <c r="DS111" s="59">
        <f t="shared" si="71"/>
        <v>728.86739219242259</v>
      </c>
      <c r="DT111" s="59">
        <f ca="1">AVERAGE(OFFSET($DS$3,0,0,'Données projet'!$E$14+1,1))-AVERAGE(OFFSET($H$3,0,0,'Données projet'!$E$14+1,1))</f>
        <v>247.92503505485405</v>
      </c>
      <c r="DU111" s="59">
        <f t="shared" si="98"/>
        <v>148.26437652597514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7.2852125608764791</v>
      </c>
      <c r="EB111" s="21">
        <f>EXP(-LN(2)/25)*EB110+(1-EXP(-LN(2)/25))/(LN(2)/25)*Calculateur!DW111*Calculateur!DY111*VLOOKUP('Données projet'!$B$14,Paramètres!$A$1:$I$89,3,0)*0.475*44/12</f>
        <v>24.258109271536291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31.543321832412772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4.583333333333333</v>
      </c>
      <c r="EJ111" s="12">
        <f>IF('Données projet'!$A$192&gt;35,EJ110+EI111-ER110,IF(A111&lt;'Données projet'!$A$192,$EG$205^A111,IF(A111='Données projet'!$A$192,'Données projet'!$B$192,EJ110+EI111-ER110)))</f>
        <v>197.49999999999997</v>
      </c>
      <c r="EK111" s="17">
        <f>EJ111*VLOOKUP('Données projet'!$B$15,Paramètres!$A$1:$I$89,3,0)*VLOOKUP('Données projet'!$B$15,Paramètres!$A$1:$I$89,5,0)</f>
        <v>191.02199999999996</v>
      </c>
      <c r="EL111" s="13">
        <f t="shared" si="99"/>
        <v>47.76583194721966</v>
      </c>
      <c r="EM111" s="20">
        <f t="shared" si="73"/>
        <v>415.88880730807415</v>
      </c>
      <c r="EN111" s="59">
        <f t="shared" si="74"/>
        <v>709.22214064140746</v>
      </c>
      <c r="EO111" s="59">
        <f ca="1">AVERAGE(OFFSET($EN$3,0,0,'Données projet'!$E$15+1,1))-AVERAGE(OFFSET($H$3,0,0,'Données projet'!$E$15+1,1))</f>
        <v>232.99870507181964</v>
      </c>
      <c r="EP111" s="59">
        <f t="shared" si="100"/>
        <v>140.07662669226278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6.9489719811437176</v>
      </c>
      <c r="EW111" s="21">
        <f>EXP(-LN(2)/25)*EW110+(1-EXP(-LN(2)/25))/(LN(2)/25)*Calculateur!ER111*Calculateur!ET111*VLOOKUP('Données projet'!$B$15,Paramètres!$A$1:$I$89,3,0)*0.475*44/12</f>
        <v>23.138504228234606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30.087476209378323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5.6843418860808015E-14</v>
      </c>
      <c r="FF111" s="17">
        <f>FE111*VLOOKUP('Données projet'!$B$16,Paramètres!$A$1:$I$89,3,0)*VLOOKUP('Données projet'!$B$16,Paramètres!$A$1:$I$89,5,0)</f>
        <v>4.4337866711430253E-14</v>
      </c>
      <c r="FG111" s="13">
        <f t="shared" si="101"/>
        <v>7.3222115536967035E-13</v>
      </c>
      <c r="FH111" s="20">
        <f t="shared" si="76"/>
        <v>1.3525069634579169E-12</v>
      </c>
      <c r="FI111" s="59">
        <f t="shared" si="77"/>
        <v>293.33333333333468</v>
      </c>
      <c r="FJ111" s="59">
        <f ca="1">AVERAGE(OFFSET($FI$3,0,0,'Données projet'!$E$16+1,1))-AVERAGE(OFFSET($H$3,0,0,'Données projet'!$E$16+1,1))</f>
        <v>193.47609744163839</v>
      </c>
      <c r="FK111" s="59">
        <f t="shared" si="102"/>
        <v>170.3221892406973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36.025732572289932</v>
      </c>
      <c r="FR111" s="21">
        <f>EXP(-LN(2)/25)*FR110+(1-EXP(-LN(2)/25))/(LN(2)/25)*Calculateur!FM111*Calculateur!FO111*VLOOKUP('Données projet'!$B$16,Paramètres!$A$1:$I$89,3,0)*0.475*44/12</f>
        <v>9.2452482913343808</v>
      </c>
      <c r="FS111" s="21">
        <f>EXP(-LN(2)/2)*FS110+(1-EXP(-LN(2)/2))/(LN(2)/2)*FM111*FP111*VLOOKUP('Données projet'!$B$16,Paramètres!$A$1:$I$89,3,0)*0.475*44/12</f>
        <v>1.2181657248855773E-3</v>
      </c>
      <c r="FT111" s="22">
        <f t="shared" si="78"/>
        <v>45.272199029349203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>
        <f>FZ111*VLOOKUP('Données projet'!$B$17,Paramètres!$A$1:$I$89,3,0)*VLOOKUP('Données projet'!$B$17,Paramètres!$A$1:$I$89,5,0)</f>
        <v>0</v>
      </c>
      <c r="GB111" s="13" t="e">
        <f t="shared" si="103"/>
        <v>#NUM!</v>
      </c>
      <c r="GC111" s="20" t="e">
        <f t="shared" si="79"/>
        <v>#NUM!</v>
      </c>
      <c r="GD111" s="59" t="e">
        <f t="shared" si="80"/>
        <v>#NUM!</v>
      </c>
      <c r="GE111" s="59">
        <f ca="1">AVERAGE(OFFSET($GD$3,0,0,'Données projet'!$E$17+1,1))-AVERAGE(OFFSET($H$3,0,0,'Données projet'!$E$17+1,1))</f>
        <v>153.43773674911449</v>
      </c>
      <c r="GF111" s="59">
        <f t="shared" si="104"/>
        <v>235.49395036616602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47.355533801954685</v>
      </c>
      <c r="GM111" s="21">
        <f>EXP(-LN(2)/25)*GM110+(1-EXP(-LN(2)/25))/(LN(2)/25)*Calculateur!GH111*Calculateur!GJ111*VLOOKUP('Données projet'!$B$17,Paramètres!$A$1:$I$89,3,0)*0.475*44/12</f>
        <v>22.695436546510102</v>
      </c>
      <c r="GN111" s="21">
        <f>EXP(-LN(2)/2)*GN110+(1-EXP(-LN(2)/2))/(LN(2)/2)*GH111*GK111*VLOOKUP('Données projet'!$B$17,Paramètres!$A$1:$I$89,3,0)*0.475*44/12</f>
        <v>0</v>
      </c>
      <c r="GO111" s="21">
        <f t="shared" si="81"/>
        <v>70.050970348464787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5.6843418860808015E-14</v>
      </c>
      <c r="GV111" s="17">
        <f>GU111*VLOOKUP('Données projet'!$B$18,Paramètres!$A$1:$I$89,3,0)*VLOOKUP('Données projet'!$B$18,Paramètres!$A$1:$I$89,5,0)</f>
        <v>4.5224624045658861E-14</v>
      </c>
      <c r="GW111" s="13">
        <f t="shared" si="105"/>
        <v>7.4514601661523691E-13</v>
      </c>
      <c r="GX111" s="20">
        <f t="shared" si="82"/>
        <v>1.3765621991510601E-12</v>
      </c>
      <c r="GY111" s="59">
        <f t="shared" si="83"/>
        <v>293.33333333333468</v>
      </c>
      <c r="GZ111" s="59">
        <f ca="1">AVERAGE(OFFSET($GY$3,0,0,'Données projet'!$E$18+1,1))-AVERAGE(OFFSET($H$3,0,0,'Données projet'!$E$18+1,1))</f>
        <v>198.11534486400666</v>
      </c>
      <c r="HA111" s="59">
        <f t="shared" si="106"/>
        <v>174.29856796517652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>
        <f>EXP(-LN(2)/35)*HG110+(1-EXP(-LN(2)/35))/(LN(2)/35)*HC111*HD111*VLOOKUP('Données projet'!$B$18,Paramètres!$A$1:$I$89,3,0)*0.475*44/12</f>
        <v>45.291886112976613</v>
      </c>
      <c r="HH111" s="21">
        <f>EXP(-LN(2)/25)*HH110+(1-EXP(-LN(2)/25))/(LN(2)/25)*Calculateur!HC111*Calculateur!HE111*VLOOKUP('Données projet'!$B$18,Paramètres!$A$1:$I$89,3,0)*0.475*44/12</f>
        <v>11.623212154175281</v>
      </c>
      <c r="HI111" s="21">
        <f>EXP(-LN(2)/2)*HI110+(1-EXP(-LN(2)/2))/(LN(2)/2)*HC111*HF111*VLOOKUP('Données projet'!$B$18,Paramètres!$A$1:$I$89,3,0)*0.475*44/12</f>
        <v>1.242529039383287E-3</v>
      </c>
      <c r="HJ111" s="22">
        <f t="shared" si="84"/>
        <v>56.916340796191271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1.1368683772161603E-13</v>
      </c>
      <c r="O112" s="13">
        <f>N112*VLOOKUP('Données projet'!$B$9,Paramètres!$A$1:$I$89,3,0)*VLOOKUP('Données projet'!$B$9,Paramètres!$A$1:$I$89,5,0)</f>
        <v>6.7984728957526396E-14</v>
      </c>
      <c r="P112" s="13">
        <f t="shared" si="87"/>
        <v>1.0682447123141398E-12</v>
      </c>
      <c r="Q112" s="20">
        <f t="shared" si="107"/>
        <v>1.978932943548152E-12</v>
      </c>
      <c r="R112" s="59">
        <f t="shared" si="55"/>
        <v>293.3333333333353</v>
      </c>
      <c r="S112" s="59">
        <f ca="1">AVERAGE(OFFSET($R$3,0,0,'Données projet'!$E$9+1,1))-AVERAGE(OFFSET($H$3,0,0,'Données projet'!$E$9+1,1))</f>
        <v>295.19075440119076</v>
      </c>
      <c r="T112" s="59">
        <f t="shared" si="88"/>
        <v>173.0182327988216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111.90878584602341</v>
      </c>
      <c r="AA112" s="21">
        <f>EXP(-LN(2)/25)*AA111+(1-EXP(-LN(2)/25))/(LN(2)/25)*Calculateur!V112*Calculateur!X112*VLOOKUP('Données projet'!$B$9,Paramètres!$A$1:$I$89,3,0)*0.475*44/12</f>
        <v>51.148287010843433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163.05707285686685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294.45857786714919</v>
      </c>
      <c r="AO112" s="59">
        <f t="shared" si="90"/>
        <v>221.9773436301067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103.29188997370714</v>
      </c>
      <c r="AV112" s="21">
        <f>EXP(-LN(2)/25)*AV111+(1-EXP(-LN(2)/25))/(LN(2)/25)*Calculateur!AQ112*Calculateur!AS112*VLOOKUP('Données projet'!$B$10,Paramètres!$A$1:$I$89,3,0)*0.475*44/12</f>
        <v>44.994894741804096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148.28678471551123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179.44051550872138</v>
      </c>
      <c r="BJ112" s="59">
        <f t="shared" si="92"/>
        <v>272.9500808380069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53.059337906425071</v>
      </c>
      <c r="BQ112" s="21">
        <f>EXP(-LN(2)/25)*BQ111+(1-EXP(-LN(2)/25))/(LN(2)/25)*Calculateur!BL112*Calculateur!BN112*VLOOKUP('Données projet'!$B$11,Paramètres!$A$1:$I$89,3,0)*0.475*44/12</f>
        <v>25.228375589308179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78.287713495733243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-3.4106051316484809E-13</v>
      </c>
      <c r="BZ112" s="13">
        <f>BY112*VLOOKUP('Données projet'!$B$12,Paramètres!$A$1:$I$89,3,0)*VLOOKUP('Données projet'!$B$12,Paramètres!$A$1:$I$89,5,0)</f>
        <v>-1.5961632016114892E-13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259.87681411271632</v>
      </c>
      <c r="CE112" s="59">
        <f t="shared" si="94"/>
        <v>191.8684235641158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183.5587832136676</v>
      </c>
      <c r="CL112" s="21">
        <f>EXP(-LN(2)/25)*CL111+(1-EXP(-LN(2)/25))/(LN(2)/25)*Calculateur!CG112*Calculateur!CI112*VLOOKUP('Données projet'!$B$12,Paramètres!$A$1:$I$89,3,0)*0.475*44/12</f>
        <v>85.48336432799212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269.04214754165969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5.6843418860808015E-14</v>
      </c>
      <c r="CU112" s="17">
        <f>CT112*VLOOKUP('Données projet'!$B$13,Paramètres!$A$1:$I$89,3,0)*VLOOKUP('Données projet'!$B$13,Paramètres!$A$1:$I$89,5,0)</f>
        <v>4.5224624045658861E-14</v>
      </c>
      <c r="CV112" s="13">
        <f t="shared" si="95"/>
        <v>7.4514601661523691E-13</v>
      </c>
      <c r="CW112" s="20">
        <f t="shared" si="67"/>
        <v>1.3765621991510601E-12</v>
      </c>
      <c r="CX112" s="59">
        <f t="shared" si="68"/>
        <v>293.33333333333468</v>
      </c>
      <c r="CY112" s="59">
        <f ca="1">AVERAGE(OFFSET($CX$3,0,0,'Données projet'!$E$13+1,1))-AVERAGE(OFFSET($H$3,0,0,'Données projet'!$E$13+1,1))</f>
        <v>198.11534486400666</v>
      </c>
      <c r="CZ112" s="59">
        <f t="shared" si="96"/>
        <v>174.29856796517652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44.403739851623897</v>
      </c>
      <c r="DG112" s="21">
        <f>EXP(-LN(2)/25)*DG111+(1-EXP(-LN(2)/25))/(LN(2)/25)*Calculateur!DB112*Calculateur!DD112*VLOOKUP('Données projet'!$B$13,Paramètres!$A$1:$I$89,3,0)*0.475*44/12</f>
        <v>11.305374806581195</v>
      </c>
      <c r="DH112" s="21">
        <f>EXP(-LN(2)/2)*DH111+(1-EXP(-LN(2)/2))/(LN(2)/2)*DB112*DE112*VLOOKUP('Données projet'!$B$13,Paramètres!$A$1:$I$89,3,0)*0.475*44/12</f>
        <v>8.7860070956912904E-4</v>
      </c>
      <c r="DI112" s="22">
        <f t="shared" si="69"/>
        <v>55.709993258914665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4.583333333333333</v>
      </c>
      <c r="DO112" s="12">
        <f>IF('Données projet'!$A$166&gt;35,DO111+DN112-DW111,IF(A112&lt;'Données projet'!$A$166,$DL$205^A112,IF(A112='Données projet'!$A$166,'Données projet'!$B$166,DO111+DN112-DW111)))</f>
        <v>202.08333333333331</v>
      </c>
      <c r="DP112" s="17">
        <f>DO112*VLOOKUP('Données projet'!$B$14,Paramètres!$A$1:$I$89,3,0)*VLOOKUP('Données projet'!$B$14,Paramètres!$A$1:$I$89,5,0)</f>
        <v>204.91249999999999</v>
      </c>
      <c r="DQ112" s="13">
        <f t="shared" si="97"/>
        <v>50.822257109723651</v>
      </c>
      <c r="DR112" s="20">
        <f t="shared" si="70"/>
        <v>445.40470196610204</v>
      </c>
      <c r="DS112" s="59">
        <f t="shared" si="71"/>
        <v>738.7380352994353</v>
      </c>
      <c r="DT112" s="59">
        <f ca="1">AVERAGE(OFFSET($DS$3,0,0,'Données projet'!$E$14+1,1))-AVERAGE(OFFSET($H$3,0,0,'Données projet'!$E$14+1,1))</f>
        <v>247.92503505485405</v>
      </c>
      <c r="DU112" s="59">
        <f t="shared" si="98"/>
        <v>148.26437652597514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7.1423539860985903</v>
      </c>
      <c r="EB112" s="21">
        <f>EXP(-LN(2)/25)*EB111+(1-EXP(-LN(2)/25))/(LN(2)/25)*Calculateur!DW112*Calculateur!DY112*VLOOKUP('Données projet'!$B$14,Paramètres!$A$1:$I$89,3,0)*0.475*44/12</f>
        <v>23.594769997827608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30.7371239839262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4.583333333333333</v>
      </c>
      <c r="EJ112" s="12">
        <f>IF('Données projet'!$A$192&gt;35,EJ111+EI112-ER111,IF(A112&lt;'Données projet'!$A$192,$EG$205^A112,IF(A112='Données projet'!$A$192,'Données projet'!$B$192,EJ111+EI112-ER111)))</f>
        <v>202.08333333333331</v>
      </c>
      <c r="EK112" s="17">
        <f>EJ112*VLOOKUP('Données projet'!$B$15,Paramètres!$A$1:$I$89,3,0)*VLOOKUP('Données projet'!$B$15,Paramètres!$A$1:$I$89,5,0)</f>
        <v>195.45499999999998</v>
      </c>
      <c r="EL112" s="13">
        <f t="shared" si="99"/>
        <v>48.743981902021005</v>
      </c>
      <c r="EM112" s="20">
        <f t="shared" si="73"/>
        <v>425.31322681268654</v>
      </c>
      <c r="EN112" s="59">
        <f t="shared" si="74"/>
        <v>718.64656014601985</v>
      </c>
      <c r="EO112" s="59">
        <f ca="1">AVERAGE(OFFSET($EN$3,0,0,'Données projet'!$E$15+1,1))-AVERAGE(OFFSET($H$3,0,0,'Données projet'!$E$15+1,1))</f>
        <v>232.99870507181964</v>
      </c>
      <c r="EP112" s="59">
        <f t="shared" si="100"/>
        <v>140.07662669226278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6.8127068790478855</v>
      </c>
      <c r="EW112" s="21">
        <f>EXP(-LN(2)/25)*EW111+(1-EXP(-LN(2)/25))/(LN(2)/25)*Calculateur!ER112*Calculateur!ET112*VLOOKUP('Données projet'!$B$15,Paramètres!$A$1:$I$89,3,0)*0.475*44/12</f>
        <v>22.505780613312478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29.318487492360362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5.6843418860808015E-14</v>
      </c>
      <c r="FF112" s="17">
        <f>FE112*VLOOKUP('Données projet'!$B$16,Paramètres!$A$1:$I$89,3,0)*VLOOKUP('Données projet'!$B$16,Paramètres!$A$1:$I$89,5,0)</f>
        <v>4.4337866711430253E-14</v>
      </c>
      <c r="FG112" s="13">
        <f t="shared" si="101"/>
        <v>7.3222115536967035E-13</v>
      </c>
      <c r="FH112" s="20">
        <f t="shared" si="76"/>
        <v>1.3525069634579169E-12</v>
      </c>
      <c r="FI112" s="59">
        <f t="shared" si="77"/>
        <v>293.33333333333468</v>
      </c>
      <c r="FJ112" s="59">
        <f ca="1">AVERAGE(OFFSET($FI$3,0,0,'Données projet'!$E$16+1,1))-AVERAGE(OFFSET($H$3,0,0,'Données projet'!$E$16+1,1))</f>
        <v>193.47609744163839</v>
      </c>
      <c r="FK112" s="59">
        <f t="shared" si="102"/>
        <v>170.3221892406973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35.31928993007449</v>
      </c>
      <c r="FR112" s="21">
        <f>EXP(-LN(2)/25)*FR111+(1-EXP(-LN(2)/25))/(LN(2)/25)*Calculateur!FM112*Calculateur!FO112*VLOOKUP('Données projet'!$B$16,Paramètres!$A$1:$I$89,3,0)*0.475*44/12</f>
        <v>8.9924364906213654</v>
      </c>
      <c r="FS112" s="21">
        <f>EXP(-LN(2)/2)*FS111+(1-EXP(-LN(2)/2))/(LN(2)/2)*FM112*FP112*VLOOKUP('Données projet'!$B$16,Paramètres!$A$1:$I$89,3,0)*0.475*44/12</f>
        <v>8.61373244675618E-4</v>
      </c>
      <c r="FT112" s="22">
        <f t="shared" si="78"/>
        <v>44.31258779394053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>
        <f>FZ112*VLOOKUP('Données projet'!$B$17,Paramètres!$A$1:$I$89,3,0)*VLOOKUP('Données projet'!$B$17,Paramètres!$A$1:$I$89,5,0)</f>
        <v>0</v>
      </c>
      <c r="GB112" s="13" t="e">
        <f t="shared" si="103"/>
        <v>#NUM!</v>
      </c>
      <c r="GC112" s="20" t="e">
        <f t="shared" si="79"/>
        <v>#NUM!</v>
      </c>
      <c r="GD112" s="59" t="e">
        <f t="shared" si="80"/>
        <v>#NUM!</v>
      </c>
      <c r="GE112" s="59">
        <f ca="1">AVERAGE(OFFSET($GD$3,0,0,'Données projet'!$E$17+1,1))-AVERAGE(OFFSET($H$3,0,0,'Données projet'!$E$17+1,1))</f>
        <v>153.43773674911449</v>
      </c>
      <c r="GF112" s="59">
        <f t="shared" si="104"/>
        <v>235.49395036616602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46.426920668121916</v>
      </c>
      <c r="GM112" s="21">
        <f>EXP(-LN(2)/25)*GM111+(1-EXP(-LN(2)/25))/(LN(2)/25)*Calculateur!GH112*Calculateur!GJ112*VLOOKUP('Données projet'!$B$17,Paramètres!$A$1:$I$89,3,0)*0.475*44/12</f>
        <v>22.074828640644647</v>
      </c>
      <c r="GN112" s="21">
        <f>EXP(-LN(2)/2)*GN111+(1-EXP(-LN(2)/2))/(LN(2)/2)*GH112*GK112*VLOOKUP('Données projet'!$B$17,Paramètres!$A$1:$I$89,3,0)*0.475*44/12</f>
        <v>0</v>
      </c>
      <c r="GO112" s="21">
        <f t="shared" si="81"/>
        <v>68.501749308766563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5.6843418860808015E-14</v>
      </c>
      <c r="GV112" s="17">
        <f>GU112*VLOOKUP('Données projet'!$B$18,Paramètres!$A$1:$I$89,3,0)*VLOOKUP('Données projet'!$B$18,Paramètres!$A$1:$I$89,5,0)</f>
        <v>4.5224624045658861E-14</v>
      </c>
      <c r="GW112" s="13">
        <f t="shared" si="105"/>
        <v>7.4514601661523691E-13</v>
      </c>
      <c r="GX112" s="20">
        <f t="shared" si="82"/>
        <v>1.3765621991510601E-12</v>
      </c>
      <c r="GY112" s="59">
        <f t="shared" si="83"/>
        <v>293.33333333333468</v>
      </c>
      <c r="GZ112" s="59">
        <f ca="1">AVERAGE(OFFSET($GY$3,0,0,'Données projet'!$E$18+1,1))-AVERAGE(OFFSET($H$3,0,0,'Données projet'!$E$18+1,1))</f>
        <v>198.11534486400666</v>
      </c>
      <c r="HA112" s="59">
        <f t="shared" si="106"/>
        <v>174.29856796517652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>
        <f>EXP(-LN(2)/35)*HG111+(1-EXP(-LN(2)/35))/(LN(2)/35)*HC112*HD112*VLOOKUP('Données projet'!$B$18,Paramètres!$A$1:$I$89,3,0)*0.475*44/12</f>
        <v>44.403739851623897</v>
      </c>
      <c r="HH112" s="21">
        <f>EXP(-LN(2)/25)*HH111+(1-EXP(-LN(2)/25))/(LN(2)/25)*Calculateur!HC112*Calculateur!HE112*VLOOKUP('Données projet'!$B$18,Paramètres!$A$1:$I$89,3,0)*0.475*44/12</f>
        <v>11.305374806581195</v>
      </c>
      <c r="HI112" s="21">
        <f>EXP(-LN(2)/2)*HI111+(1-EXP(-LN(2)/2))/(LN(2)/2)*HC112*HF112*VLOOKUP('Données projet'!$B$18,Paramètres!$A$1:$I$89,3,0)*0.475*44/12</f>
        <v>8.7860070956912904E-4</v>
      </c>
      <c r="HJ112" s="22">
        <f t="shared" si="84"/>
        <v>55.709993258914665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1.1368683772161603E-13</v>
      </c>
      <c r="O113" s="13">
        <f>N113*VLOOKUP('Données projet'!$B$9,Paramètres!$A$1:$I$89,3,0)*VLOOKUP('Données projet'!$B$9,Paramètres!$A$1:$I$89,5,0)</f>
        <v>6.7984728957526396E-14</v>
      </c>
      <c r="P113" s="13">
        <f t="shared" si="87"/>
        <v>1.0682447123141398E-12</v>
      </c>
      <c r="Q113" s="20">
        <f t="shared" si="107"/>
        <v>1.978932943548152E-12</v>
      </c>
      <c r="R113" s="59">
        <f t="shared" si="55"/>
        <v>293.3333333333353</v>
      </c>
      <c r="S113" s="59">
        <f ca="1">AVERAGE(OFFSET($R$3,0,0,'Données projet'!$E$9+1,1))-AVERAGE(OFFSET($H$3,0,0,'Données projet'!$E$9+1,1))</f>
        <v>295.19075440119076</v>
      </c>
      <c r="T113" s="59">
        <f t="shared" si="88"/>
        <v>173.0182327988216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109.71432281320237</v>
      </c>
      <c r="AA113" s="21">
        <f>EXP(-LN(2)/25)*AA112+(1-EXP(-LN(2)/25))/(LN(2)/25)*Calculateur!V113*Calculateur!X113*VLOOKUP('Données projet'!$B$9,Paramètres!$A$1:$I$89,3,0)*0.475*44/12</f>
        <v>49.749634412760408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159.46395722596279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294.45857786714919</v>
      </c>
      <c r="AO113" s="59">
        <f t="shared" si="90"/>
        <v>221.9773436301067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101.26639901315471</v>
      </c>
      <c r="AV113" s="21">
        <f>EXP(-LN(2)/25)*AV112+(1-EXP(-LN(2)/25))/(LN(2)/25)*Calculateur!AQ113*Calculateur!AS113*VLOOKUP('Données projet'!$B$10,Paramètres!$A$1:$I$89,3,0)*0.475*44/12</f>
        <v>43.764506978910788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145.0309059920655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179.44051550872138</v>
      </c>
      <c r="BJ113" s="59">
        <f t="shared" si="92"/>
        <v>272.9500808380069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52.018876653080618</v>
      </c>
      <c r="BQ113" s="21">
        <f>EXP(-LN(2)/25)*BQ112+(1-EXP(-LN(2)/25))/(LN(2)/25)*Calculateur!BL113*Calculateur!BN113*VLOOKUP('Données projet'!$B$11,Paramètres!$A$1:$I$89,3,0)*0.475*44/12</f>
        <v>24.538504332115934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76.557380985196545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-3.4106051316484809E-13</v>
      </c>
      <c r="BZ113" s="13">
        <f>BY113*VLOOKUP('Données projet'!$B$12,Paramètres!$A$1:$I$89,3,0)*VLOOKUP('Données projet'!$B$12,Paramètres!$A$1:$I$89,5,0)</f>
        <v>-1.5961632016114892E-13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259.87681411271632</v>
      </c>
      <c r="CE113" s="59">
        <f t="shared" si="94"/>
        <v>191.8684235641158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179.95930743465021</v>
      </c>
      <c r="CL113" s="21">
        <f>EXP(-LN(2)/25)*CL112+(1-EXP(-LN(2)/25))/(LN(2)/25)*Calculateur!CG113*Calculateur!CI113*VLOOKUP('Données projet'!$B$12,Paramètres!$A$1:$I$89,3,0)*0.475*44/12</f>
        <v>83.145817235068421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263.10512466971863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5.6843418860808015E-14</v>
      </c>
      <c r="CU113" s="17">
        <f>CT113*VLOOKUP('Données projet'!$B$13,Paramètres!$A$1:$I$89,3,0)*VLOOKUP('Données projet'!$B$13,Paramètres!$A$1:$I$89,5,0)</f>
        <v>4.5224624045658861E-14</v>
      </c>
      <c r="CV113" s="13">
        <f t="shared" si="95"/>
        <v>7.4514601661523691E-13</v>
      </c>
      <c r="CW113" s="20">
        <f t="shared" si="67"/>
        <v>1.3765621991510601E-12</v>
      </c>
      <c r="CX113" s="59">
        <f t="shared" si="68"/>
        <v>293.33333333333468</v>
      </c>
      <c r="CY113" s="59">
        <f ca="1">AVERAGE(OFFSET($CX$3,0,0,'Données projet'!$E$13+1,1))-AVERAGE(OFFSET($H$3,0,0,'Données projet'!$E$13+1,1))</f>
        <v>198.11534486400666</v>
      </c>
      <c r="CZ113" s="59">
        <f t="shared" si="96"/>
        <v>174.29856796517652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43.533009596740577</v>
      </c>
      <c r="DG113" s="21">
        <f>EXP(-LN(2)/25)*DG112+(1-EXP(-LN(2)/25))/(LN(2)/25)*Calculateur!DB113*Calculateur!DD113*VLOOKUP('Données projet'!$B$13,Paramètres!$A$1:$I$89,3,0)*0.475*44/12</f>
        <v>10.996228737971411</v>
      </c>
      <c r="DH113" s="21">
        <f>EXP(-LN(2)/2)*DH112+(1-EXP(-LN(2)/2))/(LN(2)/2)*DB113*DE113*VLOOKUP('Données projet'!$B$13,Paramètres!$A$1:$I$89,3,0)*0.475*44/12</f>
        <v>6.2126451969164351E-4</v>
      </c>
      <c r="DI113" s="22">
        <f t="shared" si="69"/>
        <v>54.529859599231685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4.583333333333333</v>
      </c>
      <c r="DO113" s="12">
        <f>IF('Données projet'!$A$166&gt;35,DO112+DN113-DW112,IF(A113&lt;'Données projet'!$A$166,$DL$205^A113,IF(A113='Données projet'!$A$166,'Données projet'!$B$166,DO112+DN113-DW112)))</f>
        <v>206.66666666666666</v>
      </c>
      <c r="DP113" s="17">
        <f>DO113*VLOOKUP('Données projet'!$B$14,Paramètres!$A$1:$I$89,3,0)*VLOOKUP('Données projet'!$B$14,Paramètres!$A$1:$I$89,5,0)</f>
        <v>209.56000000000003</v>
      </c>
      <c r="DQ113" s="13">
        <f t="shared" si="97"/>
        <v>51.839422893973833</v>
      </c>
      <c r="DR113" s="20">
        <f t="shared" si="70"/>
        <v>455.2706615403377</v>
      </c>
      <c r="DS113" s="59">
        <f t="shared" si="71"/>
        <v>748.60399487367101</v>
      </c>
      <c r="DT113" s="59">
        <f ca="1">AVERAGE(OFFSET($DS$3,0,0,'Données projet'!$E$14+1,1))-AVERAGE(OFFSET($H$3,0,0,'Données projet'!$E$14+1,1))</f>
        <v>247.92503505485405</v>
      </c>
      <c r="DU113" s="59">
        <f t="shared" si="98"/>
        <v>148.26437652597514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7.0022967808369687</v>
      </c>
      <c r="EB113" s="21">
        <f>EXP(-LN(2)/25)*EB112+(1-EXP(-LN(2)/25))/(LN(2)/25)*Calculateur!DW113*Calculateur!DY113*VLOOKUP('Données projet'!$B$14,Paramètres!$A$1:$I$89,3,0)*0.475*44/12</f>
        <v>22.949569771441986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29.951866552278954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4.583333333333333</v>
      </c>
      <c r="EJ113" s="12">
        <f>IF('Données projet'!$A$192&gt;35,EJ112+EI113-ER112,IF(A113&lt;'Données projet'!$A$192,$EG$205^A113,IF(A113='Données projet'!$A$192,'Données projet'!$B$192,EJ112+EI113-ER112)))</f>
        <v>206.66666666666666</v>
      </c>
      <c r="EK113" s="17">
        <f>EJ113*VLOOKUP('Données projet'!$B$15,Paramètres!$A$1:$I$89,3,0)*VLOOKUP('Données projet'!$B$15,Paramètres!$A$1:$I$89,5,0)</f>
        <v>199.88800000000001</v>
      </c>
      <c r="EL113" s="13">
        <f t="shared" si="99"/>
        <v>49.719552712892401</v>
      </c>
      <c r="EM113" s="20">
        <f t="shared" si="73"/>
        <v>434.73315430828762</v>
      </c>
      <c r="EN113" s="59">
        <f t="shared" si="74"/>
        <v>728.06648764162094</v>
      </c>
      <c r="EO113" s="59">
        <f ca="1">AVERAGE(OFFSET($EN$3,0,0,'Données projet'!$E$15+1,1))-AVERAGE(OFFSET($H$3,0,0,'Données projet'!$E$15+1,1))</f>
        <v>232.99870507181964</v>
      </c>
      <c r="EP113" s="59">
        <f t="shared" si="100"/>
        <v>140.07662669226278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6.679113852490647</v>
      </c>
      <c r="EW113" s="21">
        <f>EXP(-LN(2)/25)*EW112+(1-EXP(-LN(2)/25))/(LN(2)/25)*Calculateur!ER113*Calculateur!ET113*VLOOKUP('Données projet'!$B$15,Paramètres!$A$1:$I$89,3,0)*0.475*44/12</f>
        <v>21.890358858913885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28.569472711404533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5.6843418860808015E-14</v>
      </c>
      <c r="FF113" s="17">
        <f>FE113*VLOOKUP('Données projet'!$B$16,Paramètres!$A$1:$I$89,3,0)*VLOOKUP('Données projet'!$B$16,Paramètres!$A$1:$I$89,5,0)</f>
        <v>4.4337866711430253E-14</v>
      </c>
      <c r="FG113" s="13">
        <f t="shared" si="101"/>
        <v>7.3222115536967035E-13</v>
      </c>
      <c r="FH113" s="20">
        <f t="shared" si="76"/>
        <v>1.3525069634579169E-12</v>
      </c>
      <c r="FI113" s="59">
        <f t="shared" si="77"/>
        <v>293.33333333333468</v>
      </c>
      <c r="FJ113" s="59">
        <f ca="1">AVERAGE(OFFSET($FI$3,0,0,'Données projet'!$E$16+1,1))-AVERAGE(OFFSET($H$3,0,0,'Données projet'!$E$16+1,1))</f>
        <v>193.47609744163839</v>
      </c>
      <c r="FK113" s="59">
        <f t="shared" si="102"/>
        <v>170.3221892406973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34.626700197185428</v>
      </c>
      <c r="FR113" s="21">
        <f>EXP(-LN(2)/25)*FR112+(1-EXP(-LN(2)/25))/(LN(2)/25)*Calculateur!FM113*Calculateur!FO113*VLOOKUP('Données projet'!$B$16,Paramètres!$A$1:$I$89,3,0)*0.475*44/12</f>
        <v>8.746537841893641</v>
      </c>
      <c r="FS113" s="21">
        <f>EXP(-LN(2)/2)*FS112+(1-EXP(-LN(2)/2))/(LN(2)/2)*FM113*FP113*VLOOKUP('Données projet'!$B$16,Paramètres!$A$1:$I$89,3,0)*0.475*44/12</f>
        <v>6.0908286244278867E-4</v>
      </c>
      <c r="FT113" s="22">
        <f t="shared" si="78"/>
        <v>43.373847121941509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>
        <f>FZ113*VLOOKUP('Données projet'!$B$17,Paramètres!$A$1:$I$89,3,0)*VLOOKUP('Données projet'!$B$17,Paramètres!$A$1:$I$89,5,0)</f>
        <v>0</v>
      </c>
      <c r="GB113" s="13" t="e">
        <f t="shared" si="103"/>
        <v>#NUM!</v>
      </c>
      <c r="GC113" s="20" t="e">
        <f t="shared" si="79"/>
        <v>#NUM!</v>
      </c>
      <c r="GD113" s="59" t="e">
        <f t="shared" si="80"/>
        <v>#NUM!</v>
      </c>
      <c r="GE113" s="59">
        <f ca="1">AVERAGE(OFFSET($GD$3,0,0,'Données projet'!$E$17+1,1))-AVERAGE(OFFSET($H$3,0,0,'Données projet'!$E$17+1,1))</f>
        <v>153.43773674911449</v>
      </c>
      <c r="GF113" s="59">
        <f t="shared" si="104"/>
        <v>235.49395036616602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45.51651707144552</v>
      </c>
      <c r="GM113" s="21">
        <f>EXP(-LN(2)/25)*GM112+(1-EXP(-LN(2)/25))/(LN(2)/25)*Calculateur!GH113*Calculateur!GJ113*VLOOKUP('Données projet'!$B$17,Paramètres!$A$1:$I$89,3,0)*0.475*44/12</f>
        <v>21.471191290601432</v>
      </c>
      <c r="GN113" s="21">
        <f>EXP(-LN(2)/2)*GN112+(1-EXP(-LN(2)/2))/(LN(2)/2)*GH113*GK113*VLOOKUP('Données projet'!$B$17,Paramètres!$A$1:$I$89,3,0)*0.475*44/12</f>
        <v>0</v>
      </c>
      <c r="GO113" s="21">
        <f t="shared" si="81"/>
        <v>66.987708362046959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5.6843418860808015E-14</v>
      </c>
      <c r="GV113" s="17">
        <f>GU113*VLOOKUP('Données projet'!$B$18,Paramètres!$A$1:$I$89,3,0)*VLOOKUP('Données projet'!$B$18,Paramètres!$A$1:$I$89,5,0)</f>
        <v>4.5224624045658861E-14</v>
      </c>
      <c r="GW113" s="13">
        <f t="shared" si="105"/>
        <v>7.4514601661523691E-13</v>
      </c>
      <c r="GX113" s="20">
        <f t="shared" si="82"/>
        <v>1.3765621991510601E-12</v>
      </c>
      <c r="GY113" s="59">
        <f t="shared" si="83"/>
        <v>293.33333333333468</v>
      </c>
      <c r="GZ113" s="59">
        <f ca="1">AVERAGE(OFFSET($GY$3,0,0,'Données projet'!$E$18+1,1))-AVERAGE(OFFSET($H$3,0,0,'Données projet'!$E$18+1,1))</f>
        <v>198.11534486400666</v>
      </c>
      <c r="HA113" s="59">
        <f t="shared" si="106"/>
        <v>174.29856796517652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>
        <f>EXP(-LN(2)/35)*HG112+(1-EXP(-LN(2)/35))/(LN(2)/35)*HC113*HD113*VLOOKUP('Données projet'!$B$18,Paramètres!$A$1:$I$89,3,0)*0.475*44/12</f>
        <v>43.533009596740577</v>
      </c>
      <c r="HH113" s="21">
        <f>EXP(-LN(2)/25)*HH112+(1-EXP(-LN(2)/25))/(LN(2)/25)*Calculateur!HC113*Calculateur!HE113*VLOOKUP('Données projet'!$B$18,Paramètres!$A$1:$I$89,3,0)*0.475*44/12</f>
        <v>10.996228737971411</v>
      </c>
      <c r="HI113" s="21">
        <f>EXP(-LN(2)/2)*HI112+(1-EXP(-LN(2)/2))/(LN(2)/2)*HC113*HF113*VLOOKUP('Données projet'!$B$18,Paramètres!$A$1:$I$89,3,0)*0.475*44/12</f>
        <v>6.2126451969164351E-4</v>
      </c>
      <c r="HJ113" s="22">
        <f t="shared" si="84"/>
        <v>54.529859599231685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1.1368683772161603E-13</v>
      </c>
      <c r="O114" s="13">
        <f>N114*VLOOKUP('Données projet'!$B$9,Paramètres!$A$1:$I$89,3,0)*VLOOKUP('Données projet'!$B$9,Paramètres!$A$1:$I$89,5,0)</f>
        <v>6.7984728957526396E-14</v>
      </c>
      <c r="P114" s="13">
        <f t="shared" si="87"/>
        <v>1.0682447123141398E-12</v>
      </c>
      <c r="Q114" s="20">
        <f t="shared" si="107"/>
        <v>1.978932943548152E-12</v>
      </c>
      <c r="R114" s="59">
        <f t="shared" si="55"/>
        <v>293.3333333333353</v>
      </c>
      <c r="S114" s="59">
        <f ca="1">AVERAGE(OFFSET($R$3,0,0,'Données projet'!$E$9+1,1))-AVERAGE(OFFSET($H$3,0,0,'Données projet'!$E$9+1,1))</f>
        <v>295.19075440119076</v>
      </c>
      <c r="T114" s="59">
        <f t="shared" si="88"/>
        <v>173.0182327988216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107.56289186196467</v>
      </c>
      <c r="AA114" s="21">
        <f>EXP(-LN(2)/25)*AA113+(1-EXP(-LN(2)/25))/(LN(2)/25)*Calculateur!V114*Calculateur!X114*VLOOKUP('Données projet'!$B$9,Paramètres!$A$1:$I$89,3,0)*0.475*44/12</f>
        <v>48.389228043523907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155.95211990548859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294.45857786714919</v>
      </c>
      <c r="AO114" s="59">
        <f t="shared" si="90"/>
        <v>221.9773436301067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99.28062669491122</v>
      </c>
      <c r="AV114" s="21">
        <f>EXP(-LN(2)/25)*AV113+(1-EXP(-LN(2)/25))/(LN(2)/25)*Calculateur!AQ114*Calculateur!AS114*VLOOKUP('Données projet'!$B$10,Paramètres!$A$1:$I$89,3,0)*0.475*44/12</f>
        <v>42.567764234097076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141.8483909290083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179.44051550872138</v>
      </c>
      <c r="BJ114" s="59">
        <f t="shared" si="92"/>
        <v>272.9500808380069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50.998818210295546</v>
      </c>
      <c r="BQ114" s="21">
        <f>EXP(-LN(2)/25)*BQ113+(1-EXP(-LN(2)/25))/(LN(2)/25)*Calculateur!BL114*Calculateur!BN114*VLOOKUP('Données projet'!$B$11,Paramètres!$A$1:$I$89,3,0)*0.475*44/12</f>
        <v>23.867497640730363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74.866315851025917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-3.4106051316484809E-13</v>
      </c>
      <c r="BZ114" s="13">
        <f>BY114*VLOOKUP('Données projet'!$B$12,Paramètres!$A$1:$I$89,3,0)*VLOOKUP('Données projet'!$B$12,Paramètres!$A$1:$I$89,5,0)</f>
        <v>-1.5961632016114892E-13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259.87681411271632</v>
      </c>
      <c r="CE114" s="59">
        <f t="shared" si="94"/>
        <v>191.8684235641158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176.43041518019592</v>
      </c>
      <c r="CL114" s="21">
        <f>EXP(-LN(2)/25)*CL113+(1-EXP(-LN(2)/25))/(LN(2)/25)*Calculateur!CG114*Calculateur!CI114*VLOOKUP('Données projet'!$B$12,Paramètres!$A$1:$I$89,3,0)*0.475*44/12</f>
        <v>80.872190490326972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257.30260567052289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5.6843418860808015E-14</v>
      </c>
      <c r="CU114" s="17">
        <f>CT114*VLOOKUP('Données projet'!$B$13,Paramètres!$A$1:$I$89,3,0)*VLOOKUP('Données projet'!$B$13,Paramètres!$A$1:$I$89,5,0)</f>
        <v>4.5224624045658861E-14</v>
      </c>
      <c r="CV114" s="13">
        <f t="shared" si="95"/>
        <v>7.4514601661523691E-13</v>
      </c>
      <c r="CW114" s="20">
        <f t="shared" si="67"/>
        <v>1.3765621991510601E-12</v>
      </c>
      <c r="CX114" s="59">
        <f t="shared" si="68"/>
        <v>293.33333333333468</v>
      </c>
      <c r="CY114" s="59">
        <f ca="1">AVERAGE(OFFSET($CX$3,0,0,'Données projet'!$E$13+1,1))-AVERAGE(OFFSET($H$3,0,0,'Données projet'!$E$13+1,1))</f>
        <v>198.11534486400666</v>
      </c>
      <c r="CZ114" s="59">
        <f t="shared" si="96"/>
        <v>174.29856796517652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42.679353831062507</v>
      </c>
      <c r="DG114" s="21">
        <f>EXP(-LN(2)/25)*DG113+(1-EXP(-LN(2)/25))/(LN(2)/25)*Calculateur!DB114*Calculateur!DD114*VLOOKUP('Données projet'!$B$13,Paramètres!$A$1:$I$89,3,0)*0.475*44/12</f>
        <v>10.695536284865046</v>
      </c>
      <c r="DH114" s="21">
        <f>EXP(-LN(2)/2)*DH113+(1-EXP(-LN(2)/2))/(LN(2)/2)*DB114*DE114*VLOOKUP('Données projet'!$B$13,Paramètres!$A$1:$I$89,3,0)*0.475*44/12</f>
        <v>4.3930035478456452E-4</v>
      </c>
      <c r="DI114" s="22">
        <f t="shared" si="69"/>
        <v>53.375329416282341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4.583333333333333</v>
      </c>
      <c r="DO114" s="12">
        <f>IF('Données projet'!$A$166&gt;35,DO113+DN114-DW113,IF(A114&lt;'Données projet'!$A$166,$DL$205^A114,IF(A114='Données projet'!$A$166,'Données projet'!$B$166,DO113+DN114-DW113)))</f>
        <v>211.25</v>
      </c>
      <c r="DP114" s="17">
        <f>DO114*VLOOKUP('Données projet'!$B$14,Paramètres!$A$1:$I$89,3,0)*VLOOKUP('Données projet'!$B$14,Paramètres!$A$1:$I$89,5,0)</f>
        <v>214.20750000000001</v>
      </c>
      <c r="DQ114" s="13">
        <f t="shared" si="97"/>
        <v>52.853966072968603</v>
      </c>
      <c r="DR114" s="20">
        <f t="shared" si="70"/>
        <v>465.13205341042038</v>
      </c>
      <c r="DS114" s="59">
        <f t="shared" si="71"/>
        <v>758.4653867437537</v>
      </c>
      <c r="DT114" s="59">
        <f ca="1">AVERAGE(OFFSET($DS$3,0,0,'Données projet'!$E$14+1,1))-AVERAGE(OFFSET($H$3,0,0,'Données projet'!$E$14+1,1))</f>
        <v>247.92503505485405</v>
      </c>
      <c r="DU114" s="59">
        <f t="shared" si="98"/>
        <v>148.26437652597514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6.864986011944068</v>
      </c>
      <c r="EB114" s="21">
        <f>EXP(-LN(2)/25)*EB113+(1-EXP(-LN(2)/25))/(LN(2)/25)*Calculateur!DW114*Calculateur!DY114*VLOOKUP('Données projet'!$B$14,Paramètres!$A$1:$I$89,3,0)*0.475*44/12</f>
        <v>22.322012579176484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29.186998591120553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4.583333333333333</v>
      </c>
      <c r="EJ114" s="12">
        <f>IF('Données projet'!$A$192&gt;35,EJ113+EI114-ER113,IF(A114&lt;'Données projet'!$A$192,$EG$205^A114,IF(A114='Données projet'!$A$192,'Données projet'!$B$192,EJ113+EI114-ER113)))</f>
        <v>211.25</v>
      </c>
      <c r="EK114" s="17">
        <f>EJ114*VLOOKUP('Données projet'!$B$15,Paramètres!$A$1:$I$89,3,0)*VLOOKUP('Données projet'!$B$15,Paramètres!$A$1:$I$89,5,0)</f>
        <v>204.321</v>
      </c>
      <c r="EL114" s="13">
        <f t="shared" si="99"/>
        <v>50.692608164738488</v>
      </c>
      <c r="EM114" s="20">
        <f t="shared" si="73"/>
        <v>444.14870088691947</v>
      </c>
      <c r="EN114" s="59">
        <f t="shared" si="74"/>
        <v>737.48203422025279</v>
      </c>
      <c r="EO114" s="59">
        <f ca="1">AVERAGE(OFFSET($EN$3,0,0,'Données projet'!$E$15+1,1))-AVERAGE(OFFSET($H$3,0,0,'Données projet'!$E$15+1,1))</f>
        <v>232.99870507181964</v>
      </c>
      <c r="EP114" s="59">
        <f t="shared" si="100"/>
        <v>140.07662669226278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6.5481405037004956</v>
      </c>
      <c r="EW114" s="21">
        <f>EXP(-LN(2)/25)*EW113+(1-EXP(-LN(2)/25))/(LN(2)/25)*Calculateur!ER114*Calculateur!ET114*VLOOKUP('Données projet'!$B$15,Paramètres!$A$1:$I$89,3,0)*0.475*44/12</f>
        <v>21.291765844752945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27.839906348453439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5.6843418860808015E-14</v>
      </c>
      <c r="FF114" s="17">
        <f>FE114*VLOOKUP('Données projet'!$B$16,Paramètres!$A$1:$I$89,3,0)*VLOOKUP('Données projet'!$B$16,Paramètres!$A$1:$I$89,5,0)</f>
        <v>4.4337866711430253E-14</v>
      </c>
      <c r="FG114" s="13">
        <f t="shared" si="101"/>
        <v>7.3222115536967035E-13</v>
      </c>
      <c r="FH114" s="20">
        <f t="shared" si="76"/>
        <v>1.3525069634579169E-12</v>
      </c>
      <c r="FI114" s="59">
        <f t="shared" si="77"/>
        <v>293.33333333333468</v>
      </c>
      <c r="FJ114" s="59">
        <f ca="1">AVERAGE(OFFSET($FI$3,0,0,'Données projet'!$E$16+1,1))-AVERAGE(OFFSET($H$3,0,0,'Données projet'!$E$16+1,1))</f>
        <v>193.47609744163839</v>
      </c>
      <c r="FK114" s="59">
        <f t="shared" si="102"/>
        <v>170.3221892406973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33.947691726520297</v>
      </c>
      <c r="FR114" s="21">
        <f>EXP(-LN(2)/25)*FR113+(1-EXP(-LN(2)/25))/(LN(2)/25)*Calculateur!FM114*Calculateur!FO114*VLOOKUP('Données projet'!$B$16,Paramètres!$A$1:$I$89,3,0)*0.475*44/12</f>
        <v>8.5073633046466242</v>
      </c>
      <c r="FS114" s="21">
        <f>EXP(-LN(2)/2)*FS113+(1-EXP(-LN(2)/2))/(LN(2)/2)*FM114*FP114*VLOOKUP('Données projet'!$B$16,Paramètres!$A$1:$I$89,3,0)*0.475*44/12</f>
        <v>4.30686622337809E-4</v>
      </c>
      <c r="FT114" s="22">
        <f t="shared" si="78"/>
        <v>42.455485717789259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>
        <f>FZ114*VLOOKUP('Données projet'!$B$17,Paramètres!$A$1:$I$89,3,0)*VLOOKUP('Données projet'!$B$17,Paramètres!$A$1:$I$89,5,0)</f>
        <v>0</v>
      </c>
      <c r="GB114" s="13" t="e">
        <f t="shared" si="103"/>
        <v>#NUM!</v>
      </c>
      <c r="GC114" s="20" t="e">
        <f t="shared" si="79"/>
        <v>#NUM!</v>
      </c>
      <c r="GD114" s="59" t="e">
        <f t="shared" si="80"/>
        <v>#NUM!</v>
      </c>
      <c r="GE114" s="59">
        <f ca="1">AVERAGE(OFFSET($GD$3,0,0,'Données projet'!$E$17+1,1))-AVERAGE(OFFSET($H$3,0,0,'Données projet'!$E$17+1,1))</f>
        <v>153.43773674911449</v>
      </c>
      <c r="GF114" s="59">
        <f t="shared" si="104"/>
        <v>235.49395036616602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44.623965934008581</v>
      </c>
      <c r="GM114" s="21">
        <f>EXP(-LN(2)/25)*GM113+(1-EXP(-LN(2)/25))/(LN(2)/25)*Calculateur!GH114*Calculateur!GJ114*VLOOKUP('Données projet'!$B$17,Paramètres!$A$1:$I$89,3,0)*0.475*44/12</f>
        <v>20.884060435639057</v>
      </c>
      <c r="GN114" s="21">
        <f>EXP(-LN(2)/2)*GN113+(1-EXP(-LN(2)/2))/(LN(2)/2)*GH114*GK114*VLOOKUP('Données projet'!$B$17,Paramètres!$A$1:$I$89,3,0)*0.475*44/12</f>
        <v>0</v>
      </c>
      <c r="GO114" s="21">
        <f t="shared" si="81"/>
        <v>65.508026369647638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5.6843418860808015E-14</v>
      </c>
      <c r="GV114" s="17">
        <f>GU114*VLOOKUP('Données projet'!$B$18,Paramètres!$A$1:$I$89,3,0)*VLOOKUP('Données projet'!$B$18,Paramètres!$A$1:$I$89,5,0)</f>
        <v>4.5224624045658861E-14</v>
      </c>
      <c r="GW114" s="13">
        <f t="shared" si="105"/>
        <v>7.4514601661523691E-13</v>
      </c>
      <c r="GX114" s="20">
        <f t="shared" si="82"/>
        <v>1.3765621991510601E-12</v>
      </c>
      <c r="GY114" s="59">
        <f t="shared" si="83"/>
        <v>293.33333333333468</v>
      </c>
      <c r="GZ114" s="59">
        <f ca="1">AVERAGE(OFFSET($GY$3,0,0,'Données projet'!$E$18+1,1))-AVERAGE(OFFSET($H$3,0,0,'Données projet'!$E$18+1,1))</f>
        <v>198.11534486400666</v>
      </c>
      <c r="HA114" s="59">
        <f t="shared" si="106"/>
        <v>174.29856796517652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>
        <f>EXP(-LN(2)/35)*HG113+(1-EXP(-LN(2)/35))/(LN(2)/35)*HC114*HD114*VLOOKUP('Données projet'!$B$18,Paramètres!$A$1:$I$89,3,0)*0.475*44/12</f>
        <v>42.679353831062507</v>
      </c>
      <c r="HH114" s="21">
        <f>EXP(-LN(2)/25)*HH113+(1-EXP(-LN(2)/25))/(LN(2)/25)*Calculateur!HC114*Calculateur!HE114*VLOOKUP('Données projet'!$B$18,Paramètres!$A$1:$I$89,3,0)*0.475*44/12</f>
        <v>10.695536284865046</v>
      </c>
      <c r="HI114" s="21">
        <f>EXP(-LN(2)/2)*HI113+(1-EXP(-LN(2)/2))/(LN(2)/2)*HC114*HF114*VLOOKUP('Données projet'!$B$18,Paramètres!$A$1:$I$89,3,0)*0.475*44/12</f>
        <v>4.3930035478456452E-4</v>
      </c>
      <c r="HJ114" s="22">
        <f t="shared" si="84"/>
        <v>53.375329416282341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1.1368683772161603E-13</v>
      </c>
      <c r="O115" s="13">
        <f>N115*VLOOKUP('Données projet'!$B$9,Paramètres!$A$1:$I$89,3,0)*VLOOKUP('Données projet'!$B$9,Paramètres!$A$1:$I$89,5,0)</f>
        <v>6.7984728957526396E-14</v>
      </c>
      <c r="P115" s="13">
        <f t="shared" si="87"/>
        <v>1.0682447123141398E-12</v>
      </c>
      <c r="Q115" s="20">
        <f t="shared" si="107"/>
        <v>1.978932943548152E-12</v>
      </c>
      <c r="R115" s="59">
        <f t="shared" si="55"/>
        <v>293.3333333333353</v>
      </c>
      <c r="S115" s="59">
        <f ca="1">AVERAGE(OFFSET($R$3,0,0,'Données projet'!$E$9+1,1))-AVERAGE(OFFSET($H$3,0,0,'Données projet'!$E$9+1,1))</f>
        <v>295.19075440119076</v>
      </c>
      <c r="T115" s="59">
        <f t="shared" si="88"/>
        <v>173.0182327988216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105.45364915943743</v>
      </c>
      <c r="AA115" s="21">
        <f>EXP(-LN(2)/25)*AA114+(1-EXP(-LN(2)/25))/(LN(2)/25)*Calculateur!V115*Calculateur!X115*VLOOKUP('Données projet'!$B$9,Paramètres!$A$1:$I$89,3,0)*0.475*44/12</f>
        <v>47.066022057994836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152.51967121743226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294.45857786714919</v>
      </c>
      <c r="AO115" s="59">
        <f t="shared" si="90"/>
        <v>221.9773436301067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97.333794160626965</v>
      </c>
      <c r="AV115" s="21">
        <f>EXP(-LN(2)/25)*AV114+(1-EXP(-LN(2)/25))/(LN(2)/25)*Calculateur!AQ115*Calculateur!AS115*VLOOKUP('Données projet'!$B$10,Paramètres!$A$1:$I$89,3,0)*0.475*44/12</f>
        <v>41.403746482574263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138.73754064320121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179.44051550872138</v>
      </c>
      <c r="BJ115" s="59">
        <f t="shared" si="92"/>
        <v>272.9500808380069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49.998762491399276</v>
      </c>
      <c r="BQ115" s="21">
        <f>EXP(-LN(2)/25)*BQ114+(1-EXP(-LN(2)/25))/(LN(2)/25)*Calculateur!BL115*Calculateur!BN115*VLOOKUP('Données projet'!$B$11,Paramètres!$A$1:$I$89,3,0)*0.475*44/12</f>
        <v>23.214839662607439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73.213602154006708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-3.4106051316484809E-13</v>
      </c>
      <c r="BZ115" s="13">
        <f>BY115*VLOOKUP('Données projet'!$B$12,Paramètres!$A$1:$I$89,3,0)*VLOOKUP('Données projet'!$B$12,Paramètres!$A$1:$I$89,5,0)</f>
        <v>-1.5961632016114892E-13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259.87681411271632</v>
      </c>
      <c r="CE115" s="59">
        <f t="shared" si="94"/>
        <v>191.8684235641158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172.97072235043976</v>
      </c>
      <c r="CL115" s="21">
        <f>EXP(-LN(2)/25)*CL114+(1-EXP(-LN(2)/25))/(LN(2)/25)*Calculateur!CG115*Calculateur!CI115*VLOOKUP('Données projet'!$B$12,Paramètres!$A$1:$I$89,3,0)*0.475*44/12</f>
        <v>78.660736188485316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251.63145853892507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5.6843418860808015E-14</v>
      </c>
      <c r="CU115" s="17">
        <f>CT115*VLOOKUP('Données projet'!$B$13,Paramètres!$A$1:$I$89,3,0)*VLOOKUP('Données projet'!$B$13,Paramètres!$A$1:$I$89,5,0)</f>
        <v>4.5224624045658861E-14</v>
      </c>
      <c r="CV115" s="13">
        <f t="shared" si="95"/>
        <v>7.4514601661523691E-13</v>
      </c>
      <c r="CW115" s="20">
        <f t="shared" si="67"/>
        <v>1.3765621991510601E-12</v>
      </c>
      <c r="CX115" s="59">
        <f t="shared" si="68"/>
        <v>293.33333333333468</v>
      </c>
      <c r="CY115" s="59">
        <f ca="1">AVERAGE(OFFSET($CX$3,0,0,'Données projet'!$E$13+1,1))-AVERAGE(OFFSET($H$3,0,0,'Données projet'!$E$13+1,1))</f>
        <v>198.11534486400666</v>
      </c>
      <c r="CZ115" s="59">
        <f t="shared" si="96"/>
        <v>174.29856796517652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41.842437734270774</v>
      </c>
      <c r="DG115" s="21">
        <f>EXP(-LN(2)/25)*DG114+(1-EXP(-LN(2)/25))/(LN(2)/25)*Calculateur!DB115*Calculateur!DD115*VLOOKUP('Données projet'!$B$13,Paramètres!$A$1:$I$89,3,0)*0.475*44/12</f>
        <v>10.403066282701603</v>
      </c>
      <c r="DH115" s="21">
        <f>EXP(-LN(2)/2)*DH114+(1-EXP(-LN(2)/2))/(LN(2)/2)*DB115*DE115*VLOOKUP('Données projet'!$B$13,Paramètres!$A$1:$I$89,3,0)*0.475*44/12</f>
        <v>3.1063225984582176E-4</v>
      </c>
      <c r="DI115" s="22">
        <f t="shared" si="69"/>
        <v>52.245814649232223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4.583333333333333</v>
      </c>
      <c r="DO115" s="12">
        <f>IF('Données projet'!$A$166&gt;35,DO114+DN115-DW114,IF(A115&lt;'Données projet'!$A$166,$DL$205^A115,IF(A115='Données projet'!$A$166,'Données projet'!$B$166,DO114+DN115-DW114)))</f>
        <v>215.83333333333334</v>
      </c>
      <c r="DP115" s="17">
        <f>DO115*VLOOKUP('Données projet'!$B$14,Paramètres!$A$1:$I$89,3,0)*VLOOKUP('Données projet'!$B$14,Paramètres!$A$1:$I$89,5,0)</f>
        <v>218.85500000000005</v>
      </c>
      <c r="DQ115" s="13">
        <f t="shared" si="97"/>
        <v>53.865950100565549</v>
      </c>
      <c r="DR115" s="20">
        <f t="shared" si="70"/>
        <v>474.98898809181838</v>
      </c>
      <c r="DS115" s="59">
        <f t="shared" si="71"/>
        <v>768.3223214251517</v>
      </c>
      <c r="DT115" s="59">
        <f ca="1">AVERAGE(OFFSET($DS$3,0,0,'Données projet'!$E$14+1,1))-AVERAGE(OFFSET($H$3,0,0,'Données projet'!$E$14+1,1))</f>
        <v>247.92503505485405</v>
      </c>
      <c r="DU115" s="59">
        <f t="shared" si="98"/>
        <v>148.26437652597514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6.7303678234778577</v>
      </c>
      <c r="EB115" s="21">
        <f>EXP(-LN(2)/25)*EB114+(1-EXP(-LN(2)/25))/(LN(2)/25)*Calculateur!DW115*Calculateur!DY115*VLOOKUP('Données projet'!$B$14,Paramètres!$A$1:$I$89,3,0)*0.475*44/12</f>
        <v>21.711615971335277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28.441983794813133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4.583333333333333</v>
      </c>
      <c r="EJ115" s="12">
        <f>IF('Données projet'!$A$192&gt;35,EJ114+EI115-ER114,IF(A115&lt;'Données projet'!$A$192,$EG$205^A115,IF(A115='Données projet'!$A$192,'Données projet'!$B$192,EJ114+EI115-ER114)))</f>
        <v>215.83333333333334</v>
      </c>
      <c r="EK115" s="17">
        <f>EJ115*VLOOKUP('Données projet'!$B$15,Paramètres!$A$1:$I$89,3,0)*VLOOKUP('Données projet'!$B$15,Paramètres!$A$1:$I$89,5,0)</f>
        <v>208.75399999999999</v>
      </c>
      <c r="EL115" s="13">
        <f t="shared" si="99"/>
        <v>51.663209116597429</v>
      </c>
      <c r="EM115" s="20">
        <f t="shared" si="73"/>
        <v>453.5599725447405</v>
      </c>
      <c r="EN115" s="59">
        <f t="shared" si="74"/>
        <v>746.89330587807376</v>
      </c>
      <c r="EO115" s="59">
        <f ca="1">AVERAGE(OFFSET($EN$3,0,0,'Données projet'!$E$15+1,1))-AVERAGE(OFFSET($H$3,0,0,'Données projet'!$E$15+1,1))</f>
        <v>232.99870507181964</v>
      </c>
      <c r="EP115" s="59">
        <f t="shared" si="100"/>
        <v>140.07662669226278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6.4197354623942644</v>
      </c>
      <c r="EW115" s="21">
        <f>EXP(-LN(2)/25)*EW114+(1-EXP(-LN(2)/25))/(LN(2)/25)*Calculateur!ER115*Calculateur!ET115*VLOOKUP('Données projet'!$B$15,Paramètres!$A$1:$I$89,3,0)*0.475*44/12</f>
        <v>20.709541388042872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27.129276850437137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5.6843418860808015E-14</v>
      </c>
      <c r="FF115" s="17">
        <f>FE115*VLOOKUP('Données projet'!$B$16,Paramètres!$A$1:$I$89,3,0)*VLOOKUP('Données projet'!$B$16,Paramètres!$A$1:$I$89,5,0)</f>
        <v>4.4337866711430253E-14</v>
      </c>
      <c r="FG115" s="13">
        <f t="shared" si="101"/>
        <v>7.3222115536967035E-13</v>
      </c>
      <c r="FH115" s="20">
        <f t="shared" si="76"/>
        <v>1.3525069634579169E-12</v>
      </c>
      <c r="FI115" s="59">
        <f t="shared" si="77"/>
        <v>293.33333333333468</v>
      </c>
      <c r="FJ115" s="59">
        <f ca="1">AVERAGE(OFFSET($FI$3,0,0,'Données projet'!$E$16+1,1))-AVERAGE(OFFSET($H$3,0,0,'Données projet'!$E$16+1,1))</f>
        <v>193.47609744163839</v>
      </c>
      <c r="FK115" s="59">
        <f t="shared" si="102"/>
        <v>170.3221892406973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33.281998197810637</v>
      </c>
      <c r="FR115" s="21">
        <f>EXP(-LN(2)/25)*FR114+(1-EXP(-LN(2)/25))/(LN(2)/25)*Calculateur!FM115*Calculateur!FO115*VLOOKUP('Données projet'!$B$16,Paramètres!$A$1:$I$89,3,0)*0.475*44/12</f>
        <v>8.2747290076982694</v>
      </c>
      <c r="FS115" s="21">
        <f>EXP(-LN(2)/2)*FS114+(1-EXP(-LN(2)/2))/(LN(2)/2)*FM115*FP115*VLOOKUP('Données projet'!$B$16,Paramètres!$A$1:$I$89,3,0)*0.475*44/12</f>
        <v>3.0454143122139434E-4</v>
      </c>
      <c r="FT115" s="22">
        <f t="shared" si="78"/>
        <v>41.557031746940126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>
        <f>FZ115*VLOOKUP('Données projet'!$B$17,Paramètres!$A$1:$I$89,3,0)*VLOOKUP('Données projet'!$B$17,Paramètres!$A$1:$I$89,5,0)</f>
        <v>0</v>
      </c>
      <c r="GB115" s="13" t="e">
        <f t="shared" si="103"/>
        <v>#NUM!</v>
      </c>
      <c r="GC115" s="20" t="e">
        <f t="shared" si="79"/>
        <v>#NUM!</v>
      </c>
      <c r="GD115" s="59" t="e">
        <f t="shared" si="80"/>
        <v>#NUM!</v>
      </c>
      <c r="GE115" s="59">
        <f ca="1">AVERAGE(OFFSET($GD$3,0,0,'Données projet'!$E$17+1,1))-AVERAGE(OFFSET($H$3,0,0,'Données projet'!$E$17+1,1))</f>
        <v>153.43773674911449</v>
      </c>
      <c r="GF115" s="59">
        <f t="shared" si="104"/>
        <v>235.49395036616602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43.748917179974342</v>
      </c>
      <c r="GM115" s="21">
        <f>EXP(-LN(2)/25)*GM114+(1-EXP(-LN(2)/25))/(LN(2)/25)*Calculateur!GH115*Calculateur!GJ115*VLOOKUP('Données projet'!$B$17,Paramètres!$A$1:$I$89,3,0)*0.475*44/12</f>
        <v>20.312984704781499</v>
      </c>
      <c r="GN115" s="21">
        <f>EXP(-LN(2)/2)*GN114+(1-EXP(-LN(2)/2))/(LN(2)/2)*GH115*GK115*VLOOKUP('Données projet'!$B$17,Paramètres!$A$1:$I$89,3,0)*0.475*44/12</f>
        <v>0</v>
      </c>
      <c r="GO115" s="21">
        <f t="shared" si="81"/>
        <v>64.061901884755841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5.6843418860808015E-14</v>
      </c>
      <c r="GV115" s="17">
        <f>GU115*VLOOKUP('Données projet'!$B$18,Paramètres!$A$1:$I$89,3,0)*VLOOKUP('Données projet'!$B$18,Paramètres!$A$1:$I$89,5,0)</f>
        <v>4.5224624045658861E-14</v>
      </c>
      <c r="GW115" s="13">
        <f t="shared" si="105"/>
        <v>7.4514601661523691E-13</v>
      </c>
      <c r="GX115" s="20">
        <f t="shared" si="82"/>
        <v>1.3765621991510601E-12</v>
      </c>
      <c r="GY115" s="59">
        <f t="shared" si="83"/>
        <v>293.33333333333468</v>
      </c>
      <c r="GZ115" s="59">
        <f ca="1">AVERAGE(OFFSET($GY$3,0,0,'Données projet'!$E$18+1,1))-AVERAGE(OFFSET($H$3,0,0,'Données projet'!$E$18+1,1))</f>
        <v>198.11534486400666</v>
      </c>
      <c r="HA115" s="59">
        <f t="shared" si="106"/>
        <v>174.29856796517652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>
        <f>EXP(-LN(2)/35)*HG114+(1-EXP(-LN(2)/35))/(LN(2)/35)*HC115*HD115*VLOOKUP('Données projet'!$B$18,Paramètres!$A$1:$I$89,3,0)*0.475*44/12</f>
        <v>41.842437734270774</v>
      </c>
      <c r="HH115" s="21">
        <f>EXP(-LN(2)/25)*HH114+(1-EXP(-LN(2)/25))/(LN(2)/25)*Calculateur!HC115*Calculateur!HE115*VLOOKUP('Données projet'!$B$18,Paramètres!$A$1:$I$89,3,0)*0.475*44/12</f>
        <v>10.403066282701603</v>
      </c>
      <c r="HI115" s="21">
        <f>EXP(-LN(2)/2)*HI114+(1-EXP(-LN(2)/2))/(LN(2)/2)*HC115*HF115*VLOOKUP('Données projet'!$B$18,Paramètres!$A$1:$I$89,3,0)*0.475*44/12</f>
        <v>3.1063225984582176E-4</v>
      </c>
      <c r="HJ115" s="22">
        <f t="shared" si="84"/>
        <v>52.245814649232223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1.1368683772161603E-13</v>
      </c>
      <c r="O116" s="13">
        <f>N116*VLOOKUP('Données projet'!$B$9,Paramètres!$A$1:$I$89,3,0)*VLOOKUP('Données projet'!$B$9,Paramètres!$A$1:$I$89,5,0)</f>
        <v>6.7984728957526396E-14</v>
      </c>
      <c r="P116" s="13">
        <f t="shared" si="87"/>
        <v>1.0682447123141398E-12</v>
      </c>
      <c r="Q116" s="20">
        <f t="shared" si="107"/>
        <v>1.978932943548152E-12</v>
      </c>
      <c r="R116" s="59">
        <f t="shared" si="55"/>
        <v>293.3333333333353</v>
      </c>
      <c r="S116" s="59">
        <f ca="1">AVERAGE(OFFSET($R$3,0,0,'Données projet'!$E$9+1,1))-AVERAGE(OFFSET($H$3,0,0,'Données projet'!$E$9+1,1))</f>
        <v>295.19075440119076</v>
      </c>
      <c r="T116" s="59">
        <f t="shared" si="88"/>
        <v>173.0182327988216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103.38576741979574</v>
      </c>
      <c r="AA116" s="21">
        <f>EXP(-LN(2)/25)*AA115+(1-EXP(-LN(2)/25))/(LN(2)/25)*Calculateur!V116*Calculateur!X116*VLOOKUP('Données projet'!$B$9,Paramètres!$A$1:$I$89,3,0)*0.475*44/12</f>
        <v>45.778999209724439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149.16476662952019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294.45857786714919</v>
      </c>
      <c r="AO116" s="59">
        <f t="shared" si="90"/>
        <v>221.9773436301067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95.425137824889433</v>
      </c>
      <c r="AV116" s="21">
        <f>EXP(-LN(2)/25)*AV115+(1-EXP(-LN(2)/25))/(LN(2)/25)*Calculateur!AQ116*Calculateur!AS116*VLOOKUP('Données projet'!$B$10,Paramètres!$A$1:$I$89,3,0)*0.475*44/12</f>
        <v>40.271558857679871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135.6966966825693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179.44051550872138</v>
      </c>
      <c r="BJ116" s="59">
        <f t="shared" si="92"/>
        <v>272.9500808380069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49.018317255176804</v>
      </c>
      <c r="BQ116" s="21">
        <f>EXP(-LN(2)/25)*BQ115+(1-EXP(-LN(2)/25))/(LN(2)/25)*Calculateur!BL116*Calculateur!BN116*VLOOKUP('Données projet'!$B$11,Paramètres!$A$1:$I$89,3,0)*0.475*44/12</f>
        <v>22.580028651218079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71.598345906394883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-3.4106051316484809E-13</v>
      </c>
      <c r="BZ116" s="13">
        <f>BY116*VLOOKUP('Données projet'!$B$12,Paramètres!$A$1:$I$89,3,0)*VLOOKUP('Données projet'!$B$12,Paramètres!$A$1:$I$89,5,0)</f>
        <v>-1.5961632016114892E-13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259.87681411271632</v>
      </c>
      <c r="CE116" s="59">
        <f t="shared" si="94"/>
        <v>191.8684235641158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169.57887198687084</v>
      </c>
      <c r="CL116" s="21">
        <f>EXP(-LN(2)/25)*CL115+(1-EXP(-LN(2)/25))/(LN(2)/25)*Calculateur!CG116*Calculateur!CI116*VLOOKUP('Données projet'!$B$12,Paramètres!$A$1:$I$89,3,0)*0.475*44/12</f>
        <v>76.509754220822856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246.08862620769369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5.6843418860808015E-14</v>
      </c>
      <c r="CU116" s="17">
        <f>CT116*VLOOKUP('Données projet'!$B$13,Paramètres!$A$1:$I$89,3,0)*VLOOKUP('Données projet'!$B$13,Paramètres!$A$1:$I$89,5,0)</f>
        <v>4.5224624045658861E-14</v>
      </c>
      <c r="CV116" s="13">
        <f t="shared" si="95"/>
        <v>7.4514601661523691E-13</v>
      </c>
      <c r="CW116" s="20">
        <f t="shared" si="67"/>
        <v>1.3765621991510601E-12</v>
      </c>
      <c r="CX116" s="59">
        <f t="shared" si="68"/>
        <v>293.33333333333468</v>
      </c>
      <c r="CY116" s="59">
        <f ca="1">AVERAGE(OFFSET($CX$3,0,0,'Données projet'!$E$13+1,1))-AVERAGE(OFFSET($H$3,0,0,'Données projet'!$E$13+1,1))</f>
        <v>198.11534486400666</v>
      </c>
      <c r="CZ116" s="59">
        <f t="shared" si="96"/>
        <v>174.29856796517652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41.021933051668718</v>
      </c>
      <c r="DG116" s="21">
        <f>EXP(-LN(2)/25)*DG115+(1-EXP(-LN(2)/25))/(LN(2)/25)*Calculateur!DB116*Calculateur!DD116*VLOOKUP('Données projet'!$B$13,Paramètres!$A$1:$I$89,3,0)*0.475*44/12</f>
        <v>10.118593888127648</v>
      </c>
      <c r="DH116" s="21">
        <f>EXP(-LN(2)/2)*DH115+(1-EXP(-LN(2)/2))/(LN(2)/2)*DB116*DE116*VLOOKUP('Données projet'!$B$13,Paramètres!$A$1:$I$89,3,0)*0.475*44/12</f>
        <v>2.1965017739228226E-4</v>
      </c>
      <c r="DI116" s="22">
        <f t="shared" si="69"/>
        <v>51.140746589973759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4.583333333333333</v>
      </c>
      <c r="DO116" s="12">
        <f>IF('Données projet'!$A$166&gt;35,DO115+DN116-DW115,IF(A116&lt;'Données projet'!$A$166,$DL$205^A116,IF(A116='Données projet'!$A$166,'Données projet'!$B$166,DO115+DN116-DW115)))</f>
        <v>220.41666666666669</v>
      </c>
      <c r="DP116" s="17">
        <f>DO116*VLOOKUP('Données projet'!$B$14,Paramètres!$A$1:$I$89,3,0)*VLOOKUP('Données projet'!$B$14,Paramètres!$A$1:$I$89,5,0)</f>
        <v>223.50250000000003</v>
      </c>
      <c r="DQ116" s="13">
        <f t="shared" si="97"/>
        <v>54.875435581703243</v>
      </c>
      <c r="DR116" s="20">
        <f t="shared" si="70"/>
        <v>484.84157113813313</v>
      </c>
      <c r="DS116" s="59">
        <f t="shared" si="71"/>
        <v>778.17490447146645</v>
      </c>
      <c r="DT116" s="59">
        <f ca="1">AVERAGE(OFFSET($DS$3,0,0,'Données projet'!$E$14+1,1))-AVERAGE(OFFSET($H$3,0,0,'Données projet'!$E$14+1,1))</f>
        <v>247.92503505485405</v>
      </c>
      <c r="DU116" s="59">
        <f t="shared" si="98"/>
        <v>148.26437652597514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6.5983894155784828</v>
      </c>
      <c r="EB116" s="21">
        <f>EXP(-LN(2)/25)*EB115+(1-EXP(-LN(2)/25))/(LN(2)/25)*Calculateur!DW116*Calculateur!DY116*VLOOKUP('Données projet'!$B$14,Paramètres!$A$1:$I$89,3,0)*0.475*44/12</f>
        <v>21.117910690834854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27.716300106413335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4.583333333333333</v>
      </c>
      <c r="EJ116" s="12">
        <f>IF('Données projet'!$A$192&gt;35,EJ115+EI116-ER115,IF(A116&lt;'Données projet'!$A$192,$EG$205^A116,IF(A116='Données projet'!$A$192,'Données projet'!$B$192,EJ115+EI116-ER115)))</f>
        <v>220.41666666666669</v>
      </c>
      <c r="EK116" s="17">
        <f>EJ116*VLOOKUP('Données projet'!$B$15,Paramètres!$A$1:$I$89,3,0)*VLOOKUP('Données projet'!$B$15,Paramètres!$A$1:$I$89,5,0)</f>
        <v>213.18700000000001</v>
      </c>
      <c r="EL116" s="13">
        <f t="shared" si="99"/>
        <v>52.631413695089414</v>
      </c>
      <c r="EM116" s="20">
        <f t="shared" si="73"/>
        <v>462.96707051894737</v>
      </c>
      <c r="EN116" s="59">
        <f t="shared" si="74"/>
        <v>756.30040385228062</v>
      </c>
      <c r="EO116" s="59">
        <f ca="1">AVERAGE(OFFSET($EN$3,0,0,'Données projet'!$E$15+1,1))-AVERAGE(OFFSET($H$3,0,0,'Données projet'!$E$15+1,1))</f>
        <v>232.99870507181964</v>
      </c>
      <c r="EP116" s="59">
        <f t="shared" si="100"/>
        <v>140.07662669226278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6.2938483656287065</v>
      </c>
      <c r="EW116" s="21">
        <f>EXP(-LN(2)/25)*EW115+(1-EXP(-LN(2)/25))/(LN(2)/25)*Calculateur!ER116*Calculateur!ET116*VLOOKUP('Données projet'!$B$15,Paramètres!$A$1:$I$89,3,0)*0.475*44/12</f>
        <v>20.143237889719391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26.437086255348099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5.6843418860808015E-14</v>
      </c>
      <c r="FF116" s="17">
        <f>FE116*VLOOKUP('Données projet'!$B$16,Paramètres!$A$1:$I$89,3,0)*VLOOKUP('Données projet'!$B$16,Paramètres!$A$1:$I$89,5,0)</f>
        <v>4.4337866711430253E-14</v>
      </c>
      <c r="FG116" s="13">
        <f t="shared" si="101"/>
        <v>7.3222115536967035E-13</v>
      </c>
      <c r="FH116" s="20">
        <f t="shared" si="76"/>
        <v>1.3525069634579169E-12</v>
      </c>
      <c r="FI116" s="59">
        <f t="shared" si="77"/>
        <v>293.33333333333468</v>
      </c>
      <c r="FJ116" s="59">
        <f ca="1">AVERAGE(OFFSET($FI$3,0,0,'Données projet'!$E$16+1,1))-AVERAGE(OFFSET($H$3,0,0,'Données projet'!$E$16+1,1))</f>
        <v>193.47609744163839</v>
      </c>
      <c r="FK116" s="59">
        <f t="shared" si="102"/>
        <v>170.3221892406973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32.629358513166011</v>
      </c>
      <c r="FR116" s="21">
        <f>EXP(-LN(2)/25)*FR115+(1-EXP(-LN(2)/25))/(LN(2)/25)*Calculateur!FM116*Calculateur!FO116*VLOOKUP('Données projet'!$B$16,Paramètres!$A$1:$I$89,3,0)*0.475*44/12</f>
        <v>8.0484561078336743</v>
      </c>
      <c r="FS116" s="21">
        <f>EXP(-LN(2)/2)*FS115+(1-EXP(-LN(2)/2))/(LN(2)/2)*FM116*FP116*VLOOKUP('Données projet'!$B$16,Paramètres!$A$1:$I$89,3,0)*0.475*44/12</f>
        <v>2.153433111689045E-4</v>
      </c>
      <c r="FT116" s="22">
        <f t="shared" si="78"/>
        <v>40.678029964310852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>
        <f>FZ116*VLOOKUP('Données projet'!$B$17,Paramètres!$A$1:$I$89,3,0)*VLOOKUP('Données projet'!$B$17,Paramètres!$A$1:$I$89,5,0)</f>
        <v>0</v>
      </c>
      <c r="GB116" s="13" t="e">
        <f t="shared" si="103"/>
        <v>#NUM!</v>
      </c>
      <c r="GC116" s="20" t="e">
        <f t="shared" si="79"/>
        <v>#NUM!</v>
      </c>
      <c r="GD116" s="59" t="e">
        <f t="shared" si="80"/>
        <v>#NUM!</v>
      </c>
      <c r="GE116" s="59">
        <f ca="1">AVERAGE(OFFSET($GD$3,0,0,'Données projet'!$E$17+1,1))-AVERAGE(OFFSET($H$3,0,0,'Données projet'!$E$17+1,1))</f>
        <v>153.43773674911449</v>
      </c>
      <c r="GF116" s="59">
        <f t="shared" si="104"/>
        <v>235.49395036616602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42.891027598279678</v>
      </c>
      <c r="GM116" s="21">
        <f>EXP(-LN(2)/25)*GM115+(1-EXP(-LN(2)/25))/(LN(2)/25)*Calculateur!GH116*Calculateur!GJ116*VLOOKUP('Données projet'!$B$17,Paramètres!$A$1:$I$89,3,0)*0.475*44/12</f>
        <v>19.757525069815809</v>
      </c>
      <c r="GN116" s="21">
        <f>EXP(-LN(2)/2)*GN115+(1-EXP(-LN(2)/2))/(LN(2)/2)*GH116*GK116*VLOOKUP('Données projet'!$B$17,Paramètres!$A$1:$I$89,3,0)*0.475*44/12</f>
        <v>0</v>
      </c>
      <c r="GO116" s="21">
        <f t="shared" si="81"/>
        <v>62.648552668095491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5.6843418860808015E-14</v>
      </c>
      <c r="GV116" s="17">
        <f>GU116*VLOOKUP('Données projet'!$B$18,Paramètres!$A$1:$I$89,3,0)*VLOOKUP('Données projet'!$B$18,Paramètres!$A$1:$I$89,5,0)</f>
        <v>4.5224624045658861E-14</v>
      </c>
      <c r="GW116" s="13">
        <f t="shared" si="105"/>
        <v>7.4514601661523691E-13</v>
      </c>
      <c r="GX116" s="20">
        <f t="shared" si="82"/>
        <v>1.3765621991510601E-12</v>
      </c>
      <c r="GY116" s="59">
        <f t="shared" si="83"/>
        <v>293.33333333333468</v>
      </c>
      <c r="GZ116" s="59">
        <f ca="1">AVERAGE(OFFSET($GY$3,0,0,'Données projet'!$E$18+1,1))-AVERAGE(OFFSET($H$3,0,0,'Données projet'!$E$18+1,1))</f>
        <v>198.11534486400666</v>
      </c>
      <c r="HA116" s="59">
        <f t="shared" si="106"/>
        <v>174.29856796517652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>
        <f>EXP(-LN(2)/35)*HG115+(1-EXP(-LN(2)/35))/(LN(2)/35)*HC116*HD116*VLOOKUP('Données projet'!$B$18,Paramètres!$A$1:$I$89,3,0)*0.475*44/12</f>
        <v>41.021933051668718</v>
      </c>
      <c r="HH116" s="21">
        <f>EXP(-LN(2)/25)*HH115+(1-EXP(-LN(2)/25))/(LN(2)/25)*Calculateur!HC116*Calculateur!HE116*VLOOKUP('Données projet'!$B$18,Paramètres!$A$1:$I$89,3,0)*0.475*44/12</f>
        <v>10.118593888127648</v>
      </c>
      <c r="HI116" s="21">
        <f>EXP(-LN(2)/2)*HI115+(1-EXP(-LN(2)/2))/(LN(2)/2)*HC116*HF116*VLOOKUP('Données projet'!$B$18,Paramètres!$A$1:$I$89,3,0)*0.475*44/12</f>
        <v>2.1965017739228226E-4</v>
      </c>
      <c r="HJ116" s="22">
        <f t="shared" si="84"/>
        <v>51.140746589973759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1.1368683772161603E-13</v>
      </c>
      <c r="O117" s="13">
        <f>N117*VLOOKUP('Données projet'!$B$9,Paramètres!$A$1:$I$89,3,0)*VLOOKUP('Données projet'!$B$9,Paramètres!$A$1:$I$89,5,0)</f>
        <v>6.7984728957526396E-14</v>
      </c>
      <c r="P117" s="13">
        <f t="shared" si="87"/>
        <v>1.0682447123141398E-12</v>
      </c>
      <c r="Q117" s="20">
        <f t="shared" si="107"/>
        <v>1.978932943548152E-12</v>
      </c>
      <c r="R117" s="59">
        <f t="shared" si="55"/>
        <v>293.3333333333353</v>
      </c>
      <c r="S117" s="59">
        <f ca="1">AVERAGE(OFFSET($R$3,0,0,'Données projet'!$E$9+1,1))-AVERAGE(OFFSET($H$3,0,0,'Données projet'!$E$9+1,1))</f>
        <v>295.19075440119076</v>
      </c>
      <c r="T117" s="59">
        <f t="shared" si="88"/>
        <v>173.0182327988216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101.35843557978511</v>
      </c>
      <c r="AA117" s="21">
        <f>EXP(-LN(2)/25)*AA116+(1-EXP(-LN(2)/25))/(LN(2)/25)*Calculateur!V117*Calculateur!X117*VLOOKUP('Données projet'!$B$9,Paramètres!$A$1:$I$89,3,0)*0.475*44/12</f>
        <v>44.527170068921585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145.8856056487067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294.45857786714919</v>
      </c>
      <c r="AO117" s="59">
        <f t="shared" si="90"/>
        <v>221.9773436301067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93.553909075730303</v>
      </c>
      <c r="AV117" s="21">
        <f>EXP(-LN(2)/25)*AV116+(1-EXP(-LN(2)/25))/(LN(2)/25)*Calculateur!AQ117*Calculateur!AS117*VLOOKUP('Données projet'!$B$10,Paramètres!$A$1:$I$89,3,0)*0.475*44/12</f>
        <v>39.170330962927373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132.72424003865768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179.44051550872138</v>
      </c>
      <c r="BJ117" s="59">
        <f t="shared" si="92"/>
        <v>272.9500808380069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48.057097952024108</v>
      </c>
      <c r="BQ117" s="21">
        <f>EXP(-LN(2)/25)*BQ116+(1-EXP(-LN(2)/25))/(LN(2)/25)*Calculateur!BL117*Calculateur!BN117*VLOOKUP('Données projet'!$B$11,Paramètres!$A$1:$I$89,3,0)*0.475*44/12</f>
        <v>21.962576580318423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70.019674532342535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-3.4106051316484809E-13</v>
      </c>
      <c r="BZ117" s="13">
        <f>BY117*VLOOKUP('Données projet'!$B$12,Paramètres!$A$1:$I$89,3,0)*VLOOKUP('Données projet'!$B$12,Paramètres!$A$1:$I$89,5,0)</f>
        <v>-1.5961632016114892E-13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259.87681411271632</v>
      </c>
      <c r="CE117" s="59">
        <f t="shared" si="94"/>
        <v>191.8684235641158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166.25353374010706</v>
      </c>
      <c r="CL117" s="21">
        <f>EXP(-LN(2)/25)*CL116+(1-EXP(-LN(2)/25))/(LN(2)/25)*Calculateur!CG117*Calculateur!CI117*VLOOKUP('Données projet'!$B$12,Paramètres!$A$1:$I$89,3,0)*0.475*44/12</f>
        <v>74.417590968181344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240.6711247082884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5.6843418860808015E-14</v>
      </c>
      <c r="CU117" s="17">
        <f>CT117*VLOOKUP('Données projet'!$B$13,Paramètres!$A$1:$I$89,3,0)*VLOOKUP('Données projet'!$B$13,Paramètres!$A$1:$I$89,5,0)</f>
        <v>4.5224624045658861E-14</v>
      </c>
      <c r="CV117" s="13">
        <f t="shared" si="95"/>
        <v>7.4514601661523691E-13</v>
      </c>
      <c r="CW117" s="20">
        <f t="shared" si="67"/>
        <v>1.3765621991510601E-12</v>
      </c>
      <c r="CX117" s="59">
        <f t="shared" si="68"/>
        <v>293.33333333333468</v>
      </c>
      <c r="CY117" s="59">
        <f ca="1">AVERAGE(OFFSET($CX$3,0,0,'Données projet'!$E$13+1,1))-AVERAGE(OFFSET($H$3,0,0,'Données projet'!$E$13+1,1))</f>
        <v>198.11534486400666</v>
      </c>
      <c r="CZ117" s="59">
        <f t="shared" si="96"/>
        <v>174.29856796517652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40.217517965434048</v>
      </c>
      <c r="DG117" s="21">
        <f>EXP(-LN(2)/25)*DG116+(1-EXP(-LN(2)/25))/(LN(2)/25)*Calculateur!DB117*Calculateur!DD117*VLOOKUP('Données projet'!$B$13,Paramètres!$A$1:$I$89,3,0)*0.475*44/12</f>
        <v>9.8419004061430719</v>
      </c>
      <c r="DH117" s="21">
        <f>EXP(-LN(2)/2)*DH116+(1-EXP(-LN(2)/2))/(LN(2)/2)*DB117*DE117*VLOOKUP('Données projet'!$B$13,Paramètres!$A$1:$I$89,3,0)*0.475*44/12</f>
        <v>1.5531612992291088E-4</v>
      </c>
      <c r="DI117" s="22">
        <f t="shared" si="69"/>
        <v>50.059573687707044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>
        <f>VLOOKUP(A117,'Données projet'!$A$165:$I$185,2,0)</f>
        <v>225</v>
      </c>
      <c r="DM117" s="12">
        <f>VLOOKUP(A117,'Données projet'!$A$165:$I$185,9,0)</f>
        <v>4.583333333333333</v>
      </c>
      <c r="DN117" s="12">
        <f t="array" ref="DN117">INDEX(DM:DM,MIN(IF(ISNUMBER(DM117:DM313),ROW(DM117:DM313),"")))</f>
        <v>4.583333333333333</v>
      </c>
      <c r="DO117" s="12">
        <f>IF('Données projet'!$A$166&gt;35,DO116+DN117-DW116,IF(A117&lt;'Données projet'!$A$166,$DL$205^A117,IF(A117='Données projet'!$A$166,'Données projet'!$B$166,DO116+DN117-DW116)))</f>
        <v>225.00000000000003</v>
      </c>
      <c r="DP117" s="17">
        <f>DO117*VLOOKUP('Données projet'!$B$14,Paramètres!$A$1:$I$89,3,0)*VLOOKUP('Données projet'!$B$14,Paramètres!$A$1:$I$89,5,0)</f>
        <v>228.15000000000006</v>
      </c>
      <c r="DQ117" s="13">
        <f t="shared" si="97"/>
        <v>55.882480456847702</v>
      </c>
      <c r="DR117" s="20">
        <f t="shared" si="70"/>
        <v>494.68990346234324</v>
      </c>
      <c r="DS117" s="59">
        <f t="shared" si="71"/>
        <v>788.02323679567655</v>
      </c>
      <c r="DT117" s="59">
        <f ca="1">AVERAGE(OFFSET($DS$3,0,0,'Données projet'!$E$14+1,1))-AVERAGE(OFFSET($H$3,0,0,'Données projet'!$E$14+1,1))</f>
        <v>247.92503505485405</v>
      </c>
      <c r="DU117" s="59">
        <f t="shared" si="98"/>
        <v>148.26437652597514</v>
      </c>
      <c r="DV117" s="15">
        <f>IF(ISNA(VLOOKUP(A117,'Données projet'!$A$165:$I$185,3,0)),0,VLOOKUP(A117,'Données projet'!$A$165:$I$185,3,0))</f>
        <v>9</v>
      </c>
      <c r="DW117" s="15">
        <f>IF(ISNA(VLOOKUP(A117,'Données projet'!$A$165:$I$185,4,0)),0,VLOOKUP(A117,'Données projet'!$A$165:$I$185,4,0))</f>
        <v>37</v>
      </c>
      <c r="DX117" s="16">
        <f>IF(ISNA(VLOOKUP(A117,'Données projet'!$A$165:$I$185,5,0)),0%,VLOOKUP(A117,'Données projet'!$A$165:$I$185,5,0)*VLOOKUP('Données projet'!$B$14,Paramètres!$A$1:$I$89,7,0))</f>
        <v>0.129</v>
      </c>
      <c r="DY117" s="16">
        <f>IF(ISNA(VLOOKUP(A117,'Données projet'!$A$165:$I$185,6,0)),0%,VLOOKUP(A117,'Données projet'!$A$165:$I$185,6,0)*VLOOKUP('Données projet'!$B$14,Paramètres!$A$1:$I$89,7,0))</f>
        <v>0.215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11.819278886971057</v>
      </c>
      <c r="EB117" s="21">
        <f>EXP(-LN(2)/25)*EB116+(1-EXP(-LN(2)/25))/(LN(2)/25)*Calculateur!DW117*Calculateur!DY117*VLOOKUP('Données projet'!$B$14,Paramètres!$A$1:$I$89,3,0)*0.475*44/12</f>
        <v>29.422463267074654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41.24174215404571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>
        <f>VLOOKUP(A117,'Données projet'!$A$191:$I$211,2,0)</f>
        <v>225</v>
      </c>
      <c r="EH117" s="12">
        <f>VLOOKUP(A117,'Données projet'!$A$191:$I$211,9,0)</f>
        <v>4.583333333333333</v>
      </c>
      <c r="EI117" s="12">
        <f t="array" ref="EI117">INDEX(EH:EH,MIN(IF(ISNUMBER(EH117:EH313),ROW(EH117:EH313),"")))</f>
        <v>4.583333333333333</v>
      </c>
      <c r="EJ117" s="12">
        <f>IF('Données projet'!$A$192&gt;35,EJ116+EI117-ER116,IF(A117&lt;'Données projet'!$A$192,$EG$205^A117,IF(A117='Données projet'!$A$192,'Données projet'!$B$192,EJ116+EI117-ER116)))</f>
        <v>225.00000000000003</v>
      </c>
      <c r="EK117" s="17">
        <f>EJ117*VLOOKUP('Données projet'!$B$15,Paramètres!$A$1:$I$89,3,0)*VLOOKUP('Données projet'!$B$15,Paramètres!$A$1:$I$89,5,0)</f>
        <v>217.62000000000006</v>
      </c>
      <c r="EL117" s="13">
        <f t="shared" si="99"/>
        <v>53.597277471320098</v>
      </c>
      <c r="EM117" s="20">
        <f t="shared" si="73"/>
        <v>472.37009159588257</v>
      </c>
      <c r="EN117" s="59">
        <f t="shared" si="74"/>
        <v>765.70342492921588</v>
      </c>
      <c r="EO117" s="59">
        <f ca="1">AVERAGE(OFFSET($EN$3,0,0,'Données projet'!$E$15+1,1))-AVERAGE(OFFSET($H$3,0,0,'Données projet'!$E$15+1,1))</f>
        <v>232.99870507181964</v>
      </c>
      <c r="EP117" s="59">
        <f t="shared" si="100"/>
        <v>140.07662669226278</v>
      </c>
      <c r="EQ117" s="15">
        <f>IF(ISNA(VLOOKUP(A117,'Données projet'!$A$191:$I$211,3,0)),0,VLOOKUP(A117,'Données projet'!$A$191:$I$211,3,0))</f>
        <v>9</v>
      </c>
      <c r="ER117" s="15">
        <f>IF(ISNA(VLOOKUP(A117,'Données projet'!$A$191:$I$211,4,0)),0,VLOOKUP(A117,'Données projet'!$A$191:$I$211,4,0))</f>
        <v>37</v>
      </c>
      <c r="ES117" s="16">
        <f>IF(ISNA(VLOOKUP(A117,'Données projet'!$A$191:$I$211,5,0)),0%,VLOOKUP(A117,'Données projet'!$A$191:$I$211,5,0)*VLOOKUP('Données projet'!$B$15,Paramètres!$A$1:$I$89,7,0))</f>
        <v>0.129</v>
      </c>
      <c r="ET117" s="16">
        <f>IF(ISNA(VLOOKUP(A117,'Données projet'!$A$191:$I$211,6,0)),0%,VLOOKUP(A117,'Données projet'!$A$191:$I$211,6,0)*VLOOKUP('Données projet'!$B$15,Paramètres!$A$1:$I$89,7,0))</f>
        <v>0.215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11.273773707572392</v>
      </c>
      <c r="EW117" s="21">
        <f>EXP(-LN(2)/25)*EW116+(1-EXP(-LN(2)/25))/(LN(2)/25)*Calculateur!ER117*Calculateur!ET117*VLOOKUP('Données projet'!$B$15,Paramètres!$A$1:$I$89,3,0)*0.475*44/12</f>
        <v>28.064503423978898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39.338277131551294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5.6843418860808015E-14</v>
      </c>
      <c r="FF117" s="17">
        <f>FE117*VLOOKUP('Données projet'!$B$16,Paramètres!$A$1:$I$89,3,0)*VLOOKUP('Données projet'!$B$16,Paramètres!$A$1:$I$89,5,0)</f>
        <v>4.4337866711430253E-14</v>
      </c>
      <c r="FG117" s="13">
        <f t="shared" si="101"/>
        <v>7.3222115536967035E-13</v>
      </c>
      <c r="FH117" s="20">
        <f t="shared" si="76"/>
        <v>1.3525069634579169E-12</v>
      </c>
      <c r="FI117" s="59">
        <f t="shared" si="77"/>
        <v>293.33333333333468</v>
      </c>
      <c r="FJ117" s="59">
        <f ca="1">AVERAGE(OFFSET($FI$3,0,0,'Données projet'!$E$16+1,1))-AVERAGE(OFFSET($H$3,0,0,'Données projet'!$E$16+1,1))</f>
        <v>193.47609744163839</v>
      </c>
      <c r="FK117" s="59">
        <f t="shared" si="102"/>
        <v>170.3221892406973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31.989516694666364</v>
      </c>
      <c r="FR117" s="21">
        <f>EXP(-LN(2)/25)*FR116+(1-EXP(-LN(2)/25))/(LN(2)/25)*Calculateur!FM117*Calculateur!FO117*VLOOKUP('Données projet'!$B$16,Paramètres!$A$1:$I$89,3,0)*0.475*44/12</f>
        <v>7.8283706523150505</v>
      </c>
      <c r="FS117" s="21">
        <f>EXP(-LN(2)/2)*FS116+(1-EXP(-LN(2)/2))/(LN(2)/2)*FM117*FP117*VLOOKUP('Données projet'!$B$16,Paramètres!$A$1:$I$89,3,0)*0.475*44/12</f>
        <v>1.5227071561069717E-4</v>
      </c>
      <c r="FT117" s="22">
        <f t="shared" si="78"/>
        <v>39.818039617697025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>
        <f>FZ117*VLOOKUP('Données projet'!$B$17,Paramètres!$A$1:$I$89,3,0)*VLOOKUP('Données projet'!$B$17,Paramètres!$A$1:$I$89,5,0)</f>
        <v>0</v>
      </c>
      <c r="GB117" s="13" t="e">
        <f t="shared" si="103"/>
        <v>#NUM!</v>
      </c>
      <c r="GC117" s="20" t="e">
        <f t="shared" si="79"/>
        <v>#NUM!</v>
      </c>
      <c r="GD117" s="59" t="e">
        <f t="shared" si="80"/>
        <v>#NUM!</v>
      </c>
      <c r="GE117" s="59">
        <f ca="1">AVERAGE(OFFSET($GD$3,0,0,'Données projet'!$E$17+1,1))-AVERAGE(OFFSET($H$3,0,0,'Données projet'!$E$17+1,1))</f>
        <v>153.43773674911449</v>
      </c>
      <c r="GF117" s="59">
        <f t="shared" si="104"/>
        <v>235.49395036616602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42.049960708021068</v>
      </c>
      <c r="GM117" s="21">
        <f>EXP(-LN(2)/25)*GM116+(1-EXP(-LN(2)/25))/(LN(2)/25)*Calculateur!GH117*Calculateur!GJ117*VLOOKUP('Données projet'!$B$17,Paramètres!$A$1:$I$89,3,0)*0.475*44/12</f>
        <v>19.217254507778609</v>
      </c>
      <c r="GN117" s="21">
        <f>EXP(-LN(2)/2)*GN116+(1-EXP(-LN(2)/2))/(LN(2)/2)*GH117*GK117*VLOOKUP('Données projet'!$B$17,Paramètres!$A$1:$I$89,3,0)*0.475*44/12</f>
        <v>0</v>
      </c>
      <c r="GO117" s="21">
        <f t="shared" si="81"/>
        <v>61.267215215799681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5.6843418860808015E-14</v>
      </c>
      <c r="GV117" s="17">
        <f>GU117*VLOOKUP('Données projet'!$B$18,Paramètres!$A$1:$I$89,3,0)*VLOOKUP('Données projet'!$B$18,Paramètres!$A$1:$I$89,5,0)</f>
        <v>4.5224624045658861E-14</v>
      </c>
      <c r="GW117" s="13">
        <f t="shared" si="105"/>
        <v>7.4514601661523691E-13</v>
      </c>
      <c r="GX117" s="20">
        <f t="shared" si="82"/>
        <v>1.3765621991510601E-12</v>
      </c>
      <c r="GY117" s="59">
        <f t="shared" si="83"/>
        <v>293.33333333333468</v>
      </c>
      <c r="GZ117" s="59">
        <f ca="1">AVERAGE(OFFSET($GY$3,0,0,'Données projet'!$E$18+1,1))-AVERAGE(OFFSET($H$3,0,0,'Données projet'!$E$18+1,1))</f>
        <v>198.11534486400666</v>
      </c>
      <c r="HA117" s="59">
        <f t="shared" si="106"/>
        <v>174.29856796517652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>
        <f>EXP(-LN(2)/35)*HG116+(1-EXP(-LN(2)/35))/(LN(2)/35)*HC117*HD117*VLOOKUP('Données projet'!$B$18,Paramètres!$A$1:$I$89,3,0)*0.475*44/12</f>
        <v>40.217517965434048</v>
      </c>
      <c r="HH117" s="21">
        <f>EXP(-LN(2)/25)*HH116+(1-EXP(-LN(2)/25))/(LN(2)/25)*Calculateur!HC117*Calculateur!HE117*VLOOKUP('Données projet'!$B$18,Paramètres!$A$1:$I$89,3,0)*0.475*44/12</f>
        <v>9.8419004061430719</v>
      </c>
      <c r="HI117" s="21">
        <f>EXP(-LN(2)/2)*HI116+(1-EXP(-LN(2)/2))/(LN(2)/2)*HC117*HF117*VLOOKUP('Données projet'!$B$18,Paramètres!$A$1:$I$89,3,0)*0.475*44/12</f>
        <v>1.5531612992291088E-4</v>
      </c>
      <c r="HJ117" s="22">
        <f t="shared" si="84"/>
        <v>50.059573687707044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1.1368683772161603E-13</v>
      </c>
      <c r="O118" s="13">
        <f>N118*VLOOKUP('Données projet'!$B$9,Paramètres!$A$1:$I$89,3,0)*VLOOKUP('Données projet'!$B$9,Paramètres!$A$1:$I$89,5,0)</f>
        <v>6.7984728957526396E-14</v>
      </c>
      <c r="P118" s="13">
        <f t="shared" si="87"/>
        <v>1.0682447123141398E-12</v>
      </c>
      <c r="Q118" s="20">
        <f t="shared" si="107"/>
        <v>1.978932943548152E-12</v>
      </c>
      <c r="R118" s="59">
        <f t="shared" si="55"/>
        <v>293.3333333333353</v>
      </c>
      <c r="S118" s="59">
        <f ca="1">AVERAGE(OFFSET($R$3,0,0,'Données projet'!$E$9+1,1))-AVERAGE(OFFSET($H$3,0,0,'Données projet'!$E$9+1,1))</f>
        <v>295.19075440119076</v>
      </c>
      <c r="T118" s="59">
        <f t="shared" si="88"/>
        <v>173.0182327988216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99.370858480606756</v>
      </c>
      <c r="AA118" s="21">
        <f>EXP(-LN(2)/25)*AA117+(1-EXP(-LN(2)/25))/(LN(2)/25)*Calculateur!V118*Calculateur!X118*VLOOKUP('Données projet'!$B$9,Paramètres!$A$1:$I$89,3,0)*0.475*44/12</f>
        <v>43.309572261804817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142.68043074241157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294.45857786714919</v>
      </c>
      <c r="AO118" s="59">
        <f t="shared" si="90"/>
        <v>221.9773436301067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91.719373981005333</v>
      </c>
      <c r="AV118" s="21">
        <f>EXP(-LN(2)/25)*AV117+(1-EXP(-LN(2)/25))/(LN(2)/25)*Calculateur!AQ118*Calculateur!AS118*VLOOKUP('Données projet'!$B$10,Paramètres!$A$1:$I$89,3,0)*0.475*44/12</f>
        <v>38.099216202867943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129.81859018387328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179.44051550872138</v>
      </c>
      <c r="BJ118" s="59">
        <f t="shared" si="92"/>
        <v>272.9500808380069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47.114727573120355</v>
      </c>
      <c r="BQ118" s="21">
        <f>EXP(-LN(2)/25)*BQ117+(1-EXP(-LN(2)/25))/(LN(2)/25)*Calculateur!BL118*Calculateur!BN118*VLOOKUP('Données projet'!$B$11,Paramètres!$A$1:$I$89,3,0)*0.475*44/12</f>
        <v>21.362008768767911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68.47673634188827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-3.4106051316484809E-13</v>
      </c>
      <c r="BZ118" s="13">
        <f>BY118*VLOOKUP('Données projet'!$B$12,Paramètres!$A$1:$I$89,3,0)*VLOOKUP('Données projet'!$B$12,Paramètres!$A$1:$I$89,5,0)</f>
        <v>-1.5961632016114892E-13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259.87681411271632</v>
      </c>
      <c r="CE118" s="59">
        <f t="shared" si="94"/>
        <v>191.8684235641158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162.99340334810626</v>
      </c>
      <c r="CL118" s="21">
        <f>EXP(-LN(2)/25)*CL117+(1-EXP(-LN(2)/25))/(LN(2)/25)*Calculateur!CG118*Calculateur!CI118*VLOOKUP('Données projet'!$B$12,Paramètres!$A$1:$I$89,3,0)*0.475*44/12</f>
        <v>72.382638029705404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235.37604137781165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5.6843418860808015E-14</v>
      </c>
      <c r="CU118" s="17">
        <f>CT118*VLOOKUP('Données projet'!$B$13,Paramètres!$A$1:$I$89,3,0)*VLOOKUP('Données projet'!$B$13,Paramètres!$A$1:$I$89,5,0)</f>
        <v>4.5224624045658861E-14</v>
      </c>
      <c r="CV118" s="13">
        <f t="shared" si="95"/>
        <v>7.4514601661523691E-13</v>
      </c>
      <c r="CW118" s="20">
        <f t="shared" si="67"/>
        <v>1.3765621991510601E-12</v>
      </c>
      <c r="CX118" s="59">
        <f t="shared" si="68"/>
        <v>293.33333333333468</v>
      </c>
      <c r="CY118" s="59">
        <f ca="1">AVERAGE(OFFSET($CX$3,0,0,'Données projet'!$E$13+1,1))-AVERAGE(OFFSET($H$3,0,0,'Données projet'!$E$13+1,1))</f>
        <v>198.11534486400666</v>
      </c>
      <c r="CZ118" s="59">
        <f t="shared" si="96"/>
        <v>174.29856796517652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39.428876968395684</v>
      </c>
      <c r="DG118" s="21">
        <f>EXP(-LN(2)/25)*DG117+(1-EXP(-LN(2)/25))/(LN(2)/25)*Calculateur!DB118*Calculateur!DD118*VLOOKUP('Données projet'!$B$13,Paramètres!$A$1:$I$89,3,0)*0.475*44/12</f>
        <v>9.5727731219740413</v>
      </c>
      <c r="DH118" s="21">
        <f>EXP(-LN(2)/2)*DH117+(1-EXP(-LN(2)/2))/(LN(2)/2)*DB118*DE118*VLOOKUP('Données projet'!$B$13,Paramètres!$A$1:$I$89,3,0)*0.475*44/12</f>
        <v>1.0982508869614113E-4</v>
      </c>
      <c r="DI118" s="22">
        <f t="shared" si="69"/>
        <v>49.001759915458415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4.666666666666667</v>
      </c>
      <c r="DO118" s="12">
        <f>IF('Données projet'!$A$166&gt;35,DO117+DN118-DW117,IF(A118&lt;'Données projet'!$A$166,$DL$205^A118,IF(A118='Données projet'!$A$166,'Données projet'!$B$166,DO117+DN118-DW117)))</f>
        <v>192.66666666666669</v>
      </c>
      <c r="DP118" s="17">
        <f>DO118*VLOOKUP('Données projet'!$B$14,Paramètres!$A$1:$I$89,3,0)*VLOOKUP('Données projet'!$B$14,Paramètres!$A$1:$I$89,5,0)</f>
        <v>195.36400000000003</v>
      </c>
      <c r="DQ118" s="13">
        <f t="shared" si="97"/>
        <v>48.723928729575597</v>
      </c>
      <c r="DR118" s="20">
        <f t="shared" si="70"/>
        <v>425.11980920401083</v>
      </c>
      <c r="DS118" s="59">
        <f t="shared" si="71"/>
        <v>718.45314253734409</v>
      </c>
      <c r="DT118" s="59">
        <f ca="1">AVERAGE(OFFSET($DS$3,0,0,'Données projet'!$E$14+1,1))-AVERAGE(OFFSET($H$3,0,0,'Données projet'!$E$14+1,1))</f>
        <v>247.92503505485405</v>
      </c>
      <c r="DU118" s="59">
        <f t="shared" si="98"/>
        <v>148.26437652597514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11.587510037045842</v>
      </c>
      <c r="EB118" s="21">
        <f>EXP(-LN(2)/25)*EB117+(1-EXP(-LN(2)/25))/(LN(2)/25)*Calculateur!DW118*Calculateur!DY118*VLOOKUP('Données projet'!$B$14,Paramètres!$A$1:$I$89,3,0)*0.475*44/12</f>
        <v>28.617904461776401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40.205414498822243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4.666666666666667</v>
      </c>
      <c r="EJ118" s="12">
        <f>IF('Données projet'!$A$192&gt;35,EJ117+EI118-ER117,IF(A118&lt;'Données projet'!$A$192,$EG$205^A118,IF(A118='Données projet'!$A$192,'Données projet'!$B$192,EJ117+EI118-ER117)))</f>
        <v>192.66666666666669</v>
      </c>
      <c r="EK118" s="17">
        <f>EJ118*VLOOKUP('Données projet'!$B$15,Paramètres!$A$1:$I$89,3,0)*VLOOKUP('Données projet'!$B$15,Paramètres!$A$1:$I$89,5,0)</f>
        <v>186.34720000000002</v>
      </c>
      <c r="EL118" s="13">
        <f t="shared" si="99"/>
        <v>46.731460491064958</v>
      </c>
      <c r="EM118" s="20">
        <f t="shared" si="73"/>
        <v>405.94533368860476</v>
      </c>
      <c r="EN118" s="59">
        <f t="shared" si="74"/>
        <v>699.27866702193808</v>
      </c>
      <c r="EO118" s="59">
        <f ca="1">AVERAGE(OFFSET($EN$3,0,0,'Données projet'!$E$15+1,1))-AVERAGE(OFFSET($H$3,0,0,'Données projet'!$E$15+1,1))</f>
        <v>232.99870507181964</v>
      </c>
      <c r="EP118" s="59">
        <f t="shared" si="100"/>
        <v>140.07662669226278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11.052701881489879</v>
      </c>
      <c r="EW118" s="21">
        <f>EXP(-LN(2)/25)*EW117+(1-EXP(-LN(2)/25))/(LN(2)/25)*Calculateur!ER118*Calculateur!ET118*VLOOKUP('Données projet'!$B$15,Paramètres!$A$1:$I$89,3,0)*0.475*44/12</f>
        <v>27.297078102002104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38.349779983491985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5.6843418860808015E-14</v>
      </c>
      <c r="FF118" s="17">
        <f>FE118*VLOOKUP('Données projet'!$B$16,Paramètres!$A$1:$I$89,3,0)*VLOOKUP('Données projet'!$B$16,Paramètres!$A$1:$I$89,5,0)</f>
        <v>4.4337866711430253E-14</v>
      </c>
      <c r="FG118" s="13">
        <f t="shared" si="101"/>
        <v>7.3222115536967035E-13</v>
      </c>
      <c r="FH118" s="20">
        <f t="shared" si="76"/>
        <v>1.3525069634579169E-12</v>
      </c>
      <c r="FI118" s="59">
        <f t="shared" si="77"/>
        <v>293.33333333333468</v>
      </c>
      <c r="FJ118" s="59">
        <f ca="1">AVERAGE(OFFSET($FI$3,0,0,'Données projet'!$E$16+1,1))-AVERAGE(OFFSET($H$3,0,0,'Données projet'!$E$16+1,1))</f>
        <v>193.47609744163839</v>
      </c>
      <c r="FK118" s="59">
        <f t="shared" si="102"/>
        <v>170.3221892406973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31.362221783962521</v>
      </c>
      <c r="FR118" s="21">
        <f>EXP(-LN(2)/25)*FR117+(1-EXP(-LN(2)/25))/(LN(2)/25)*Calculateur!FM118*Calculateur!FO118*VLOOKUP('Données projet'!$B$16,Paramètres!$A$1:$I$89,3,0)*0.475*44/12</f>
        <v>7.6143034451513749</v>
      </c>
      <c r="FS118" s="21">
        <f>EXP(-LN(2)/2)*FS117+(1-EXP(-LN(2)/2))/(LN(2)/2)*FM118*FP118*VLOOKUP('Données projet'!$B$16,Paramètres!$A$1:$I$89,3,0)*0.475*44/12</f>
        <v>1.0767165558445225E-4</v>
      </c>
      <c r="FT118" s="22">
        <f t="shared" si="78"/>
        <v>38.976632900769481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>
        <f>FZ118*VLOOKUP('Données projet'!$B$17,Paramètres!$A$1:$I$89,3,0)*VLOOKUP('Données projet'!$B$17,Paramètres!$A$1:$I$89,5,0)</f>
        <v>0</v>
      </c>
      <c r="GB118" s="13" t="e">
        <f t="shared" si="103"/>
        <v>#NUM!</v>
      </c>
      <c r="GC118" s="20" t="e">
        <f t="shared" si="79"/>
        <v>#NUM!</v>
      </c>
      <c r="GD118" s="59" t="e">
        <f t="shared" si="80"/>
        <v>#NUM!</v>
      </c>
      <c r="GE118" s="59">
        <f ca="1">AVERAGE(OFFSET($GD$3,0,0,'Données projet'!$E$17+1,1))-AVERAGE(OFFSET($H$3,0,0,'Données projet'!$E$17+1,1))</f>
        <v>153.43773674911449</v>
      </c>
      <c r="GF118" s="59">
        <f t="shared" si="104"/>
        <v>235.49395036616602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41.22538662648028</v>
      </c>
      <c r="GM118" s="21">
        <f>EXP(-LN(2)/25)*GM117+(1-EXP(-LN(2)/25))/(LN(2)/25)*Calculateur!GH118*Calculateur!GJ118*VLOOKUP('Données projet'!$B$17,Paramètres!$A$1:$I$89,3,0)*0.475*44/12</f>
        <v>18.691757672671908</v>
      </c>
      <c r="GN118" s="21">
        <f>EXP(-LN(2)/2)*GN117+(1-EXP(-LN(2)/2))/(LN(2)/2)*GH118*GK118*VLOOKUP('Données projet'!$B$17,Paramètres!$A$1:$I$89,3,0)*0.475*44/12</f>
        <v>0</v>
      </c>
      <c r="GO118" s="21">
        <f t="shared" si="81"/>
        <v>59.917144299152184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5.6843418860808015E-14</v>
      </c>
      <c r="GV118" s="17">
        <f>GU118*VLOOKUP('Données projet'!$B$18,Paramètres!$A$1:$I$89,3,0)*VLOOKUP('Données projet'!$B$18,Paramètres!$A$1:$I$89,5,0)</f>
        <v>4.5224624045658861E-14</v>
      </c>
      <c r="GW118" s="13">
        <f t="shared" si="105"/>
        <v>7.4514601661523691E-13</v>
      </c>
      <c r="GX118" s="20">
        <f t="shared" si="82"/>
        <v>1.3765621991510601E-12</v>
      </c>
      <c r="GY118" s="59">
        <f t="shared" si="83"/>
        <v>293.33333333333468</v>
      </c>
      <c r="GZ118" s="59">
        <f ca="1">AVERAGE(OFFSET($GY$3,0,0,'Données projet'!$E$18+1,1))-AVERAGE(OFFSET($H$3,0,0,'Données projet'!$E$18+1,1))</f>
        <v>198.11534486400666</v>
      </c>
      <c r="HA118" s="59">
        <f t="shared" si="106"/>
        <v>174.29856796517652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>
        <f>EXP(-LN(2)/35)*HG117+(1-EXP(-LN(2)/35))/(LN(2)/35)*HC118*HD118*VLOOKUP('Données projet'!$B$18,Paramètres!$A$1:$I$89,3,0)*0.475*44/12</f>
        <v>39.428876968395684</v>
      </c>
      <c r="HH118" s="21">
        <f>EXP(-LN(2)/25)*HH117+(1-EXP(-LN(2)/25))/(LN(2)/25)*Calculateur!HC118*Calculateur!HE118*VLOOKUP('Données projet'!$B$18,Paramètres!$A$1:$I$89,3,0)*0.475*44/12</f>
        <v>9.5727731219740413</v>
      </c>
      <c r="HI118" s="21">
        <f>EXP(-LN(2)/2)*HI117+(1-EXP(-LN(2)/2))/(LN(2)/2)*HC118*HF118*VLOOKUP('Données projet'!$B$18,Paramètres!$A$1:$I$89,3,0)*0.475*44/12</f>
        <v>1.0982508869614113E-4</v>
      </c>
      <c r="HJ118" s="22">
        <f t="shared" si="84"/>
        <v>49.001759915458415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1.1368683772161603E-13</v>
      </c>
      <c r="O119" s="13">
        <f>N119*VLOOKUP('Données projet'!$B$9,Paramètres!$A$1:$I$89,3,0)*VLOOKUP('Données projet'!$B$9,Paramètres!$A$1:$I$89,5,0)</f>
        <v>6.7984728957526396E-14</v>
      </c>
      <c r="P119" s="13">
        <f t="shared" si="87"/>
        <v>1.0682447123141398E-12</v>
      </c>
      <c r="Q119" s="20">
        <f t="shared" si="107"/>
        <v>1.978932943548152E-12</v>
      </c>
      <c r="R119" s="59">
        <f t="shared" si="55"/>
        <v>293.3333333333353</v>
      </c>
      <c r="S119" s="59">
        <f ca="1">AVERAGE(OFFSET($R$3,0,0,'Données projet'!$E$9+1,1))-AVERAGE(OFFSET($H$3,0,0,'Données projet'!$E$9+1,1))</f>
        <v>295.19075440119076</v>
      </c>
      <c r="T119" s="59">
        <f t="shared" si="88"/>
        <v>173.0182327988216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97.422256556040963</v>
      </c>
      <c r="AA119" s="21">
        <f>EXP(-LN(2)/25)*AA118+(1-EXP(-LN(2)/25))/(LN(2)/25)*Calculateur!V119*Calculateur!X119*VLOOKUP('Données projet'!$B$9,Paramètres!$A$1:$I$89,3,0)*0.475*44/12</f>
        <v>42.125269730754347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139.54752628679532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294.45857786714919</v>
      </c>
      <c r="AO119" s="59">
        <f t="shared" si="90"/>
        <v>221.9773436301067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89.920813000532007</v>
      </c>
      <c r="AV119" s="21">
        <f>EXP(-LN(2)/25)*AV118+(1-EXP(-LN(2)/25))/(LN(2)/25)*Calculateur!AQ119*Calculateur!AS119*VLOOKUP('Données projet'!$B$10,Paramètres!$A$1:$I$89,3,0)*0.475*44/12</f>
        <v>37.057391132249819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126.97820413278183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179.44051550872138</v>
      </c>
      <c r="BJ119" s="59">
        <f t="shared" si="92"/>
        <v>272.9500808380069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46.19083650255773</v>
      </c>
      <c r="BQ119" s="21">
        <f>EXP(-LN(2)/25)*BQ118+(1-EXP(-LN(2)/25))/(LN(2)/25)*Calculateur!BL119*Calculateur!BN119*VLOOKUP('Données projet'!$B$11,Paramètres!$A$1:$I$89,3,0)*0.475*44/12</f>
        <v>20.777863515606736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66.968700018164469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-3.4106051316484809E-13</v>
      </c>
      <c r="BZ119" s="13">
        <f>BY119*VLOOKUP('Données projet'!$B$12,Paramètres!$A$1:$I$89,3,0)*VLOOKUP('Données projet'!$B$12,Paramètres!$A$1:$I$89,5,0)</f>
        <v>-1.5961632016114892E-13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259.87681411271632</v>
      </c>
      <c r="CE119" s="59">
        <f t="shared" si="94"/>
        <v>191.8684235641158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159.79720212460941</v>
      </c>
      <c r="CL119" s="21">
        <f>EXP(-LN(2)/25)*CL118+(1-EXP(-LN(2)/25))/(LN(2)/25)*Calculateur!CG119*Calculateur!CI119*VLOOKUP('Données projet'!$B$12,Paramètres!$A$1:$I$89,3,0)*0.475*44/12</f>
        <v>70.403330986345608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230.20053311095501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5.6843418860808015E-14</v>
      </c>
      <c r="CU119" s="17">
        <f>CT119*VLOOKUP('Données projet'!$B$13,Paramètres!$A$1:$I$89,3,0)*VLOOKUP('Données projet'!$B$13,Paramètres!$A$1:$I$89,5,0)</f>
        <v>4.5224624045658861E-14</v>
      </c>
      <c r="CV119" s="13">
        <f t="shared" si="95"/>
        <v>7.4514601661523691E-13</v>
      </c>
      <c r="CW119" s="20">
        <f t="shared" si="67"/>
        <v>1.3765621991510601E-12</v>
      </c>
      <c r="CX119" s="59">
        <f t="shared" si="68"/>
        <v>293.33333333333468</v>
      </c>
      <c r="CY119" s="59">
        <f ca="1">AVERAGE(OFFSET($CX$3,0,0,'Données projet'!$E$13+1,1))-AVERAGE(OFFSET($H$3,0,0,'Données projet'!$E$13+1,1))</f>
        <v>198.11534486400666</v>
      </c>
      <c r="CZ119" s="59">
        <f t="shared" si="96"/>
        <v>174.29856796517652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38.655700740285731</v>
      </c>
      <c r="DG119" s="21">
        <f>EXP(-LN(2)/25)*DG118+(1-EXP(-LN(2)/25))/(LN(2)/25)*Calculateur!DB119*Calculateur!DD119*VLOOKUP('Données projet'!$B$13,Paramètres!$A$1:$I$89,3,0)*0.475*44/12</f>
        <v>9.3110051375434022</v>
      </c>
      <c r="DH119" s="21">
        <f>EXP(-LN(2)/2)*DH118+(1-EXP(-LN(2)/2))/(LN(2)/2)*DB119*DE119*VLOOKUP('Données projet'!$B$13,Paramètres!$A$1:$I$89,3,0)*0.475*44/12</f>
        <v>7.7658064961455439E-5</v>
      </c>
      <c r="DI119" s="22">
        <f t="shared" si="69"/>
        <v>47.966783535894095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4.666666666666667</v>
      </c>
      <c r="DO119" s="12">
        <f>IF('Données projet'!$A$166&gt;35,DO118+DN119-DW118,IF(A119&lt;'Données projet'!$A$166,$DL$205^A119,IF(A119='Données projet'!$A$166,'Données projet'!$B$166,DO118+DN119-DW118)))</f>
        <v>197.33333333333334</v>
      </c>
      <c r="DP119" s="17">
        <f>DO119*VLOOKUP('Données projet'!$B$14,Paramètres!$A$1:$I$89,3,0)*VLOOKUP('Données projet'!$B$14,Paramètres!$A$1:$I$89,5,0)</f>
        <v>200.09600000000003</v>
      </c>
      <c r="DQ119" s="13">
        <f t="shared" si="97"/>
        <v>49.765265030466708</v>
      </c>
      <c r="DR119" s="20">
        <f t="shared" si="70"/>
        <v>435.17503659472953</v>
      </c>
      <c r="DS119" s="59">
        <f t="shared" si="71"/>
        <v>728.50836992806285</v>
      </c>
      <c r="DT119" s="59">
        <f ca="1">AVERAGE(OFFSET($DS$3,0,0,'Données projet'!$E$14+1,1))-AVERAGE(OFFSET($H$3,0,0,'Données projet'!$E$14+1,1))</f>
        <v>247.92503505485405</v>
      </c>
      <c r="DU119" s="59">
        <f t="shared" si="98"/>
        <v>148.26437652597514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11.36028603290262</v>
      </c>
      <c r="EB119" s="21">
        <f>EXP(-LN(2)/25)*EB118+(1-EXP(-LN(2)/25))/(LN(2)/25)*Calculateur!DW119*Calculateur!DY119*VLOOKUP('Données projet'!$B$14,Paramètres!$A$1:$I$89,3,0)*0.475*44/12</f>
        <v>27.835346359318937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39.195632392221555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4.666666666666667</v>
      </c>
      <c r="EJ119" s="12">
        <f>IF('Données projet'!$A$192&gt;35,EJ118+EI119-ER118,IF(A119&lt;'Données projet'!$A$192,$EG$205^A119,IF(A119='Données projet'!$A$192,'Données projet'!$B$192,EJ118+EI119-ER118)))</f>
        <v>197.33333333333334</v>
      </c>
      <c r="EK119" s="17">
        <f>EJ119*VLOOKUP('Données projet'!$B$15,Paramètres!$A$1:$I$89,3,0)*VLOOKUP('Données projet'!$B$15,Paramètres!$A$1:$I$89,5,0)</f>
        <v>190.86080000000001</v>
      </c>
      <c r="EL119" s="13">
        <f t="shared" si="99"/>
        <v>47.730213413332166</v>
      </c>
      <c r="EM119" s="20">
        <f t="shared" si="73"/>
        <v>415.54601502822015</v>
      </c>
      <c r="EN119" s="59">
        <f t="shared" si="74"/>
        <v>708.87934836155341</v>
      </c>
      <c r="EO119" s="59">
        <f ca="1">AVERAGE(OFFSET($EN$3,0,0,'Données projet'!$E$15+1,1))-AVERAGE(OFFSET($H$3,0,0,'Données projet'!$E$15+1,1))</f>
        <v>232.99870507181964</v>
      </c>
      <c r="EP119" s="59">
        <f t="shared" si="100"/>
        <v>140.07662669226278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10.835965139076345</v>
      </c>
      <c r="EW119" s="21">
        <f>EXP(-LN(2)/25)*EW118+(1-EXP(-LN(2)/25))/(LN(2)/25)*Calculateur!ER119*Calculateur!ET119*VLOOKUP('Données projet'!$B$15,Paramètres!$A$1:$I$89,3,0)*0.475*44/12</f>
        <v>26.550638065811906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37.386603204888253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5.6843418860808015E-14</v>
      </c>
      <c r="FF119" s="17">
        <f>FE119*VLOOKUP('Données projet'!$B$16,Paramètres!$A$1:$I$89,3,0)*VLOOKUP('Données projet'!$B$16,Paramètres!$A$1:$I$89,5,0)</f>
        <v>4.4337866711430253E-14</v>
      </c>
      <c r="FG119" s="13">
        <f t="shared" si="101"/>
        <v>7.3222115536967035E-13</v>
      </c>
      <c r="FH119" s="20">
        <f t="shared" si="76"/>
        <v>1.3525069634579169E-12</v>
      </c>
      <c r="FI119" s="59">
        <f t="shared" si="77"/>
        <v>293.33333333333468</v>
      </c>
      <c r="FJ119" s="59">
        <f ca="1">AVERAGE(OFFSET($FI$3,0,0,'Données projet'!$E$16+1,1))-AVERAGE(OFFSET($H$3,0,0,'Données projet'!$E$16+1,1))</f>
        <v>193.47609744163839</v>
      </c>
      <c r="FK119" s="59">
        <f t="shared" si="102"/>
        <v>170.3221892406973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30.747227743845468</v>
      </c>
      <c r="FR119" s="21">
        <f>EXP(-LN(2)/25)*FR118+(1-EXP(-LN(2)/25))/(LN(2)/25)*Calculateur!FM119*Calculateur!FO119*VLOOKUP('Données projet'!$B$16,Paramètres!$A$1:$I$89,3,0)*0.475*44/12</f>
        <v>7.4060899170248948</v>
      </c>
      <c r="FS119" s="21">
        <f>EXP(-LN(2)/2)*FS118+(1-EXP(-LN(2)/2))/(LN(2)/2)*FM119*FP119*VLOOKUP('Données projet'!$B$16,Paramètres!$A$1:$I$89,3,0)*0.475*44/12</f>
        <v>7.6135357805348584E-5</v>
      </c>
      <c r="FT119" s="22">
        <f t="shared" si="78"/>
        <v>38.153393796228173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>
        <f>FZ119*VLOOKUP('Données projet'!$B$17,Paramètres!$A$1:$I$89,3,0)*VLOOKUP('Données projet'!$B$17,Paramètres!$A$1:$I$89,5,0)</f>
        <v>0</v>
      </c>
      <c r="GB119" s="13" t="e">
        <f t="shared" si="103"/>
        <v>#NUM!</v>
      </c>
      <c r="GC119" s="20" t="e">
        <f t="shared" si="79"/>
        <v>#NUM!</v>
      </c>
      <c r="GD119" s="59" t="e">
        <f t="shared" si="80"/>
        <v>#NUM!</v>
      </c>
      <c r="GE119" s="59">
        <f ca="1">AVERAGE(OFFSET($GD$3,0,0,'Données projet'!$E$17+1,1))-AVERAGE(OFFSET($H$3,0,0,'Données projet'!$E$17+1,1))</f>
        <v>153.43773674911449</v>
      </c>
      <c r="GF119" s="59">
        <f t="shared" si="104"/>
        <v>235.49395036616602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40.41698193973798</v>
      </c>
      <c r="GM119" s="21">
        <f>EXP(-LN(2)/25)*GM118+(1-EXP(-LN(2)/25))/(LN(2)/25)*Calculateur!GH119*Calculateur!GJ119*VLOOKUP('Données projet'!$B$17,Paramètres!$A$1:$I$89,3,0)*0.475*44/12</f>
        <v>18.180630576155881</v>
      </c>
      <c r="GN119" s="21">
        <f>EXP(-LN(2)/2)*GN118+(1-EXP(-LN(2)/2))/(LN(2)/2)*GH119*GK119*VLOOKUP('Données projet'!$B$17,Paramètres!$A$1:$I$89,3,0)*0.475*44/12</f>
        <v>0</v>
      </c>
      <c r="GO119" s="21">
        <f t="shared" si="81"/>
        <v>58.597612515893857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5.6843418860808015E-14</v>
      </c>
      <c r="GV119" s="17">
        <f>GU119*VLOOKUP('Données projet'!$B$18,Paramètres!$A$1:$I$89,3,0)*VLOOKUP('Données projet'!$B$18,Paramètres!$A$1:$I$89,5,0)</f>
        <v>4.5224624045658861E-14</v>
      </c>
      <c r="GW119" s="13">
        <f t="shared" si="105"/>
        <v>7.4514601661523691E-13</v>
      </c>
      <c r="GX119" s="20">
        <f t="shared" si="82"/>
        <v>1.3765621991510601E-12</v>
      </c>
      <c r="GY119" s="59">
        <f t="shared" si="83"/>
        <v>293.33333333333468</v>
      </c>
      <c r="GZ119" s="59">
        <f ca="1">AVERAGE(OFFSET($GY$3,0,0,'Données projet'!$E$18+1,1))-AVERAGE(OFFSET($H$3,0,0,'Données projet'!$E$18+1,1))</f>
        <v>198.11534486400666</v>
      </c>
      <c r="HA119" s="59">
        <f t="shared" si="106"/>
        <v>174.29856796517652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>
        <f>EXP(-LN(2)/35)*HG118+(1-EXP(-LN(2)/35))/(LN(2)/35)*HC119*HD119*VLOOKUP('Données projet'!$B$18,Paramètres!$A$1:$I$89,3,0)*0.475*44/12</f>
        <v>38.655700740285731</v>
      </c>
      <c r="HH119" s="21">
        <f>EXP(-LN(2)/25)*HH118+(1-EXP(-LN(2)/25))/(LN(2)/25)*Calculateur!HC119*Calculateur!HE119*VLOOKUP('Données projet'!$B$18,Paramètres!$A$1:$I$89,3,0)*0.475*44/12</f>
        <v>9.3110051375434022</v>
      </c>
      <c r="HI119" s="21">
        <f>EXP(-LN(2)/2)*HI118+(1-EXP(-LN(2)/2))/(LN(2)/2)*HC119*HF119*VLOOKUP('Données projet'!$B$18,Paramètres!$A$1:$I$89,3,0)*0.475*44/12</f>
        <v>7.7658064961455439E-5</v>
      </c>
      <c r="HJ119" s="22">
        <f t="shared" si="84"/>
        <v>47.966783535894095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1.1368683772161603E-13</v>
      </c>
      <c r="O120" s="13">
        <f>N120*VLOOKUP('Données projet'!$B$9,Paramètres!$A$1:$I$89,3,0)*VLOOKUP('Données projet'!$B$9,Paramètres!$A$1:$I$89,5,0)</f>
        <v>6.7984728957526396E-14</v>
      </c>
      <c r="P120" s="13">
        <f t="shared" si="87"/>
        <v>1.0682447123141398E-12</v>
      </c>
      <c r="Q120" s="20">
        <f t="shared" si="107"/>
        <v>1.978932943548152E-12</v>
      </c>
      <c r="R120" s="59">
        <f t="shared" si="55"/>
        <v>293.3333333333353</v>
      </c>
      <c r="S120" s="59">
        <f ca="1">AVERAGE(OFFSET($R$3,0,0,'Données projet'!$E$9+1,1))-AVERAGE(OFFSET($H$3,0,0,'Données projet'!$E$9+1,1))</f>
        <v>295.19075440119076</v>
      </c>
      <c r="T120" s="59">
        <f t="shared" si="88"/>
        <v>173.0182327988216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95.511865526686094</v>
      </c>
      <c r="AA120" s="21">
        <f>EXP(-LN(2)/25)*AA119+(1-EXP(-LN(2)/25))/(LN(2)/25)*Calculateur!V120*Calculateur!X120*VLOOKUP('Données projet'!$B$9,Paramètres!$A$1:$I$89,3,0)*0.475*44/12</f>
        <v>40.973352014695216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136.4852175413813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294.45857786714919</v>
      </c>
      <c r="AO120" s="59">
        <f t="shared" si="90"/>
        <v>221.9773436301067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88.157520703871882</v>
      </c>
      <c r="AV120" s="21">
        <f>EXP(-LN(2)/25)*AV119+(1-EXP(-LN(2)/25))/(LN(2)/25)*Calculateur!AQ120*Calculateur!AS120*VLOOKUP('Données projet'!$B$10,Paramètres!$A$1:$I$89,3,0)*0.475*44/12</f>
        <v>36.044054822974942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124.20157552684682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179.44051550872138</v>
      </c>
      <c r="BJ120" s="59">
        <f t="shared" si="92"/>
        <v>272.9500808380069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45.285062372370923</v>
      </c>
      <c r="BQ120" s="21">
        <f>EXP(-LN(2)/25)*BQ119+(1-EXP(-LN(2)/25))/(LN(2)/25)*Calculateur!BL120*Calculateur!BN120*VLOOKUP('Données projet'!$B$11,Paramètres!$A$1:$I$89,3,0)*0.475*44/12</f>
        <v>20.209691745112117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65.494754117483041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-3.4106051316484809E-13</v>
      </c>
      <c r="BZ120" s="13">
        <f>BY120*VLOOKUP('Données projet'!$B$12,Paramètres!$A$1:$I$89,3,0)*VLOOKUP('Données projet'!$B$12,Paramètres!$A$1:$I$89,5,0)</f>
        <v>-1.5961632016114892E-13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259.87681411271632</v>
      </c>
      <c r="CE120" s="59">
        <f t="shared" si="94"/>
        <v>191.8684235641158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156.66367645761508</v>
      </c>
      <c r="CL120" s="21">
        <f>EXP(-LN(2)/25)*CL119+(1-EXP(-LN(2)/25))/(LN(2)/25)*Calculateur!CG120*Calculateur!CI120*VLOOKUP('Données projet'!$B$12,Paramètres!$A$1:$I$89,3,0)*0.475*44/12</f>
        <v>68.478148198173713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225.14182465578881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5.6843418860808015E-14</v>
      </c>
      <c r="CU120" s="17">
        <f>CT120*VLOOKUP('Données projet'!$B$13,Paramètres!$A$1:$I$89,3,0)*VLOOKUP('Données projet'!$B$13,Paramètres!$A$1:$I$89,5,0)</f>
        <v>4.5224624045658861E-14</v>
      </c>
      <c r="CV120" s="13">
        <f t="shared" si="95"/>
        <v>7.4514601661523691E-13</v>
      </c>
      <c r="CW120" s="20">
        <f t="shared" si="67"/>
        <v>1.3765621991510601E-12</v>
      </c>
      <c r="CX120" s="59">
        <f t="shared" si="68"/>
        <v>293.33333333333468</v>
      </c>
      <c r="CY120" s="59">
        <f ca="1">AVERAGE(OFFSET($CX$3,0,0,'Données projet'!$E$13+1,1))-AVERAGE(OFFSET($H$3,0,0,'Données projet'!$E$13+1,1))</f>
        <v>198.11534486400666</v>
      </c>
      <c r="CZ120" s="59">
        <f t="shared" si="96"/>
        <v>174.29856796517652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37.897686026418079</v>
      </c>
      <c r="DG120" s="21">
        <f>EXP(-LN(2)/25)*DG119+(1-EXP(-LN(2)/25))/(LN(2)/25)*Calculateur!DB120*Calculateur!DD120*VLOOKUP('Données projet'!$B$13,Paramètres!$A$1:$I$89,3,0)*0.475*44/12</f>
        <v>9.0563952124127987</v>
      </c>
      <c r="DH120" s="21">
        <f>EXP(-LN(2)/2)*DH119+(1-EXP(-LN(2)/2))/(LN(2)/2)*DB120*DE120*VLOOKUP('Données projet'!$B$13,Paramètres!$A$1:$I$89,3,0)*0.475*44/12</f>
        <v>5.4912544348070565E-5</v>
      </c>
      <c r="DI120" s="22">
        <f t="shared" si="69"/>
        <v>46.954136151375231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4.666666666666667</v>
      </c>
      <c r="DO120" s="12">
        <f>IF('Données projet'!$A$166&gt;35,DO119+DN120-DW119,IF(A120&lt;'Données projet'!$A$166,$DL$205^A120,IF(A120='Données projet'!$A$166,'Données projet'!$B$166,DO119+DN120-DW119)))</f>
        <v>202</v>
      </c>
      <c r="DP120" s="17">
        <f>DO120*VLOOKUP('Données projet'!$B$14,Paramètres!$A$1:$I$89,3,0)*VLOOKUP('Données projet'!$B$14,Paramètres!$A$1:$I$89,5,0)</f>
        <v>204.82800000000003</v>
      </c>
      <c r="DQ120" s="13">
        <f t="shared" si="97"/>
        <v>50.80373850176295</v>
      </c>
      <c r="DR120" s="20">
        <f t="shared" si="70"/>
        <v>445.22527789057045</v>
      </c>
      <c r="DS120" s="59">
        <f t="shared" si="71"/>
        <v>738.55861122390377</v>
      </c>
      <c r="DT120" s="59">
        <f ca="1">AVERAGE(OFFSET($DS$3,0,0,'Données projet'!$E$14+1,1))-AVERAGE(OFFSET($H$3,0,0,'Données projet'!$E$14+1,1))</f>
        <v>247.92503505485405</v>
      </c>
      <c r="DU120" s="59">
        <f t="shared" si="98"/>
        <v>148.26437652597514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11.137517752887689</v>
      </c>
      <c r="EB120" s="21">
        <f>EXP(-LN(2)/25)*EB119+(1-EXP(-LN(2)/25))/(LN(2)/25)*Calculateur!DW120*Calculateur!DY120*VLOOKUP('Données projet'!$B$14,Paramètres!$A$1:$I$89,3,0)*0.475*44/12</f>
        <v>27.074187349326113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38.211705102213799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4.666666666666667</v>
      </c>
      <c r="EJ120" s="12">
        <f>IF('Données projet'!$A$192&gt;35,EJ119+EI120-ER119,IF(A120&lt;'Données projet'!$A$192,$EG$205^A120,IF(A120='Données projet'!$A$192,'Données projet'!$B$192,EJ119+EI120-ER119)))</f>
        <v>202</v>
      </c>
      <c r="EK120" s="17">
        <f>EJ120*VLOOKUP('Données projet'!$B$15,Paramètres!$A$1:$I$89,3,0)*VLOOKUP('Données projet'!$B$15,Paramètres!$A$1:$I$89,5,0)</f>
        <v>195.37440000000001</v>
      </c>
      <c r="EL120" s="13">
        <f t="shared" si="99"/>
        <v>48.726220575731652</v>
      </c>
      <c r="EM120" s="20">
        <f t="shared" si="73"/>
        <v>425.14191416939929</v>
      </c>
      <c r="EN120" s="59">
        <f t="shared" si="74"/>
        <v>718.4752475027326</v>
      </c>
      <c r="EO120" s="59">
        <f ca="1">AVERAGE(OFFSET($EN$3,0,0,'Données projet'!$E$15+1,1))-AVERAGE(OFFSET($H$3,0,0,'Données projet'!$E$15+1,1))</f>
        <v>232.99870507181964</v>
      </c>
      <c r="EP120" s="59">
        <f t="shared" si="100"/>
        <v>140.07662669226278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10.62347847198518</v>
      </c>
      <c r="EW120" s="21">
        <f>EXP(-LN(2)/25)*EW119+(1-EXP(-LN(2)/25))/(LN(2)/25)*Calculateur!ER120*Calculateur!ET120*VLOOKUP('Données projet'!$B$15,Paramètres!$A$1:$I$89,3,0)*0.475*44/12</f>
        <v>25.824609471664907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36.448087943650087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5.6843418860808015E-14</v>
      </c>
      <c r="FF120" s="17">
        <f>FE120*VLOOKUP('Données projet'!$B$16,Paramètres!$A$1:$I$89,3,0)*VLOOKUP('Données projet'!$B$16,Paramètres!$A$1:$I$89,5,0)</f>
        <v>4.4337866711430253E-14</v>
      </c>
      <c r="FG120" s="13">
        <f t="shared" si="101"/>
        <v>7.3222115536967035E-13</v>
      </c>
      <c r="FH120" s="20">
        <f t="shared" si="76"/>
        <v>1.3525069634579169E-12</v>
      </c>
      <c r="FI120" s="59">
        <f t="shared" si="77"/>
        <v>293.33333333333468</v>
      </c>
      <c r="FJ120" s="59">
        <f ca="1">AVERAGE(OFFSET($FI$3,0,0,'Données projet'!$E$16+1,1))-AVERAGE(OFFSET($H$3,0,0,'Données projet'!$E$16+1,1))</f>
        <v>193.47609744163839</v>
      </c>
      <c r="FK120" s="59">
        <f t="shared" si="102"/>
        <v>170.3221892406973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30.144293361745781</v>
      </c>
      <c r="FR120" s="21">
        <f>EXP(-LN(2)/25)*FR119+(1-EXP(-LN(2)/25))/(LN(2)/25)*Calculateur!FM120*Calculateur!FO120*VLOOKUP('Données projet'!$B$16,Paramètres!$A$1:$I$89,3,0)*0.475*44/12</f>
        <v>7.2035699987745074</v>
      </c>
      <c r="FS120" s="21">
        <f>EXP(-LN(2)/2)*FS119+(1-EXP(-LN(2)/2))/(LN(2)/2)*FM120*FP120*VLOOKUP('Données projet'!$B$16,Paramètres!$A$1:$I$89,3,0)*0.475*44/12</f>
        <v>5.3835827792226125E-5</v>
      </c>
      <c r="FT120" s="22">
        <f t="shared" si="78"/>
        <v>37.347917196348078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>
        <f>FZ120*VLOOKUP('Données projet'!$B$17,Paramètres!$A$1:$I$89,3,0)*VLOOKUP('Données projet'!$B$17,Paramètres!$A$1:$I$89,5,0)</f>
        <v>0</v>
      </c>
      <c r="GB120" s="13" t="e">
        <f t="shared" si="103"/>
        <v>#NUM!</v>
      </c>
      <c r="GC120" s="20" t="e">
        <f t="shared" si="79"/>
        <v>#NUM!</v>
      </c>
      <c r="GD120" s="59" t="e">
        <f t="shared" si="80"/>
        <v>#NUM!</v>
      </c>
      <c r="GE120" s="59">
        <f ca="1">AVERAGE(OFFSET($GD$3,0,0,'Données projet'!$E$17+1,1))-AVERAGE(OFFSET($H$3,0,0,'Données projet'!$E$17+1,1))</f>
        <v>153.43773674911449</v>
      </c>
      <c r="GF120" s="59">
        <f t="shared" si="104"/>
        <v>235.49395036616602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39.624429575824529</v>
      </c>
      <c r="GM120" s="21">
        <f>EXP(-LN(2)/25)*GM119+(1-EXP(-LN(2)/25))/(LN(2)/25)*Calculateur!GH120*Calculateur!GJ120*VLOOKUP('Données projet'!$B$17,Paramètres!$A$1:$I$89,3,0)*0.475*44/12</f>
        <v>17.683480276973089</v>
      </c>
      <c r="GN120" s="21">
        <f>EXP(-LN(2)/2)*GN119+(1-EXP(-LN(2)/2))/(LN(2)/2)*GH120*GK120*VLOOKUP('Données projet'!$B$17,Paramètres!$A$1:$I$89,3,0)*0.475*44/12</f>
        <v>0</v>
      </c>
      <c r="GO120" s="21">
        <f t="shared" si="81"/>
        <v>57.307909852797621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5.6843418860808015E-14</v>
      </c>
      <c r="GV120" s="17">
        <f>GU120*VLOOKUP('Données projet'!$B$18,Paramètres!$A$1:$I$89,3,0)*VLOOKUP('Données projet'!$B$18,Paramètres!$A$1:$I$89,5,0)</f>
        <v>4.5224624045658861E-14</v>
      </c>
      <c r="GW120" s="13">
        <f t="shared" si="105"/>
        <v>7.4514601661523691E-13</v>
      </c>
      <c r="GX120" s="20">
        <f t="shared" si="82"/>
        <v>1.3765621991510601E-12</v>
      </c>
      <c r="GY120" s="59">
        <f t="shared" si="83"/>
        <v>293.33333333333468</v>
      </c>
      <c r="GZ120" s="59">
        <f ca="1">AVERAGE(OFFSET($GY$3,0,0,'Données projet'!$E$18+1,1))-AVERAGE(OFFSET($H$3,0,0,'Données projet'!$E$18+1,1))</f>
        <v>198.11534486400666</v>
      </c>
      <c r="HA120" s="59">
        <f t="shared" si="106"/>
        <v>174.29856796517652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>
        <f>EXP(-LN(2)/35)*HG119+(1-EXP(-LN(2)/35))/(LN(2)/35)*HC120*HD120*VLOOKUP('Données projet'!$B$18,Paramètres!$A$1:$I$89,3,0)*0.475*44/12</f>
        <v>37.897686026418079</v>
      </c>
      <c r="HH120" s="21">
        <f>EXP(-LN(2)/25)*HH119+(1-EXP(-LN(2)/25))/(LN(2)/25)*Calculateur!HC120*Calculateur!HE120*VLOOKUP('Données projet'!$B$18,Paramètres!$A$1:$I$89,3,0)*0.475*44/12</f>
        <v>9.0563952124127987</v>
      </c>
      <c r="HI120" s="21">
        <f>EXP(-LN(2)/2)*HI119+(1-EXP(-LN(2)/2))/(LN(2)/2)*HC120*HF120*VLOOKUP('Données projet'!$B$18,Paramètres!$A$1:$I$89,3,0)*0.475*44/12</f>
        <v>5.4912544348070565E-5</v>
      </c>
      <c r="HJ120" s="22">
        <f t="shared" si="84"/>
        <v>46.954136151375231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1.1368683772161603E-13</v>
      </c>
      <c r="O121" s="13">
        <f>N121*VLOOKUP('Données projet'!$B$9,Paramètres!$A$1:$I$89,3,0)*VLOOKUP('Données projet'!$B$9,Paramètres!$A$1:$I$89,5,0)</f>
        <v>6.7984728957526396E-14</v>
      </c>
      <c r="P121" s="13">
        <f t="shared" si="87"/>
        <v>1.0682447123141398E-12</v>
      </c>
      <c r="Q121" s="20">
        <f t="shared" si="107"/>
        <v>1.978932943548152E-12</v>
      </c>
      <c r="R121" s="59">
        <f t="shared" si="55"/>
        <v>293.3333333333353</v>
      </c>
      <c r="S121" s="59">
        <f ca="1">AVERAGE(OFFSET($R$3,0,0,'Données projet'!$E$9+1,1))-AVERAGE(OFFSET($H$3,0,0,'Données projet'!$E$9+1,1))</f>
        <v>295.19075440119076</v>
      </c>
      <c r="T121" s="59">
        <f t="shared" si="88"/>
        <v>173.0182327988216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93.638936100193405</v>
      </c>
      <c r="AA121" s="21">
        <f>EXP(-LN(2)/25)*AA120+(1-EXP(-LN(2)/25))/(LN(2)/25)*Calculateur!V121*Calculateur!X121*VLOOKUP('Données projet'!$B$9,Paramètres!$A$1:$I$89,3,0)*0.475*44/12</f>
        <v>39.852933549158436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133.49186964935183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294.45857786714919</v>
      </c>
      <c r="AO121" s="59">
        <f t="shared" si="90"/>
        <v>221.9773436301067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86.428805493647161</v>
      </c>
      <c r="AV121" s="21">
        <f>EXP(-LN(2)/25)*AV120+(1-EXP(-LN(2)/25))/(LN(2)/25)*Calculateur!AQ121*Calculateur!AS121*VLOOKUP('Données projet'!$B$10,Paramètres!$A$1:$I$89,3,0)*0.475*44/12</f>
        <v>35.058428248366226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121.48723374201339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179.44051550872138</v>
      </c>
      <c r="BJ121" s="59">
        <f t="shared" si="92"/>
        <v>272.9500808380069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44.397049920409415</v>
      </c>
      <c r="BQ121" s="21">
        <f>EXP(-LN(2)/25)*BQ120+(1-EXP(-LN(2)/25))/(LN(2)/25)*Calculateur!BL121*Calculateur!BN121*VLOOKUP('Données projet'!$B$11,Paramètres!$A$1:$I$89,3,0)*0.475*44/12</f>
        <v>19.657056661560528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64.054106581969947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-3.4106051316484809E-13</v>
      </c>
      <c r="BZ121" s="13">
        <f>BY121*VLOOKUP('Données projet'!$B$12,Paramètres!$A$1:$I$89,3,0)*VLOOKUP('Données projet'!$B$12,Paramètres!$A$1:$I$89,5,0)</f>
        <v>-1.5961632016114892E-13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259.87681411271632</v>
      </c>
      <c r="CE121" s="59">
        <f t="shared" si="94"/>
        <v>191.8684235641158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153.59159731768858</v>
      </c>
      <c r="CL121" s="21">
        <f>EXP(-LN(2)/25)*CL120+(1-EXP(-LN(2)/25))/(LN(2)/25)*Calculateur!CG121*Calculateur!CI121*VLOOKUP('Données projet'!$B$12,Paramètres!$A$1:$I$89,3,0)*0.475*44/12</f>
        <v>66.605609634585349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220.19720695227392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5.6843418860808015E-14</v>
      </c>
      <c r="CU121" s="17">
        <f>CT121*VLOOKUP('Données projet'!$B$13,Paramètres!$A$1:$I$89,3,0)*VLOOKUP('Données projet'!$B$13,Paramètres!$A$1:$I$89,5,0)</f>
        <v>4.5224624045658861E-14</v>
      </c>
      <c r="CV121" s="13">
        <f t="shared" si="95"/>
        <v>7.4514601661523691E-13</v>
      </c>
      <c r="CW121" s="20">
        <f t="shared" si="67"/>
        <v>1.3765621991510601E-12</v>
      </c>
      <c r="CX121" s="59">
        <f t="shared" si="68"/>
        <v>293.33333333333468</v>
      </c>
      <c r="CY121" s="59">
        <f ca="1">AVERAGE(OFFSET($CX$3,0,0,'Données projet'!$E$13+1,1))-AVERAGE(OFFSET($H$3,0,0,'Données projet'!$E$13+1,1))</f>
        <v>198.11534486400666</v>
      </c>
      <c r="CZ121" s="59">
        <f t="shared" si="96"/>
        <v>174.29856796517652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37.154535518746052</v>
      </c>
      <c r="DG121" s="21">
        <f>EXP(-LN(2)/25)*DG120+(1-EXP(-LN(2)/25))/(LN(2)/25)*Calculateur!DB121*Calculateur!DD121*VLOOKUP('Données projet'!$B$13,Paramètres!$A$1:$I$89,3,0)*0.475*44/12</f>
        <v>8.8087476090742456</v>
      </c>
      <c r="DH121" s="21">
        <f>EXP(-LN(2)/2)*DH120+(1-EXP(-LN(2)/2))/(LN(2)/2)*DB121*DE121*VLOOKUP('Données projet'!$B$13,Paramètres!$A$1:$I$89,3,0)*0.475*44/12</f>
        <v>3.882903248072772E-5</v>
      </c>
      <c r="DI121" s="22">
        <f t="shared" si="69"/>
        <v>45.963321956852781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4.666666666666667</v>
      </c>
      <c r="DO121" s="12">
        <f>IF('Données projet'!$A$166&gt;35,DO120+DN121-DW120,IF(A121&lt;'Données projet'!$A$166,$DL$205^A121,IF(A121='Données projet'!$A$166,'Données projet'!$B$166,DO120+DN121-DW120)))</f>
        <v>206.66666666666666</v>
      </c>
      <c r="DP121" s="17">
        <f>DO121*VLOOKUP('Données projet'!$B$14,Paramètres!$A$1:$I$89,3,0)*VLOOKUP('Données projet'!$B$14,Paramètres!$A$1:$I$89,5,0)</f>
        <v>209.56000000000003</v>
      </c>
      <c r="DQ121" s="13">
        <f t="shared" si="97"/>
        <v>51.839422893973833</v>
      </c>
      <c r="DR121" s="20">
        <f t="shared" si="70"/>
        <v>455.2706615403377</v>
      </c>
      <c r="DS121" s="59">
        <f t="shared" si="71"/>
        <v>748.60399487367101</v>
      </c>
      <c r="DT121" s="59">
        <f ca="1">AVERAGE(OFFSET($DS$3,0,0,'Données projet'!$E$14+1,1))-AVERAGE(OFFSET($H$3,0,0,'Données projet'!$E$14+1,1))</f>
        <v>247.92503505485405</v>
      </c>
      <c r="DU121" s="59">
        <f t="shared" si="98"/>
        <v>148.26437652597514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10.919117822968616</v>
      </c>
      <c r="EB121" s="21">
        <f>EXP(-LN(2)/25)*EB120+(1-EXP(-LN(2)/25))/(LN(2)/25)*Calculateur!DW121*Calculateur!DY121*VLOOKUP('Données projet'!$B$14,Paramètres!$A$1:$I$89,3,0)*0.475*44/12</f>
        <v>26.333842272489157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37.252960095457773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4.666666666666667</v>
      </c>
      <c r="EJ121" s="12">
        <f>IF('Données projet'!$A$192&gt;35,EJ120+EI121-ER120,IF(A121&lt;'Données projet'!$A$192,$EG$205^A121,IF(A121='Données projet'!$A$192,'Données projet'!$B$192,EJ120+EI121-ER120)))</f>
        <v>206.66666666666666</v>
      </c>
      <c r="EK121" s="17">
        <f>EJ121*VLOOKUP('Données projet'!$B$15,Paramètres!$A$1:$I$89,3,0)*VLOOKUP('Données projet'!$B$15,Paramètres!$A$1:$I$89,5,0)</f>
        <v>199.88800000000001</v>
      </c>
      <c r="EL121" s="13">
        <f t="shared" si="99"/>
        <v>49.719552712892401</v>
      </c>
      <c r="EM121" s="20">
        <f t="shared" si="73"/>
        <v>434.73315430828762</v>
      </c>
      <c r="EN121" s="59">
        <f t="shared" si="74"/>
        <v>728.06648764162094</v>
      </c>
      <c r="EO121" s="59">
        <f ca="1">AVERAGE(OFFSET($EN$3,0,0,'Données projet'!$E$15+1,1))-AVERAGE(OFFSET($H$3,0,0,'Données projet'!$E$15+1,1))</f>
        <v>232.99870507181964</v>
      </c>
      <c r="EP121" s="59">
        <f t="shared" si="100"/>
        <v>140.07662669226278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10.415158538831603</v>
      </c>
      <c r="EW121" s="21">
        <f>EXP(-LN(2)/25)*EW120+(1-EXP(-LN(2)/25))/(LN(2)/25)*Calculateur!ER121*Calculateur!ET121*VLOOKUP('Données projet'!$B$15,Paramètres!$A$1:$I$89,3,0)*0.475*44/12</f>
        <v>25.118434167605042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35.533592706436643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5.6843418860808015E-14</v>
      </c>
      <c r="FF121" s="17">
        <f>FE121*VLOOKUP('Données projet'!$B$16,Paramètres!$A$1:$I$89,3,0)*VLOOKUP('Données projet'!$B$16,Paramètres!$A$1:$I$89,5,0)</f>
        <v>4.4337866711430253E-14</v>
      </c>
      <c r="FG121" s="13">
        <f t="shared" si="101"/>
        <v>7.3222115536967035E-13</v>
      </c>
      <c r="FH121" s="20">
        <f t="shared" si="76"/>
        <v>1.3525069634579169E-12</v>
      </c>
      <c r="FI121" s="59">
        <f t="shared" si="77"/>
        <v>293.33333333333468</v>
      </c>
      <c r="FJ121" s="59">
        <f ca="1">AVERAGE(OFFSET($FI$3,0,0,'Données projet'!$E$16+1,1))-AVERAGE(OFFSET($H$3,0,0,'Données projet'!$E$16+1,1))</f>
        <v>193.47609744163839</v>
      </c>
      <c r="FK121" s="59">
        <f t="shared" si="102"/>
        <v>170.3221892406973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29.553182155125409</v>
      </c>
      <c r="FR121" s="21">
        <f>EXP(-LN(2)/25)*FR120+(1-EXP(-LN(2)/25))/(LN(2)/25)*Calculateur!FM121*Calculateur!FO121*VLOOKUP('Données projet'!$B$16,Paramètres!$A$1:$I$89,3,0)*0.475*44/12</f>
        <v>7.0065879983387367</v>
      </c>
      <c r="FS121" s="21">
        <f>EXP(-LN(2)/2)*FS120+(1-EXP(-LN(2)/2))/(LN(2)/2)*FM121*FP121*VLOOKUP('Données projet'!$B$16,Paramètres!$A$1:$I$89,3,0)*0.475*44/12</f>
        <v>3.8067678902674292E-5</v>
      </c>
      <c r="FT121" s="22">
        <f t="shared" si="78"/>
        <v>36.559808221143044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>
        <f>FZ121*VLOOKUP('Données projet'!$B$17,Paramètres!$A$1:$I$89,3,0)*VLOOKUP('Données projet'!$B$17,Paramètres!$A$1:$I$89,5,0)</f>
        <v>0</v>
      </c>
      <c r="GB121" s="13" t="e">
        <f t="shared" si="103"/>
        <v>#NUM!</v>
      </c>
      <c r="GC121" s="20" t="e">
        <f t="shared" si="79"/>
        <v>#NUM!</v>
      </c>
      <c r="GD121" s="59" t="e">
        <f t="shared" si="80"/>
        <v>#NUM!</v>
      </c>
      <c r="GE121" s="59">
        <f ca="1">AVERAGE(OFFSET($GD$3,0,0,'Données projet'!$E$17+1,1))-AVERAGE(OFFSET($H$3,0,0,'Données projet'!$E$17+1,1))</f>
        <v>153.43773674911449</v>
      </c>
      <c r="GF121" s="59">
        <f t="shared" si="104"/>
        <v>235.49395036616602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38.84741868035821</v>
      </c>
      <c r="GM121" s="21">
        <f>EXP(-LN(2)/25)*GM120+(1-EXP(-LN(2)/25))/(LN(2)/25)*Calculateur!GH121*Calculateur!GJ121*VLOOKUP('Données projet'!$B$17,Paramètres!$A$1:$I$89,3,0)*0.475*44/12</f>
        <v>17.199924578865449</v>
      </c>
      <c r="GN121" s="21">
        <f>EXP(-LN(2)/2)*GN120+(1-EXP(-LN(2)/2))/(LN(2)/2)*GH121*GK121*VLOOKUP('Données projet'!$B$17,Paramètres!$A$1:$I$89,3,0)*0.475*44/12</f>
        <v>0</v>
      </c>
      <c r="GO121" s="21">
        <f t="shared" si="81"/>
        <v>56.047343259223659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5.6843418860808015E-14</v>
      </c>
      <c r="GV121" s="17">
        <f>GU121*VLOOKUP('Données projet'!$B$18,Paramètres!$A$1:$I$89,3,0)*VLOOKUP('Données projet'!$B$18,Paramètres!$A$1:$I$89,5,0)</f>
        <v>4.5224624045658861E-14</v>
      </c>
      <c r="GW121" s="13">
        <f t="shared" si="105"/>
        <v>7.4514601661523691E-13</v>
      </c>
      <c r="GX121" s="20">
        <f t="shared" si="82"/>
        <v>1.3765621991510601E-12</v>
      </c>
      <c r="GY121" s="59">
        <f t="shared" si="83"/>
        <v>293.33333333333468</v>
      </c>
      <c r="GZ121" s="59">
        <f ca="1">AVERAGE(OFFSET($GY$3,0,0,'Données projet'!$E$18+1,1))-AVERAGE(OFFSET($H$3,0,0,'Données projet'!$E$18+1,1))</f>
        <v>198.11534486400666</v>
      </c>
      <c r="HA121" s="59">
        <f t="shared" si="106"/>
        <v>174.29856796517652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>
        <f>EXP(-LN(2)/35)*HG120+(1-EXP(-LN(2)/35))/(LN(2)/35)*HC121*HD121*VLOOKUP('Données projet'!$B$18,Paramètres!$A$1:$I$89,3,0)*0.475*44/12</f>
        <v>37.154535518746052</v>
      </c>
      <c r="HH121" s="21">
        <f>EXP(-LN(2)/25)*HH120+(1-EXP(-LN(2)/25))/(LN(2)/25)*Calculateur!HC121*Calculateur!HE121*VLOOKUP('Données projet'!$B$18,Paramètres!$A$1:$I$89,3,0)*0.475*44/12</f>
        <v>8.8087476090742456</v>
      </c>
      <c r="HI121" s="21">
        <f>EXP(-LN(2)/2)*HI120+(1-EXP(-LN(2)/2))/(LN(2)/2)*HC121*HF121*VLOOKUP('Données projet'!$B$18,Paramètres!$A$1:$I$89,3,0)*0.475*44/12</f>
        <v>3.882903248072772E-5</v>
      </c>
      <c r="HJ121" s="22">
        <f t="shared" si="84"/>
        <v>45.963321956852781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1.1368683772161603E-13</v>
      </c>
      <c r="O122" s="13">
        <f>N122*VLOOKUP('Données projet'!$B$9,Paramètres!$A$1:$I$89,3,0)*VLOOKUP('Données projet'!$B$9,Paramètres!$A$1:$I$89,5,0)</f>
        <v>6.7984728957526396E-14</v>
      </c>
      <c r="P122" s="13">
        <f t="shared" si="87"/>
        <v>1.0682447123141398E-12</v>
      </c>
      <c r="Q122" s="20">
        <f t="shared" si="107"/>
        <v>1.978932943548152E-12</v>
      </c>
      <c r="R122" s="59">
        <f t="shared" si="55"/>
        <v>293.3333333333353</v>
      </c>
      <c r="S122" s="59">
        <f ca="1">AVERAGE(OFFSET($R$3,0,0,'Données projet'!$E$9+1,1))-AVERAGE(OFFSET($H$3,0,0,'Données projet'!$E$9+1,1))</f>
        <v>295.19075440119076</v>
      </c>
      <c r="T122" s="59">
        <f t="shared" si="88"/>
        <v>173.0182327988216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91.80273367738009</v>
      </c>
      <c r="AA122" s="21">
        <f>EXP(-LN(2)/25)*AA121+(1-EXP(-LN(2)/25))/(LN(2)/25)*Calculateur!V122*Calculateur!X122*VLOOKUP('Données projet'!$B$9,Paramètres!$A$1:$I$89,3,0)*0.475*44/12</f>
        <v>38.763152985482009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130.56588666286211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294.45857786714919</v>
      </c>
      <c r="AO122" s="59">
        <f t="shared" si="90"/>
        <v>221.9773436301067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84.733989334282782</v>
      </c>
      <c r="AV122" s="21">
        <f>EXP(-LN(2)/25)*AV121+(1-EXP(-LN(2)/25))/(LN(2)/25)*Calculateur!AQ122*Calculateur!AS122*VLOOKUP('Données projet'!$B$10,Paramètres!$A$1:$I$89,3,0)*0.475*44/12</f>
        <v>34.099753684272038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118.83374301855483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179.44051550872138</v>
      </c>
      <c r="BJ122" s="59">
        <f t="shared" si="92"/>
        <v>272.9500808380069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43.52645085099676</v>
      </c>
      <c r="BQ122" s="21">
        <f>EXP(-LN(2)/25)*BQ121+(1-EXP(-LN(2)/25))/(LN(2)/25)*Calculateur!BL122*Calculateur!BN122*VLOOKUP('Données projet'!$B$11,Paramètres!$A$1:$I$89,3,0)*0.475*44/12</f>
        <v>19.119533413430471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62.645984264427227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-3.4106051316484809E-13</v>
      </c>
      <c r="BZ122" s="13">
        <f>BY122*VLOOKUP('Données projet'!$B$12,Paramètres!$A$1:$I$89,3,0)*VLOOKUP('Données projet'!$B$12,Paramètres!$A$1:$I$89,5,0)</f>
        <v>-1.5961632016114892E-13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259.87681411271632</v>
      </c>
      <c r="CE122" s="59">
        <f t="shared" si="94"/>
        <v>191.8684235641158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150.57975977591278</v>
      </c>
      <c r="CL122" s="21">
        <f>EXP(-LN(2)/25)*CL121+(1-EXP(-LN(2)/25))/(LN(2)/25)*Calculateur!CG122*Calculateur!CI122*VLOOKUP('Données projet'!$B$12,Paramètres!$A$1:$I$89,3,0)*0.475*44/12</f>
        <v>64.784275736490827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215.3640355124036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5.6843418860808015E-14</v>
      </c>
      <c r="CU122" s="17">
        <f>CT122*VLOOKUP('Données projet'!$B$13,Paramètres!$A$1:$I$89,3,0)*VLOOKUP('Données projet'!$B$13,Paramètres!$A$1:$I$89,5,0)</f>
        <v>4.5224624045658861E-14</v>
      </c>
      <c r="CV122" s="13">
        <f t="shared" si="95"/>
        <v>7.4514601661523691E-13</v>
      </c>
      <c r="CW122" s="20">
        <f t="shared" si="67"/>
        <v>1.3765621991510601E-12</v>
      </c>
      <c r="CX122" s="59">
        <f t="shared" si="68"/>
        <v>293.33333333333468</v>
      </c>
      <c r="CY122" s="59">
        <f ca="1">AVERAGE(OFFSET($CX$3,0,0,'Données projet'!$E$13+1,1))-AVERAGE(OFFSET($H$3,0,0,'Données projet'!$E$13+1,1))</f>
        <v>198.11534486400666</v>
      </c>
      <c r="CZ122" s="59">
        <f t="shared" si="96"/>
        <v>174.29856796517652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36.425957739252418</v>
      </c>
      <c r="DG122" s="21">
        <f>EXP(-LN(2)/25)*DG121+(1-EXP(-LN(2)/25))/(LN(2)/25)*Calculateur!DB122*Calculateur!DD122*VLOOKUP('Données projet'!$B$13,Paramètres!$A$1:$I$89,3,0)*0.475*44/12</f>
        <v>8.5678719424722054</v>
      </c>
      <c r="DH122" s="21">
        <f>EXP(-LN(2)/2)*DH121+(1-EXP(-LN(2)/2))/(LN(2)/2)*DB122*DE122*VLOOKUP('Données projet'!$B$13,Paramètres!$A$1:$I$89,3,0)*0.475*44/12</f>
        <v>2.7456272174035282E-5</v>
      </c>
      <c r="DI122" s="22">
        <f t="shared" si="69"/>
        <v>44.993857137996791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4.666666666666667</v>
      </c>
      <c r="DO122" s="12">
        <f>IF('Données projet'!$A$166&gt;35,DO121+DN122-DW121,IF(A122&lt;'Données projet'!$A$166,$DL$205^A122,IF(A122='Données projet'!$A$166,'Données projet'!$B$166,DO121+DN122-DW121)))</f>
        <v>211.33333333333331</v>
      </c>
      <c r="DP122" s="17">
        <f>DO122*VLOOKUP('Données projet'!$B$14,Paramètres!$A$1:$I$89,3,0)*VLOOKUP('Données projet'!$B$14,Paramètres!$A$1:$I$89,5,0)</f>
        <v>214.29199999999997</v>
      </c>
      <c r="DQ122" s="13">
        <f t="shared" si="97"/>
        <v>52.87238843682394</v>
      </c>
      <c r="DR122" s="20">
        <f t="shared" si="70"/>
        <v>465.31130986080166</v>
      </c>
      <c r="DS122" s="59">
        <f t="shared" si="71"/>
        <v>758.64464319413491</v>
      </c>
      <c r="DT122" s="59">
        <f ca="1">AVERAGE(OFFSET($DS$3,0,0,'Données projet'!$E$14+1,1))-AVERAGE(OFFSET($H$3,0,0,'Données projet'!$E$14+1,1))</f>
        <v>247.92503505485405</v>
      </c>
      <c r="DU122" s="59">
        <f t="shared" si="98"/>
        <v>148.26437652597514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10.705000582464452</v>
      </c>
      <c r="EB122" s="21">
        <f>EXP(-LN(2)/25)*EB121+(1-EXP(-LN(2)/25))/(LN(2)/25)*Calculateur!DW122*Calculateur!DY122*VLOOKUP('Données projet'!$B$14,Paramètres!$A$1:$I$89,3,0)*0.475*44/12</f>
        <v>25.613741970711363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36.318742553175817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4.666666666666667</v>
      </c>
      <c r="EJ122" s="12">
        <f>IF('Données projet'!$A$192&gt;35,EJ121+EI122-ER121,IF(A122&lt;'Données projet'!$A$192,$EG$205^A122,IF(A122='Données projet'!$A$192,'Données projet'!$B$192,EJ121+EI122-ER121)))</f>
        <v>211.33333333333331</v>
      </c>
      <c r="EK122" s="17">
        <f>EJ122*VLOOKUP('Données projet'!$B$15,Paramètres!$A$1:$I$89,3,0)*VLOOKUP('Données projet'!$B$15,Paramètres!$A$1:$I$89,5,0)</f>
        <v>204.40159999999997</v>
      </c>
      <c r="EL122" s="13">
        <f t="shared" si="99"/>
        <v>50.71027718263386</v>
      </c>
      <c r="EM122" s="20">
        <f t="shared" si="73"/>
        <v>444.31985275975393</v>
      </c>
      <c r="EN122" s="59">
        <f t="shared" si="74"/>
        <v>737.65318609308724</v>
      </c>
      <c r="EO122" s="59">
        <f ca="1">AVERAGE(OFFSET($EN$3,0,0,'Données projet'!$E$15+1,1))-AVERAGE(OFFSET($H$3,0,0,'Données projet'!$E$15+1,1))</f>
        <v>232.99870507181964</v>
      </c>
      <c r="EP122" s="59">
        <f t="shared" si="100"/>
        <v>140.07662669226278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10.210923632504555</v>
      </c>
      <c r="EW122" s="21">
        <f>EXP(-LN(2)/25)*EW121+(1-EXP(-LN(2)/25))/(LN(2)/25)*Calculateur!ER122*Calculateur!ET122*VLOOKUP('Données projet'!$B$15,Paramètres!$A$1:$I$89,3,0)*0.475*44/12</f>
        <v>24.43156926437084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34.642492896875396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5.6843418860808015E-14</v>
      </c>
      <c r="FF122" s="17">
        <f>FE122*VLOOKUP('Données projet'!$B$16,Paramètres!$A$1:$I$89,3,0)*VLOOKUP('Données projet'!$B$16,Paramètres!$A$1:$I$89,5,0)</f>
        <v>4.4337866711430253E-14</v>
      </c>
      <c r="FG122" s="13">
        <f t="shared" si="101"/>
        <v>7.3222115536967035E-13</v>
      </c>
      <c r="FH122" s="20">
        <f t="shared" si="76"/>
        <v>1.3525069634579169E-12</v>
      </c>
      <c r="FI122" s="59">
        <f t="shared" si="77"/>
        <v>293.33333333333468</v>
      </c>
      <c r="FJ122" s="59">
        <f ca="1">AVERAGE(OFFSET($FI$3,0,0,'Données projet'!$E$16+1,1))-AVERAGE(OFFSET($H$3,0,0,'Données projet'!$E$16+1,1))</f>
        <v>193.47609744163839</v>
      </c>
      <c r="FK122" s="59">
        <f t="shared" si="102"/>
        <v>170.3221892406973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28.973662278724628</v>
      </c>
      <c r="FR122" s="21">
        <f>EXP(-LN(2)/25)*FR121+(1-EXP(-LN(2)/25))/(LN(2)/25)*Calculateur!FM122*Calculateur!FO122*VLOOKUP('Données projet'!$B$16,Paramètres!$A$1:$I$89,3,0)*0.475*44/12</f>
        <v>6.8149924810637152</v>
      </c>
      <c r="FS122" s="21">
        <f>EXP(-LN(2)/2)*FS121+(1-EXP(-LN(2)/2))/(LN(2)/2)*FM122*FP122*VLOOKUP('Données projet'!$B$16,Paramètres!$A$1:$I$89,3,0)*0.475*44/12</f>
        <v>2.6917913896113063E-5</v>
      </c>
      <c r="FT122" s="22">
        <f t="shared" si="78"/>
        <v>35.788681677702243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>
        <f>FZ122*VLOOKUP('Données projet'!$B$17,Paramètres!$A$1:$I$89,3,0)*VLOOKUP('Données projet'!$B$17,Paramètres!$A$1:$I$89,5,0)</f>
        <v>0</v>
      </c>
      <c r="GB122" s="13" t="e">
        <f t="shared" si="103"/>
        <v>#NUM!</v>
      </c>
      <c r="GC122" s="20" t="e">
        <f t="shared" si="79"/>
        <v>#NUM!</v>
      </c>
      <c r="GD122" s="59" t="e">
        <f t="shared" si="80"/>
        <v>#NUM!</v>
      </c>
      <c r="GE122" s="59">
        <f ca="1">AVERAGE(OFFSET($GD$3,0,0,'Données projet'!$E$17+1,1))-AVERAGE(OFFSET($H$3,0,0,'Données projet'!$E$17+1,1))</f>
        <v>153.43773674911449</v>
      </c>
      <c r="GF122" s="59">
        <f t="shared" si="104"/>
        <v>235.49395036616602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38.085644494622137</v>
      </c>
      <c r="GM122" s="21">
        <f>EXP(-LN(2)/25)*GM121+(1-EXP(-LN(2)/25))/(LN(2)/25)*Calculateur!GH122*Calculateur!GJ122*VLOOKUP('Données projet'!$B$17,Paramètres!$A$1:$I$89,3,0)*0.475*44/12</f>
        <v>16.729591736751651</v>
      </c>
      <c r="GN122" s="21">
        <f>EXP(-LN(2)/2)*GN121+(1-EXP(-LN(2)/2))/(LN(2)/2)*GH122*GK122*VLOOKUP('Données projet'!$B$17,Paramètres!$A$1:$I$89,3,0)*0.475*44/12</f>
        <v>0</v>
      </c>
      <c r="GO122" s="21">
        <f t="shared" si="81"/>
        <v>54.815236231373788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5.6843418860808015E-14</v>
      </c>
      <c r="GV122" s="17">
        <f>GU122*VLOOKUP('Données projet'!$B$18,Paramètres!$A$1:$I$89,3,0)*VLOOKUP('Données projet'!$B$18,Paramètres!$A$1:$I$89,5,0)</f>
        <v>4.5224624045658861E-14</v>
      </c>
      <c r="GW122" s="13">
        <f t="shared" si="105"/>
        <v>7.4514601661523691E-13</v>
      </c>
      <c r="GX122" s="20">
        <f t="shared" si="82"/>
        <v>1.3765621991510601E-12</v>
      </c>
      <c r="GY122" s="59">
        <f t="shared" si="83"/>
        <v>293.33333333333468</v>
      </c>
      <c r="GZ122" s="59">
        <f ca="1">AVERAGE(OFFSET($GY$3,0,0,'Données projet'!$E$18+1,1))-AVERAGE(OFFSET($H$3,0,0,'Données projet'!$E$18+1,1))</f>
        <v>198.11534486400666</v>
      </c>
      <c r="HA122" s="59">
        <f t="shared" si="106"/>
        <v>174.29856796517652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>
        <f>EXP(-LN(2)/35)*HG121+(1-EXP(-LN(2)/35))/(LN(2)/35)*HC122*HD122*VLOOKUP('Données projet'!$B$18,Paramètres!$A$1:$I$89,3,0)*0.475*44/12</f>
        <v>36.425957739252418</v>
      </c>
      <c r="HH122" s="21">
        <f>EXP(-LN(2)/25)*HH121+(1-EXP(-LN(2)/25))/(LN(2)/25)*Calculateur!HC122*Calculateur!HE122*VLOOKUP('Données projet'!$B$18,Paramètres!$A$1:$I$89,3,0)*0.475*44/12</f>
        <v>8.5678719424722054</v>
      </c>
      <c r="HI122" s="21">
        <f>EXP(-LN(2)/2)*HI121+(1-EXP(-LN(2)/2))/(LN(2)/2)*HC122*HF122*VLOOKUP('Données projet'!$B$18,Paramètres!$A$1:$I$89,3,0)*0.475*44/12</f>
        <v>2.7456272174035282E-5</v>
      </c>
      <c r="HJ122" s="22">
        <f t="shared" si="84"/>
        <v>44.993857137996791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1.1368683772161603E-13</v>
      </c>
      <c r="O123" s="13">
        <f>N123*VLOOKUP('Données projet'!$B$9,Paramètres!$A$1:$I$89,3,0)*VLOOKUP('Données projet'!$B$9,Paramètres!$A$1:$I$89,5,0)</f>
        <v>6.7984728957526396E-14</v>
      </c>
      <c r="P123" s="13">
        <f t="shared" si="87"/>
        <v>1.0682447123141398E-12</v>
      </c>
      <c r="Q123" s="20">
        <f t="shared" si="107"/>
        <v>1.978932943548152E-12</v>
      </c>
      <c r="R123" s="59">
        <f t="shared" si="55"/>
        <v>293.3333333333353</v>
      </c>
      <c r="S123" s="59">
        <f ca="1">AVERAGE(OFFSET($R$3,0,0,'Données projet'!$E$9+1,1))-AVERAGE(OFFSET($H$3,0,0,'Données projet'!$E$9+1,1))</f>
        <v>295.19075440119076</v>
      </c>
      <c r="T123" s="59">
        <f t="shared" si="88"/>
        <v>173.0182327988216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90.002538064105252</v>
      </c>
      <c r="AA123" s="21">
        <f>EXP(-LN(2)/25)*AA122+(1-EXP(-LN(2)/25))/(LN(2)/25)*Calculateur!V123*Calculateur!X123*VLOOKUP('Données projet'!$B$9,Paramètres!$A$1:$I$89,3,0)*0.475*44/12</f>
        <v>37.703172528628379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127.70571059273362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294.45857786714919</v>
      </c>
      <c r="AO123" s="59">
        <f t="shared" si="90"/>
        <v>221.9773436301067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83.07240748606776</v>
      </c>
      <c r="AV123" s="21">
        <f>EXP(-LN(2)/25)*AV122+(1-EXP(-LN(2)/25))/(LN(2)/25)*Calculateur!AQ123*Calculateur!AS123*VLOOKUP('Données projet'!$B$10,Paramètres!$A$1:$I$89,3,0)*0.475*44/12</f>
        <v>33.16729412654751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116.23970161261528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179.44051550872138</v>
      </c>
      <c r="BJ123" s="59">
        <f t="shared" si="92"/>
        <v>272.9500808380069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42.672923698322286</v>
      </c>
      <c r="BQ123" s="21">
        <f>EXP(-LN(2)/25)*BQ122+(1-EXP(-LN(2)/25))/(LN(2)/25)*Calculateur!BL123*Calculateur!BN123*VLOOKUP('Données projet'!$B$11,Paramètres!$A$1:$I$89,3,0)*0.475*44/12</f>
        <v>18.59670876678765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61.269632465109936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-3.4106051316484809E-13</v>
      </c>
      <c r="BZ123" s="13">
        <f>BY123*VLOOKUP('Données projet'!$B$12,Paramètres!$A$1:$I$89,3,0)*VLOOKUP('Données projet'!$B$12,Paramètres!$A$1:$I$89,5,0)</f>
        <v>-1.5961632016114892E-13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259.87681411271632</v>
      </c>
      <c r="CE123" s="59">
        <f t="shared" si="94"/>
        <v>191.8684235641158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147.6269825312917</v>
      </c>
      <c r="CL123" s="21">
        <f>EXP(-LN(2)/25)*CL122+(1-EXP(-LN(2)/25))/(LN(2)/25)*Calculateur!CG123*Calculateur!CI123*VLOOKUP('Données projet'!$B$12,Paramètres!$A$1:$I$89,3,0)*0.475*44/12</f>
        <v>63.012746309619487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210.63972884091118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5.6843418860808015E-14</v>
      </c>
      <c r="CU123" s="17">
        <f>CT123*VLOOKUP('Données projet'!$B$13,Paramètres!$A$1:$I$89,3,0)*VLOOKUP('Données projet'!$B$13,Paramètres!$A$1:$I$89,5,0)</f>
        <v>4.5224624045658861E-14</v>
      </c>
      <c r="CV123" s="13">
        <f t="shared" si="95"/>
        <v>7.4514601661523691E-13</v>
      </c>
      <c r="CW123" s="20">
        <f t="shared" si="67"/>
        <v>1.3765621991510601E-12</v>
      </c>
      <c r="CX123" s="59">
        <f t="shared" si="68"/>
        <v>293.33333333333468</v>
      </c>
      <c r="CY123" s="59">
        <f ca="1">AVERAGE(OFFSET($CX$3,0,0,'Données projet'!$E$13+1,1))-AVERAGE(OFFSET($H$3,0,0,'Données projet'!$E$13+1,1))</f>
        <v>198.11534486400666</v>
      </c>
      <c r="CZ123" s="59">
        <f t="shared" si="96"/>
        <v>174.29856796517652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35.711666925626091</v>
      </c>
      <c r="DG123" s="21">
        <f>EXP(-LN(2)/25)*DG122+(1-EXP(-LN(2)/25))/(LN(2)/25)*Calculateur!DB123*Calculateur!DD123*VLOOKUP('Données projet'!$B$13,Paramètres!$A$1:$I$89,3,0)*0.475*44/12</f>
        <v>8.3335830336404992</v>
      </c>
      <c r="DH123" s="21">
        <f>EXP(-LN(2)/2)*DH122+(1-EXP(-LN(2)/2))/(LN(2)/2)*DB123*DE123*VLOOKUP('Données projet'!$B$13,Paramètres!$A$1:$I$89,3,0)*0.475*44/12</f>
        <v>1.941451624036386E-5</v>
      </c>
      <c r="DI123" s="22">
        <f t="shared" si="69"/>
        <v>44.04526937378283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4.666666666666667</v>
      </c>
      <c r="DO123" s="12">
        <f>IF('Données projet'!$A$166&gt;35,DO122+DN123-DW122,IF(A123&lt;'Données projet'!$A$166,$DL$205^A123,IF(A123='Données projet'!$A$166,'Données projet'!$B$166,DO122+DN123-DW122)))</f>
        <v>215.99999999999997</v>
      </c>
      <c r="DP123" s="17">
        <f>DO123*VLOOKUP('Données projet'!$B$14,Paramètres!$A$1:$I$89,3,0)*VLOOKUP('Données projet'!$B$14,Paramètres!$A$1:$I$89,5,0)</f>
        <v>219.02399999999997</v>
      </c>
      <c r="DQ123" s="13">
        <f t="shared" si="97"/>
        <v>53.902702081308355</v>
      </c>
      <c r="DR123" s="20">
        <f t="shared" si="70"/>
        <v>475.34733945827867</v>
      </c>
      <c r="DS123" s="59">
        <f t="shared" si="71"/>
        <v>768.68067279161198</v>
      </c>
      <c r="DT123" s="59">
        <f ca="1">AVERAGE(OFFSET($DS$3,0,0,'Données projet'!$E$14+1,1))-AVERAGE(OFFSET($H$3,0,0,'Données projet'!$E$14+1,1))</f>
        <v>247.92503505485405</v>
      </c>
      <c r="DU123" s="59">
        <f t="shared" si="98"/>
        <v>148.26437652597514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10.495082050447953</v>
      </c>
      <c r="EB123" s="21">
        <f>EXP(-LN(2)/25)*EB122+(1-EXP(-LN(2)/25))/(LN(2)/25)*Calculateur!DW123*Calculateur!DY123*VLOOKUP('Données projet'!$B$14,Paramètres!$A$1:$I$89,3,0)*0.475*44/12</f>
        <v>24.913332849554113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35.408414900002064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4.666666666666667</v>
      </c>
      <c r="EJ123" s="12">
        <f>IF('Données projet'!$A$192&gt;35,EJ122+EI123-ER122,IF(A123&lt;'Données projet'!$A$192,$EG$205^A123,IF(A123='Données projet'!$A$192,'Données projet'!$B$192,EJ122+EI123-ER122)))</f>
        <v>215.99999999999997</v>
      </c>
      <c r="EK123" s="17">
        <f>EJ123*VLOOKUP('Données projet'!$B$15,Paramètres!$A$1:$I$89,3,0)*VLOOKUP('Données projet'!$B$15,Paramètres!$A$1:$I$89,5,0)</f>
        <v>208.9152</v>
      </c>
      <c r="EL123" s="13">
        <f t="shared" si="99"/>
        <v>51.698458198123326</v>
      </c>
      <c r="EM123" s="20">
        <f t="shared" si="73"/>
        <v>453.90212136173153</v>
      </c>
      <c r="EN123" s="59">
        <f t="shared" si="74"/>
        <v>747.23545469506485</v>
      </c>
      <c r="EO123" s="59">
        <f ca="1">AVERAGE(OFFSET($EN$3,0,0,'Données projet'!$E$15+1,1))-AVERAGE(OFFSET($H$3,0,0,'Données projet'!$E$15+1,1))</f>
        <v>232.99870507181964</v>
      </c>
      <c r="EP123" s="59">
        <f t="shared" si="100"/>
        <v>140.07662669226278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10.010693648119588</v>
      </c>
      <c r="EW123" s="21">
        <f>EXP(-LN(2)/25)*EW122+(1-EXP(-LN(2)/25))/(LN(2)/25)*Calculateur!ER123*Calculateur!ET123*VLOOKUP('Données projet'!$B$15,Paramètres!$A$1:$I$89,3,0)*0.475*44/12</f>
        <v>23.76348671803623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33.774180366155818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5.6843418860808015E-14</v>
      </c>
      <c r="FF123" s="17">
        <f>FE123*VLOOKUP('Données projet'!$B$16,Paramètres!$A$1:$I$89,3,0)*VLOOKUP('Données projet'!$B$16,Paramètres!$A$1:$I$89,5,0)</f>
        <v>4.4337866711430253E-14</v>
      </c>
      <c r="FG123" s="13">
        <f t="shared" si="101"/>
        <v>7.3222115536967035E-13</v>
      </c>
      <c r="FH123" s="20">
        <f t="shared" si="76"/>
        <v>1.3525069634579169E-12</v>
      </c>
      <c r="FI123" s="59">
        <f t="shared" si="77"/>
        <v>293.33333333333468</v>
      </c>
      <c r="FJ123" s="59">
        <f ca="1">AVERAGE(OFFSET($FI$3,0,0,'Données projet'!$E$16+1,1))-AVERAGE(OFFSET($H$3,0,0,'Données projet'!$E$16+1,1))</f>
        <v>193.47609744163839</v>
      </c>
      <c r="FK123" s="59">
        <f t="shared" si="102"/>
        <v>170.3221892406973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28.405506433627846</v>
      </c>
      <c r="FR123" s="21">
        <f>EXP(-LN(2)/25)*FR122+(1-EXP(-LN(2)/25))/(LN(2)/25)*Calculateur!FM123*Calculateur!FO123*VLOOKUP('Données projet'!$B$16,Paramètres!$A$1:$I$89,3,0)*0.475*44/12</f>
        <v>6.6286361532841491</v>
      </c>
      <c r="FS123" s="21">
        <f>EXP(-LN(2)/2)*FS122+(1-EXP(-LN(2)/2))/(LN(2)/2)*FM123*FP123*VLOOKUP('Données projet'!$B$16,Paramètres!$A$1:$I$89,3,0)*0.475*44/12</f>
        <v>1.9033839451337146E-5</v>
      </c>
      <c r="FT123" s="22">
        <f t="shared" si="78"/>
        <v>35.034161620751448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>
        <f>FZ123*VLOOKUP('Données projet'!$B$17,Paramètres!$A$1:$I$89,3,0)*VLOOKUP('Données projet'!$B$17,Paramètres!$A$1:$I$89,5,0)</f>
        <v>0</v>
      </c>
      <c r="GB123" s="13" t="e">
        <f t="shared" si="103"/>
        <v>#NUM!</v>
      </c>
      <c r="GC123" s="20" t="e">
        <f t="shared" si="79"/>
        <v>#NUM!</v>
      </c>
      <c r="GD123" s="59" t="e">
        <f t="shared" si="80"/>
        <v>#NUM!</v>
      </c>
      <c r="GE123" s="59">
        <f ca="1">AVERAGE(OFFSET($GD$3,0,0,'Données projet'!$E$17+1,1))-AVERAGE(OFFSET($H$3,0,0,'Données projet'!$E$17+1,1))</f>
        <v>153.43773674911449</v>
      </c>
      <c r="GF123" s="59">
        <f t="shared" si="104"/>
        <v>235.49395036616602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37.338808236031973</v>
      </c>
      <c r="GM123" s="21">
        <f>EXP(-LN(2)/25)*GM122+(1-EXP(-LN(2)/25))/(LN(2)/25)*Calculateur!GH123*Calculateur!GJ123*VLOOKUP('Données projet'!$B$17,Paramètres!$A$1:$I$89,3,0)*0.475*44/12</f>
        <v>16.272120170939182</v>
      </c>
      <c r="GN123" s="21">
        <f>EXP(-LN(2)/2)*GN122+(1-EXP(-LN(2)/2))/(LN(2)/2)*GH123*GK123*VLOOKUP('Données projet'!$B$17,Paramètres!$A$1:$I$89,3,0)*0.475*44/12</f>
        <v>0</v>
      </c>
      <c r="GO123" s="21">
        <f t="shared" si="81"/>
        <v>53.610928406971155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5.6843418860808015E-14</v>
      </c>
      <c r="GV123" s="17">
        <f>GU123*VLOOKUP('Données projet'!$B$18,Paramètres!$A$1:$I$89,3,0)*VLOOKUP('Données projet'!$B$18,Paramètres!$A$1:$I$89,5,0)</f>
        <v>4.5224624045658861E-14</v>
      </c>
      <c r="GW123" s="13">
        <f t="shared" si="105"/>
        <v>7.4514601661523691E-13</v>
      </c>
      <c r="GX123" s="20">
        <f t="shared" si="82"/>
        <v>1.3765621991510601E-12</v>
      </c>
      <c r="GY123" s="59">
        <f t="shared" si="83"/>
        <v>293.33333333333468</v>
      </c>
      <c r="GZ123" s="59">
        <f ca="1">AVERAGE(OFFSET($GY$3,0,0,'Données projet'!$E$18+1,1))-AVERAGE(OFFSET($H$3,0,0,'Données projet'!$E$18+1,1))</f>
        <v>198.11534486400666</v>
      </c>
      <c r="HA123" s="59">
        <f t="shared" si="106"/>
        <v>174.29856796517652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>
        <f>EXP(-LN(2)/35)*HG122+(1-EXP(-LN(2)/35))/(LN(2)/35)*HC123*HD123*VLOOKUP('Données projet'!$B$18,Paramètres!$A$1:$I$89,3,0)*0.475*44/12</f>
        <v>35.711666925626091</v>
      </c>
      <c r="HH123" s="21">
        <f>EXP(-LN(2)/25)*HH122+(1-EXP(-LN(2)/25))/(LN(2)/25)*Calculateur!HC123*Calculateur!HE123*VLOOKUP('Données projet'!$B$18,Paramètres!$A$1:$I$89,3,0)*0.475*44/12</f>
        <v>8.3335830336404992</v>
      </c>
      <c r="HI123" s="21">
        <f>EXP(-LN(2)/2)*HI122+(1-EXP(-LN(2)/2))/(LN(2)/2)*HC123*HF123*VLOOKUP('Données projet'!$B$18,Paramètres!$A$1:$I$89,3,0)*0.475*44/12</f>
        <v>1.941451624036386E-5</v>
      </c>
      <c r="HJ123" s="22">
        <f t="shared" si="84"/>
        <v>44.04526937378283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1.1368683772161603E-13</v>
      </c>
      <c r="O124" s="13">
        <f>N124*VLOOKUP('Données projet'!$B$9,Paramètres!$A$1:$I$89,3,0)*VLOOKUP('Données projet'!$B$9,Paramètres!$A$1:$I$89,5,0)</f>
        <v>6.7984728957526396E-14</v>
      </c>
      <c r="P124" s="13">
        <f t="shared" si="87"/>
        <v>1.0682447123141398E-12</v>
      </c>
      <c r="Q124" s="20">
        <f t="shared" si="107"/>
        <v>1.978932943548152E-12</v>
      </c>
      <c r="R124" s="59">
        <f t="shared" si="55"/>
        <v>293.3333333333353</v>
      </c>
      <c r="S124" s="59">
        <f ca="1">AVERAGE(OFFSET($R$3,0,0,'Données projet'!$E$9+1,1))-AVERAGE(OFFSET($H$3,0,0,'Données projet'!$E$9+1,1))</f>
        <v>295.19075440119076</v>
      </c>
      <c r="T124" s="59">
        <f t="shared" si="88"/>
        <v>173.0182327988216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88.237643188795829</v>
      </c>
      <c r="AA124" s="21">
        <f>EXP(-LN(2)/25)*AA123+(1-EXP(-LN(2)/25))/(LN(2)/25)*Calculateur!V124*Calculateur!X124*VLOOKUP('Données projet'!$B$9,Paramètres!$A$1:$I$89,3,0)*0.475*44/12</f>
        <v>36.672177293109364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124.9098204819052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294.45857786714919</v>
      </c>
      <c r="AO124" s="59">
        <f t="shared" si="90"/>
        <v>221.9773436301067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81.443408244431367</v>
      </c>
      <c r="AV124" s="21">
        <f>EXP(-LN(2)/25)*AV123+(1-EXP(-LN(2)/25))/(LN(2)/25)*Calculateur!AQ124*Calculateur!AS124*VLOOKUP('Données projet'!$B$10,Paramètres!$A$1:$I$89,3,0)*0.475*44/12</f>
        <v>32.260332724464874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113.70374096889624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179.44051550872138</v>
      </c>
      <c r="BJ124" s="59">
        <f t="shared" si="92"/>
        <v>272.9500808380069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41.836133692511602</v>
      </c>
      <c r="BQ124" s="21">
        <f>EXP(-LN(2)/25)*BQ123+(1-EXP(-LN(2)/25))/(LN(2)/25)*Calculateur!BL124*Calculateur!BN124*VLOOKUP('Données projet'!$B$11,Paramètres!$A$1:$I$89,3,0)*0.475*44/12</f>
        <v>18.088180787601431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59.924314480113033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-1.5961632016114892E-13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259.87681411271632</v>
      </c>
      <c r="CE124" s="59">
        <f t="shared" si="94"/>
        <v>191.8684235641158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144.73210744742136</v>
      </c>
      <c r="CL124" s="21">
        <f>EXP(-LN(2)/25)*CL123+(1-EXP(-LN(2)/25))/(LN(2)/25)*Calculateur!CG124*Calculateur!CI124*VLOOKUP('Données projet'!$B$12,Paramètres!$A$1:$I$89,3,0)*0.475*44/12</f>
        <v>61.289659448086631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206.02176689550799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5.6843418860808015E-14</v>
      </c>
      <c r="CU124" s="17">
        <f>CT124*VLOOKUP('Données projet'!$B$13,Paramètres!$A$1:$I$89,3,0)*VLOOKUP('Données projet'!$B$13,Paramètres!$A$1:$I$89,5,0)</f>
        <v>4.5224624045658861E-14</v>
      </c>
      <c r="CV124" s="13">
        <f t="shared" si="95"/>
        <v>7.4514601661523691E-13</v>
      </c>
      <c r="CW124" s="20">
        <f t="shared" si="67"/>
        <v>1.3765621991510601E-12</v>
      </c>
      <c r="CX124" s="59">
        <f t="shared" si="68"/>
        <v>293.33333333333468</v>
      </c>
      <c r="CY124" s="59">
        <f ca="1">AVERAGE(OFFSET($CX$3,0,0,'Données projet'!$E$13+1,1))-AVERAGE(OFFSET($H$3,0,0,'Données projet'!$E$13+1,1))</f>
        <v>198.11534486400666</v>
      </c>
      <c r="CZ124" s="59">
        <f t="shared" si="96"/>
        <v>174.29856796517652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35.011382919180598</v>
      </c>
      <c r="DG124" s="21">
        <f>EXP(-LN(2)/25)*DG123+(1-EXP(-LN(2)/25))/(LN(2)/25)*Calculateur!DB124*Calculateur!DD124*VLOOKUP('Données projet'!$B$13,Paramètres!$A$1:$I$89,3,0)*0.475*44/12</f>
        <v>8.1057007673415153</v>
      </c>
      <c r="DH124" s="21">
        <f>EXP(-LN(2)/2)*DH123+(1-EXP(-LN(2)/2))/(LN(2)/2)*DB124*DE124*VLOOKUP('Données projet'!$B$13,Paramètres!$A$1:$I$89,3,0)*0.475*44/12</f>
        <v>1.3728136087017641E-5</v>
      </c>
      <c r="DI124" s="22">
        <f t="shared" si="69"/>
        <v>43.117097414658204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4.666666666666667</v>
      </c>
      <c r="DO124" s="12">
        <f>IF('Données projet'!$A$166&gt;35,DO123+DN124-DW123,IF(A124&lt;'Données projet'!$A$166,$DL$205^A124,IF(A124='Données projet'!$A$166,'Données projet'!$B$166,DO123+DN124-DW123)))</f>
        <v>220.66666666666663</v>
      </c>
      <c r="DP124" s="17">
        <f>DO124*VLOOKUP('Données projet'!$B$14,Paramètres!$A$1:$I$89,3,0)*VLOOKUP('Données projet'!$B$14,Paramètres!$A$1:$I$89,5,0)</f>
        <v>223.75599999999997</v>
      </c>
      <c r="DQ124" s="13">
        <f t="shared" si="97"/>
        <v>54.930427720239869</v>
      </c>
      <c r="DR124" s="20">
        <f t="shared" si="70"/>
        <v>485.37886161275105</v>
      </c>
      <c r="DS124" s="59">
        <f t="shared" si="71"/>
        <v>778.71219494608431</v>
      </c>
      <c r="DT124" s="59">
        <f ca="1">AVERAGE(OFFSET($DS$3,0,0,'Données projet'!$E$14+1,1))-AVERAGE(OFFSET($H$3,0,0,'Données projet'!$E$14+1,1))</f>
        <v>247.92503505485405</v>
      </c>
      <c r="DU124" s="59">
        <f t="shared" si="98"/>
        <v>148.26437652597514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10.289279892806638</v>
      </c>
      <c r="EB124" s="21">
        <f>EXP(-LN(2)/25)*EB123+(1-EXP(-LN(2)/25))/(LN(2)/25)*Calculateur!DW124*Calculateur!DY124*VLOOKUP('Données projet'!$B$14,Paramètres!$A$1:$I$89,3,0)*0.475*44/12</f>
        <v>24.232076452647821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34.521356345454457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4.666666666666667</v>
      </c>
      <c r="EJ124" s="12">
        <f>IF('Données projet'!$A$192&gt;35,EJ123+EI124-ER123,IF(A124&lt;'Données projet'!$A$192,$EG$205^A124,IF(A124='Données projet'!$A$192,'Données projet'!$B$192,EJ123+EI124-ER123)))</f>
        <v>220.66666666666663</v>
      </c>
      <c r="EK124" s="17">
        <f>EJ124*VLOOKUP('Données projet'!$B$15,Paramètres!$A$1:$I$89,3,0)*VLOOKUP('Données projet'!$B$15,Paramètres!$A$1:$I$89,5,0)</f>
        <v>213.42879999999997</v>
      </c>
      <c r="EL124" s="13">
        <f t="shared" si="99"/>
        <v>52.684157039404049</v>
      </c>
      <c r="EM124" s="20">
        <f t="shared" si="73"/>
        <v>463.48006684362866</v>
      </c>
      <c r="EN124" s="59">
        <f t="shared" si="74"/>
        <v>756.81340017696198</v>
      </c>
      <c r="EO124" s="59">
        <f ca="1">AVERAGE(OFFSET($EN$3,0,0,'Données projet'!$E$15+1,1))-AVERAGE(OFFSET($H$3,0,0,'Données projet'!$E$15+1,1))</f>
        <v>232.99870507181964</v>
      </c>
      <c r="EP124" s="59">
        <f t="shared" si="100"/>
        <v>140.07662669226278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9.8143900516001796</v>
      </c>
      <c r="EW124" s="21">
        <f>EXP(-LN(2)/25)*EW123+(1-EXP(-LN(2)/25))/(LN(2)/25)*Calculateur!ER124*Calculateur!ET124*VLOOKUP('Données projet'!$B$15,Paramètres!$A$1:$I$89,3,0)*0.475*44/12</f>
        <v>23.113672924064076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32.928062975664254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5.6843418860808015E-14</v>
      </c>
      <c r="FF124" s="17">
        <f>FE124*VLOOKUP('Données projet'!$B$16,Paramètres!$A$1:$I$89,3,0)*VLOOKUP('Données projet'!$B$16,Paramètres!$A$1:$I$89,5,0)</f>
        <v>4.4337866711430253E-14</v>
      </c>
      <c r="FG124" s="13">
        <f t="shared" si="101"/>
        <v>7.3222115536967035E-13</v>
      </c>
      <c r="FH124" s="20">
        <f t="shared" si="76"/>
        <v>1.3525069634579169E-12</v>
      </c>
      <c r="FI124" s="59">
        <f t="shared" si="77"/>
        <v>293.33333333333468</v>
      </c>
      <c r="FJ124" s="59">
        <f ca="1">AVERAGE(OFFSET($FI$3,0,0,'Données projet'!$E$16+1,1))-AVERAGE(OFFSET($H$3,0,0,'Données projet'!$E$16+1,1))</f>
        <v>193.47609744163839</v>
      </c>
      <c r="FK124" s="59">
        <f t="shared" si="102"/>
        <v>170.3221892406973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27.848491778112564</v>
      </c>
      <c r="FR124" s="21">
        <f>EXP(-LN(2)/25)*FR123+(1-EXP(-LN(2)/25))/(LN(2)/25)*Calculateur!FM124*Calculateur!FO124*VLOOKUP('Données projet'!$B$16,Paramètres!$A$1:$I$89,3,0)*0.475*44/12</f>
        <v>6.4473757490877688</v>
      </c>
      <c r="FS124" s="21">
        <f>EXP(-LN(2)/2)*FS123+(1-EXP(-LN(2)/2))/(LN(2)/2)*FM124*FP124*VLOOKUP('Données projet'!$B$16,Paramètres!$A$1:$I$89,3,0)*0.475*44/12</f>
        <v>1.3458956948056531E-5</v>
      </c>
      <c r="FT124" s="22">
        <f t="shared" si="78"/>
        <v>34.295880986157279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>
        <f>FZ124*VLOOKUP('Données projet'!$B$17,Paramètres!$A$1:$I$89,3,0)*VLOOKUP('Données projet'!$B$17,Paramètres!$A$1:$I$89,5,0)</f>
        <v>0</v>
      </c>
      <c r="GB124" s="13" t="e">
        <f t="shared" si="103"/>
        <v>#NUM!</v>
      </c>
      <c r="GC124" s="20" t="e">
        <f t="shared" si="79"/>
        <v>#NUM!</v>
      </c>
      <c r="GD124" s="59" t="e">
        <f t="shared" si="80"/>
        <v>#NUM!</v>
      </c>
      <c r="GE124" s="59">
        <f ca="1">AVERAGE(OFFSET($GD$3,0,0,'Données projet'!$E$17+1,1))-AVERAGE(OFFSET($H$3,0,0,'Données projet'!$E$17+1,1))</f>
        <v>153.43773674911449</v>
      </c>
      <c r="GF124" s="59">
        <f t="shared" si="104"/>
        <v>235.49395036616602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36.606616980947621</v>
      </c>
      <c r="GM124" s="21">
        <f>EXP(-LN(2)/25)*GM123+(1-EXP(-LN(2)/25))/(LN(2)/25)*Calculateur!GH124*Calculateur!GJ124*VLOOKUP('Données projet'!$B$17,Paramètres!$A$1:$I$89,3,0)*0.475*44/12</f>
        <v>15.827158189151241</v>
      </c>
      <c r="GN124" s="21">
        <f>EXP(-LN(2)/2)*GN123+(1-EXP(-LN(2)/2))/(LN(2)/2)*GH124*GK124*VLOOKUP('Données projet'!$B$17,Paramètres!$A$1:$I$89,3,0)*0.475*44/12</f>
        <v>0</v>
      </c>
      <c r="GO124" s="21">
        <f t="shared" si="81"/>
        <v>52.433775170098862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5.6843418860808015E-14</v>
      </c>
      <c r="GV124" s="17">
        <f>GU124*VLOOKUP('Données projet'!$B$18,Paramètres!$A$1:$I$89,3,0)*VLOOKUP('Données projet'!$B$18,Paramètres!$A$1:$I$89,5,0)</f>
        <v>4.5224624045658861E-14</v>
      </c>
      <c r="GW124" s="13">
        <f t="shared" si="105"/>
        <v>7.4514601661523691E-13</v>
      </c>
      <c r="GX124" s="20">
        <f t="shared" si="82"/>
        <v>1.3765621991510601E-12</v>
      </c>
      <c r="GY124" s="59">
        <f t="shared" si="83"/>
        <v>293.33333333333468</v>
      </c>
      <c r="GZ124" s="59">
        <f ca="1">AVERAGE(OFFSET($GY$3,0,0,'Données projet'!$E$18+1,1))-AVERAGE(OFFSET($H$3,0,0,'Données projet'!$E$18+1,1))</f>
        <v>198.11534486400666</v>
      </c>
      <c r="HA124" s="59">
        <f t="shared" si="106"/>
        <v>174.29856796517652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>
        <f>EXP(-LN(2)/35)*HG123+(1-EXP(-LN(2)/35))/(LN(2)/35)*HC124*HD124*VLOOKUP('Données projet'!$B$18,Paramètres!$A$1:$I$89,3,0)*0.475*44/12</f>
        <v>35.011382919180598</v>
      </c>
      <c r="HH124" s="21">
        <f>EXP(-LN(2)/25)*HH123+(1-EXP(-LN(2)/25))/(LN(2)/25)*Calculateur!HC124*Calculateur!HE124*VLOOKUP('Données projet'!$B$18,Paramètres!$A$1:$I$89,3,0)*0.475*44/12</f>
        <v>8.1057007673415153</v>
      </c>
      <c r="HI124" s="21">
        <f>EXP(-LN(2)/2)*HI123+(1-EXP(-LN(2)/2))/(LN(2)/2)*HC124*HF124*VLOOKUP('Données projet'!$B$18,Paramètres!$A$1:$I$89,3,0)*0.475*44/12</f>
        <v>1.3728136087017641E-5</v>
      </c>
      <c r="HJ124" s="22">
        <f t="shared" si="84"/>
        <v>43.117097414658204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1.1368683772161603E-13</v>
      </c>
      <c r="O125" s="13">
        <f>N125*VLOOKUP('Données projet'!$B$9,Paramètres!$A$1:$I$89,3,0)*VLOOKUP('Données projet'!$B$9,Paramètres!$A$1:$I$89,5,0)</f>
        <v>6.7984728957526396E-14</v>
      </c>
      <c r="P125" s="13">
        <f t="shared" si="87"/>
        <v>1.0682447123141398E-12</v>
      </c>
      <c r="Q125" s="20">
        <f t="shared" si="107"/>
        <v>1.978932943548152E-12</v>
      </c>
      <c r="R125" s="59">
        <f t="shared" si="55"/>
        <v>293.3333333333353</v>
      </c>
      <c r="S125" s="59">
        <f ca="1">AVERAGE(OFFSET($R$3,0,0,'Données projet'!$E$9+1,1))-AVERAGE(OFFSET($H$3,0,0,'Données projet'!$E$9+1,1))</f>
        <v>295.19075440119076</v>
      </c>
      <c r="T125" s="59">
        <f t="shared" si="88"/>
        <v>173.0182327988216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86.507356825511636</v>
      </c>
      <c r="AA125" s="21">
        <f>EXP(-LN(2)/25)*AA124+(1-EXP(-LN(2)/25))/(LN(2)/25)*Calculateur!V125*Calculateur!X125*VLOOKUP('Données projet'!$B$9,Paramètres!$A$1:$I$89,3,0)*0.475*44/12</f>
        <v>35.669374676523297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122.17673150203493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294.45857786714919</v>
      </c>
      <c r="AO125" s="59">
        <f t="shared" si="90"/>
        <v>221.9773436301067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79.846352684332047</v>
      </c>
      <c r="AV125" s="21">
        <f>EXP(-LN(2)/25)*AV124+(1-EXP(-LN(2)/25))/(LN(2)/25)*Calculateur!AQ125*Calculateur!AS125*VLOOKUP('Données projet'!$B$10,Paramètres!$A$1:$I$89,3,0)*0.475*44/12</f>
        <v>31.378172229617217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111.22452491394927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179.44051550872138</v>
      </c>
      <c r="BJ125" s="59">
        <f t="shared" si="92"/>
        <v>272.9500808380069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41.015752628323355</v>
      </c>
      <c r="BQ125" s="21">
        <f>EXP(-LN(2)/25)*BQ124+(1-EXP(-LN(2)/25))/(LN(2)/25)*Calculateur!BL125*Calculateur!BN125*VLOOKUP('Données projet'!$B$11,Paramètres!$A$1:$I$89,3,0)*0.475*44/12</f>
        <v>17.593558532748382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58.609311161071737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-1.5961632016114892E-13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259.87681411271632</v>
      </c>
      <c r="CE125" s="59">
        <f t="shared" si="94"/>
        <v>191.8684235641158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141.89399909824624</v>
      </c>
      <c r="CL125" s="21">
        <f>EXP(-LN(2)/25)*CL124+(1-EXP(-LN(2)/25))/(LN(2)/25)*Calculateur!CG125*Calculateur!CI125*VLOOKUP('Données projet'!$B$12,Paramètres!$A$1:$I$89,3,0)*0.475*44/12</f>
        <v>59.613690487395594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201.50768958564183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5.6843418860808015E-14</v>
      </c>
      <c r="CU125" s="17">
        <f>CT125*VLOOKUP('Données projet'!$B$13,Paramètres!$A$1:$I$89,3,0)*VLOOKUP('Données projet'!$B$13,Paramètres!$A$1:$I$89,5,0)</f>
        <v>4.5224624045658861E-14</v>
      </c>
      <c r="CV125" s="13">
        <f t="shared" si="95"/>
        <v>7.4514601661523691E-13</v>
      </c>
      <c r="CW125" s="20">
        <f t="shared" si="67"/>
        <v>1.3765621991510601E-12</v>
      </c>
      <c r="CX125" s="59">
        <f t="shared" si="68"/>
        <v>293.33333333333468</v>
      </c>
      <c r="CY125" s="59">
        <f ca="1">AVERAGE(OFFSET($CX$3,0,0,'Données projet'!$E$13+1,1))-AVERAGE(OFFSET($H$3,0,0,'Données projet'!$E$13+1,1))</f>
        <v>198.11534486400666</v>
      </c>
      <c r="CZ125" s="59">
        <f t="shared" si="96"/>
        <v>174.29856796517652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34.324831054970431</v>
      </c>
      <c r="DG125" s="21">
        <f>EXP(-LN(2)/25)*DG124+(1-EXP(-LN(2)/25))/(LN(2)/25)*Calculateur!DB125*Calculateur!DD125*VLOOKUP('Données projet'!$B$13,Paramètres!$A$1:$I$89,3,0)*0.475*44/12</f>
        <v>7.884049953598284</v>
      </c>
      <c r="DH125" s="21">
        <f>EXP(-LN(2)/2)*DH124+(1-EXP(-LN(2)/2))/(LN(2)/2)*DB125*DE125*VLOOKUP('Données projet'!$B$13,Paramètres!$A$1:$I$89,3,0)*0.475*44/12</f>
        <v>9.7072581201819299E-6</v>
      </c>
      <c r="DI125" s="22">
        <f t="shared" si="69"/>
        <v>42.20889071582684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4.666666666666667</v>
      </c>
      <c r="DO125" s="12">
        <f>IF('Données projet'!$A$166&gt;35,DO124+DN125-DW124,IF(A125&lt;'Données projet'!$A$166,$DL$205^A125,IF(A125='Données projet'!$A$166,'Données projet'!$B$166,DO124+DN125-DW124)))</f>
        <v>225.33333333333329</v>
      </c>
      <c r="DP125" s="17">
        <f>DO125*VLOOKUP('Données projet'!$B$14,Paramètres!$A$1:$I$89,3,0)*VLOOKUP('Données projet'!$B$14,Paramètres!$A$1:$I$89,5,0)</f>
        <v>228.48799999999997</v>
      </c>
      <c r="DQ125" s="13">
        <f t="shared" si="97"/>
        <v>55.955626389613336</v>
      </c>
      <c r="DR125" s="20">
        <f t="shared" si="70"/>
        <v>495.40598262857651</v>
      </c>
      <c r="DS125" s="59">
        <f t="shared" si="71"/>
        <v>788.73931596190982</v>
      </c>
      <c r="DT125" s="59">
        <f ca="1">AVERAGE(OFFSET($DS$3,0,0,'Données projet'!$E$14+1,1))-AVERAGE(OFFSET($H$3,0,0,'Données projet'!$E$14+1,1))</f>
        <v>247.92503505485405</v>
      </c>
      <c r="DU125" s="59">
        <f t="shared" si="98"/>
        <v>148.26437652597514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10.087513389949747</v>
      </c>
      <c r="EB125" s="21">
        <f>EXP(-LN(2)/25)*EB124+(1-EXP(-LN(2)/25))/(LN(2)/25)*Calculateur!DW125*Calculateur!DY125*VLOOKUP('Données projet'!$B$14,Paramètres!$A$1:$I$89,3,0)*0.475*44/12</f>
        <v>23.569449047740648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33.656962437690396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4.666666666666667</v>
      </c>
      <c r="EJ125" s="12">
        <f>IF('Données projet'!$A$192&gt;35,EJ124+EI125-ER124,IF(A125&lt;'Données projet'!$A$192,$EG$205^A125,IF(A125='Données projet'!$A$192,'Données projet'!$B$192,EJ124+EI125-ER124)))</f>
        <v>225.33333333333329</v>
      </c>
      <c r="EK125" s="17">
        <f>EJ125*VLOOKUP('Données projet'!$B$15,Paramètres!$A$1:$I$89,3,0)*VLOOKUP('Données projet'!$B$15,Paramètres!$A$1:$I$89,5,0)</f>
        <v>217.94239999999999</v>
      </c>
      <c r="EL125" s="13">
        <f t="shared" si="99"/>
        <v>53.667432246524925</v>
      </c>
      <c r="EM125" s="20">
        <f t="shared" si="73"/>
        <v>473.05379116269745</v>
      </c>
      <c r="EN125" s="59">
        <f t="shared" si="74"/>
        <v>766.38712449603076</v>
      </c>
      <c r="EO125" s="59">
        <f ca="1">AVERAGE(OFFSET($EN$3,0,0,'Données projet'!$E$15+1,1))-AVERAGE(OFFSET($H$3,0,0,'Données projet'!$E$15+1,1))</f>
        <v>232.99870507181964</v>
      </c>
      <c r="EP125" s="59">
        <f t="shared" si="100"/>
        <v>140.07662669226278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9.621935848875145</v>
      </c>
      <c r="EW125" s="21">
        <f>EXP(-LN(2)/25)*EW124+(1-EXP(-LN(2)/25))/(LN(2)/25)*Calculateur!ER125*Calculateur!ET125*VLOOKUP('Données projet'!$B$15,Paramètres!$A$1:$I$89,3,0)*0.475*44/12</f>
        <v>22.481628322460313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32.103564171335456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5.6843418860808015E-14</v>
      </c>
      <c r="FF125" s="17">
        <f>FE125*VLOOKUP('Données projet'!$B$16,Paramètres!$A$1:$I$89,3,0)*VLOOKUP('Données projet'!$B$16,Paramètres!$A$1:$I$89,5,0)</f>
        <v>4.4337866711430253E-14</v>
      </c>
      <c r="FG125" s="13">
        <f t="shared" si="101"/>
        <v>7.3222115536967035E-13</v>
      </c>
      <c r="FH125" s="20">
        <f t="shared" si="76"/>
        <v>1.3525069634579169E-12</v>
      </c>
      <c r="FI125" s="59">
        <f t="shared" si="77"/>
        <v>293.33333333333468</v>
      </c>
      <c r="FJ125" s="59">
        <f ca="1">AVERAGE(OFFSET($FI$3,0,0,'Données projet'!$E$16+1,1))-AVERAGE(OFFSET($H$3,0,0,'Données projet'!$E$16+1,1))</f>
        <v>193.47609744163839</v>
      </c>
      <c r="FK125" s="59">
        <f t="shared" si="102"/>
        <v>170.3221892406973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27.302399840246544</v>
      </c>
      <c r="FR125" s="21">
        <f>EXP(-LN(2)/25)*FR124+(1-EXP(-LN(2)/25))/(LN(2)/25)*Calculateur!FM125*Calculateur!FO125*VLOOKUP('Données projet'!$B$16,Paramètres!$A$1:$I$89,3,0)*0.475*44/12</f>
        <v>6.2710719201762091</v>
      </c>
      <c r="FS125" s="21">
        <f>EXP(-LN(2)/2)*FS124+(1-EXP(-LN(2)/2))/(LN(2)/2)*FM125*FP125*VLOOKUP('Données projet'!$B$16,Paramètres!$A$1:$I$89,3,0)*0.475*44/12</f>
        <v>9.516919725668573E-6</v>
      </c>
      <c r="FT125" s="22">
        <f t="shared" si="78"/>
        <v>33.573481277342481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>
        <f>FZ125*VLOOKUP('Données projet'!$B$17,Paramètres!$A$1:$I$89,3,0)*VLOOKUP('Données projet'!$B$17,Paramètres!$A$1:$I$89,5,0)</f>
        <v>0</v>
      </c>
      <c r="GB125" s="13" t="e">
        <f t="shared" si="103"/>
        <v>#NUM!</v>
      </c>
      <c r="GC125" s="20" t="e">
        <f t="shared" si="79"/>
        <v>#NUM!</v>
      </c>
      <c r="GD125" s="59" t="e">
        <f t="shared" si="80"/>
        <v>#NUM!</v>
      </c>
      <c r="GE125" s="59">
        <f ca="1">AVERAGE(OFFSET($GD$3,0,0,'Données projet'!$E$17+1,1))-AVERAGE(OFFSET($H$3,0,0,'Données projet'!$E$17+1,1))</f>
        <v>153.43773674911449</v>
      </c>
      <c r="GF125" s="59">
        <f t="shared" si="104"/>
        <v>235.49395036616602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35.888783549782907</v>
      </c>
      <c r="GM125" s="21">
        <f>EXP(-LN(2)/25)*GM124+(1-EXP(-LN(2)/25))/(LN(2)/25)*Calculateur!GH125*Calculateur!GJ125*VLOOKUP('Données projet'!$B$17,Paramètres!$A$1:$I$89,3,0)*0.475*44/12</f>
        <v>15.394363716154825</v>
      </c>
      <c r="GN125" s="21">
        <f>EXP(-LN(2)/2)*GN124+(1-EXP(-LN(2)/2))/(LN(2)/2)*GH125*GK125*VLOOKUP('Données projet'!$B$17,Paramètres!$A$1:$I$89,3,0)*0.475*44/12</f>
        <v>0</v>
      </c>
      <c r="GO125" s="21">
        <f t="shared" si="81"/>
        <v>51.283147265937728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5.6843418860808015E-14</v>
      </c>
      <c r="GV125" s="17">
        <f>GU125*VLOOKUP('Données projet'!$B$18,Paramètres!$A$1:$I$89,3,0)*VLOOKUP('Données projet'!$B$18,Paramètres!$A$1:$I$89,5,0)</f>
        <v>4.5224624045658861E-14</v>
      </c>
      <c r="GW125" s="13">
        <f t="shared" si="105"/>
        <v>7.4514601661523691E-13</v>
      </c>
      <c r="GX125" s="20">
        <f t="shared" si="82"/>
        <v>1.3765621991510601E-12</v>
      </c>
      <c r="GY125" s="59">
        <f t="shared" si="83"/>
        <v>293.33333333333468</v>
      </c>
      <c r="GZ125" s="59">
        <f ca="1">AVERAGE(OFFSET($GY$3,0,0,'Données projet'!$E$18+1,1))-AVERAGE(OFFSET($H$3,0,0,'Données projet'!$E$18+1,1))</f>
        <v>198.11534486400666</v>
      </c>
      <c r="HA125" s="59">
        <f t="shared" si="106"/>
        <v>174.29856796517652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>
        <f>EXP(-LN(2)/35)*HG124+(1-EXP(-LN(2)/35))/(LN(2)/35)*HC125*HD125*VLOOKUP('Données projet'!$B$18,Paramètres!$A$1:$I$89,3,0)*0.475*44/12</f>
        <v>34.324831054970431</v>
      </c>
      <c r="HH125" s="21">
        <f>EXP(-LN(2)/25)*HH124+(1-EXP(-LN(2)/25))/(LN(2)/25)*Calculateur!HC125*Calculateur!HE125*VLOOKUP('Données projet'!$B$18,Paramètres!$A$1:$I$89,3,0)*0.475*44/12</f>
        <v>7.884049953598284</v>
      </c>
      <c r="HI125" s="21">
        <f>EXP(-LN(2)/2)*HI124+(1-EXP(-LN(2)/2))/(LN(2)/2)*HC125*HF125*VLOOKUP('Données projet'!$B$18,Paramètres!$A$1:$I$89,3,0)*0.475*44/12</f>
        <v>9.7072581201819299E-6</v>
      </c>
      <c r="HJ125" s="22">
        <f t="shared" si="84"/>
        <v>42.20889071582684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1.1368683772161603E-13</v>
      </c>
      <c r="O126" s="13">
        <f>N126*VLOOKUP('Données projet'!$B$9,Paramètres!$A$1:$I$89,3,0)*VLOOKUP('Données projet'!$B$9,Paramètres!$A$1:$I$89,5,0)</f>
        <v>6.7984728957526396E-14</v>
      </c>
      <c r="P126" s="13">
        <f t="shared" si="87"/>
        <v>1.0682447123141398E-12</v>
      </c>
      <c r="Q126" s="20">
        <f t="shared" si="107"/>
        <v>1.978932943548152E-12</v>
      </c>
      <c r="R126" s="59">
        <f t="shared" si="55"/>
        <v>293.3333333333353</v>
      </c>
      <c r="S126" s="59">
        <f ca="1">AVERAGE(OFFSET($R$3,0,0,'Données projet'!$E$9+1,1))-AVERAGE(OFFSET($H$3,0,0,'Données projet'!$E$9+1,1))</f>
        <v>295.19075440119076</v>
      </c>
      <c r="T126" s="59">
        <f t="shared" si="88"/>
        <v>173.0182327988216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84.811000322440975</v>
      </c>
      <c r="AA126" s="21">
        <f>EXP(-LN(2)/25)*AA125+(1-EXP(-LN(2)/25))/(LN(2)/25)*Calculateur!V126*Calculateur!X126*VLOOKUP('Données projet'!$B$9,Paramètres!$A$1:$I$89,3,0)*0.475*44/12</f>
        <v>34.69399375022288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119.50499407266386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294.45857786714919</v>
      </c>
      <c r="AO126" s="59">
        <f t="shared" si="90"/>
        <v>221.9773436301067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78.280614409658568</v>
      </c>
      <c r="AV126" s="21">
        <f>EXP(-LN(2)/25)*AV125+(1-EXP(-LN(2)/25))/(LN(2)/25)*Calculateur!AQ126*Calculateur!AS126*VLOOKUP('Données projet'!$B$10,Paramètres!$A$1:$I$89,3,0)*0.475*44/12</f>
        <v>30.520134459891974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108.80074886955055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179.44051550872138</v>
      </c>
      <c r="BJ126" s="59">
        <f t="shared" si="92"/>
        <v>272.9500808380069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40.211458736420802</v>
      </c>
      <c r="BQ126" s="21">
        <f>EXP(-LN(2)/25)*BQ125+(1-EXP(-LN(2)/25))/(LN(2)/25)*Calculateur!BL126*Calculateur!BN126*VLOOKUP('Données projet'!$B$11,Paramètres!$A$1:$I$89,3,0)*0.475*44/12</f>
        <v>17.112461749465346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57.323920485886148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-1.5961632016114892E-13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259.87681411271632</v>
      </c>
      <c r="CE126" s="59">
        <f t="shared" si="94"/>
        <v>191.8684235641158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139.11154432272329</v>
      </c>
      <c r="CL126" s="21">
        <f>EXP(-LN(2)/25)*CL125+(1-EXP(-LN(2)/25))/(LN(2)/25)*Calculateur!CG126*Calculateur!CI126*VLOOKUP('Données projet'!$B$12,Paramètres!$A$1:$I$89,3,0)*0.475*44/12</f>
        <v>57.983550986070028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197.0950953087933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5.6843418860808015E-14</v>
      </c>
      <c r="CU126" s="17">
        <f>CT126*VLOOKUP('Données projet'!$B$13,Paramètres!$A$1:$I$89,3,0)*VLOOKUP('Données projet'!$B$13,Paramètres!$A$1:$I$89,5,0)</f>
        <v>4.5224624045658861E-14</v>
      </c>
      <c r="CV126" s="13">
        <f t="shared" si="95"/>
        <v>7.4514601661523691E-13</v>
      </c>
      <c r="CW126" s="20">
        <f t="shared" si="67"/>
        <v>1.3765621991510601E-12</v>
      </c>
      <c r="CX126" s="59">
        <f t="shared" si="68"/>
        <v>293.33333333333468</v>
      </c>
      <c r="CY126" s="59">
        <f ca="1">AVERAGE(OFFSET($CX$3,0,0,'Données projet'!$E$13+1,1))-AVERAGE(OFFSET($H$3,0,0,'Données projet'!$E$13+1,1))</f>
        <v>198.11534486400666</v>
      </c>
      <c r="CZ126" s="59">
        <f t="shared" si="96"/>
        <v>174.29856796517652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33.65174205406214</v>
      </c>
      <c r="DG126" s="21">
        <f>EXP(-LN(2)/25)*DG125+(1-EXP(-LN(2)/25))/(LN(2)/25)*Calculateur!DB126*Calculateur!DD126*VLOOKUP('Données projet'!$B$13,Paramètres!$A$1:$I$89,3,0)*0.475*44/12</f>
        <v>7.6684601930129714</v>
      </c>
      <c r="DH126" s="21">
        <f>EXP(-LN(2)/2)*DH125+(1-EXP(-LN(2)/2))/(LN(2)/2)*DB126*DE126*VLOOKUP('Données projet'!$B$13,Paramètres!$A$1:$I$89,3,0)*0.475*44/12</f>
        <v>6.8640680435088206E-6</v>
      </c>
      <c r="DI126" s="22">
        <f t="shared" si="69"/>
        <v>41.32020911114315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4.666666666666667</v>
      </c>
      <c r="DO126" s="12">
        <f>IF('Données projet'!$A$166&gt;35,DO125+DN126-DW125,IF(A126&lt;'Données projet'!$A$166,$DL$205^A126,IF(A126='Données projet'!$A$166,'Données projet'!$B$166,DO125+DN126-DW125)))</f>
        <v>229.99999999999994</v>
      </c>
      <c r="DP126" s="17">
        <f>DO126*VLOOKUP('Données projet'!$B$14,Paramètres!$A$1:$I$89,3,0)*VLOOKUP('Données projet'!$B$14,Paramètres!$A$1:$I$89,5,0)</f>
        <v>233.21999999999997</v>
      </c>
      <c r="DQ126" s="13">
        <f t="shared" si="97"/>
        <v>56.978356452817273</v>
      </c>
      <c r="DR126" s="20">
        <f t="shared" si="70"/>
        <v>505.42880415532323</v>
      </c>
      <c r="DS126" s="59">
        <f t="shared" si="71"/>
        <v>798.76213748865655</v>
      </c>
      <c r="DT126" s="59">
        <f ca="1">AVERAGE(OFFSET($DS$3,0,0,'Données projet'!$E$14+1,1))-AVERAGE(OFFSET($H$3,0,0,'Données projet'!$E$14+1,1))</f>
        <v>247.92503505485405</v>
      </c>
      <c r="DU126" s="59">
        <f t="shared" si="98"/>
        <v>148.26437652597514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9.8897034051484631</v>
      </c>
      <c r="EB126" s="21">
        <f>EXP(-LN(2)/25)*EB125+(1-EXP(-LN(2)/25))/(LN(2)/25)*Calculateur!DW126*Calculateur!DY126*VLOOKUP('Données projet'!$B$14,Paramètres!$A$1:$I$89,3,0)*0.475*44/12</f>
        <v>22.924941224066721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32.814644629215181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4.666666666666667</v>
      </c>
      <c r="EJ126" s="12">
        <f>IF('Données projet'!$A$192&gt;35,EJ125+EI126-ER125,IF(A126&lt;'Données projet'!$A$192,$EG$205^A126,IF(A126='Données projet'!$A$192,'Données projet'!$B$192,EJ125+EI126-ER125)))</f>
        <v>229.99999999999994</v>
      </c>
      <c r="EK126" s="17">
        <f>EJ126*VLOOKUP('Données projet'!$B$15,Paramètres!$A$1:$I$89,3,0)*VLOOKUP('Données projet'!$B$15,Paramètres!$A$1:$I$89,5,0)</f>
        <v>222.45599999999996</v>
      </c>
      <c r="EL126" s="13">
        <f t="shared" si="99"/>
        <v>54.648339796219815</v>
      </c>
      <c r="EM126" s="20">
        <f t="shared" si="73"/>
        <v>482.6233918117494</v>
      </c>
      <c r="EN126" s="59">
        <f t="shared" si="74"/>
        <v>775.95672514508271</v>
      </c>
      <c r="EO126" s="59">
        <f ca="1">AVERAGE(OFFSET($EN$3,0,0,'Données projet'!$E$15+1,1))-AVERAGE(OFFSET($H$3,0,0,'Données projet'!$E$15+1,1))</f>
        <v>232.99870507181964</v>
      </c>
      <c r="EP126" s="59">
        <f t="shared" si="100"/>
        <v>140.07662669226278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9.4332555556800752</v>
      </c>
      <c r="EW126" s="21">
        <f>EXP(-LN(2)/25)*EW125+(1-EXP(-LN(2)/25))/(LN(2)/25)*Calculateur!ER126*Calculateur!ET126*VLOOKUP('Données projet'!$B$15,Paramètres!$A$1:$I$89,3,0)*0.475*44/12</f>
        <v>21.866867013725184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31.300122569405261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5.6843418860808015E-14</v>
      </c>
      <c r="FF126" s="17">
        <f>FE126*VLOOKUP('Données projet'!$B$16,Paramètres!$A$1:$I$89,3,0)*VLOOKUP('Données projet'!$B$16,Paramètres!$A$1:$I$89,5,0)</f>
        <v>4.4337866711430253E-14</v>
      </c>
      <c r="FG126" s="13">
        <f t="shared" si="101"/>
        <v>7.3222115536967035E-13</v>
      </c>
      <c r="FH126" s="20">
        <f t="shared" si="76"/>
        <v>1.3525069634579169E-12</v>
      </c>
      <c r="FI126" s="59">
        <f t="shared" si="77"/>
        <v>293.33333333333468</v>
      </c>
      <c r="FJ126" s="59">
        <f ca="1">AVERAGE(OFFSET($FI$3,0,0,'Données projet'!$E$16+1,1))-AVERAGE(OFFSET($H$3,0,0,'Données projet'!$E$16+1,1))</f>
        <v>193.47609744163839</v>
      </c>
      <c r="FK126" s="59">
        <f t="shared" si="102"/>
        <v>170.3221892406973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26.767016432198883</v>
      </c>
      <c r="FR126" s="21">
        <f>EXP(-LN(2)/25)*FR125+(1-EXP(-LN(2)/25))/(LN(2)/25)*Calculateur!FM126*Calculateur!FO126*VLOOKUP('Données projet'!$B$16,Paramètres!$A$1:$I$89,3,0)*0.475*44/12</f>
        <v>6.0995891287376507</v>
      </c>
      <c r="FS126" s="21">
        <f>EXP(-LN(2)/2)*FS125+(1-EXP(-LN(2)/2))/(LN(2)/2)*FM126*FP126*VLOOKUP('Données projet'!$B$16,Paramètres!$A$1:$I$89,3,0)*0.475*44/12</f>
        <v>6.7294784740282657E-6</v>
      </c>
      <c r="FT126" s="22">
        <f t="shared" si="78"/>
        <v>32.866612290415006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>
        <f>FZ126*VLOOKUP('Données projet'!$B$17,Paramètres!$A$1:$I$89,3,0)*VLOOKUP('Données projet'!$B$17,Paramètres!$A$1:$I$89,5,0)</f>
        <v>0</v>
      </c>
      <c r="GB126" s="13" t="e">
        <f t="shared" si="103"/>
        <v>#NUM!</v>
      </c>
      <c r="GC126" s="20" t="e">
        <f t="shared" si="79"/>
        <v>#NUM!</v>
      </c>
      <c r="GD126" s="59" t="e">
        <f t="shared" si="80"/>
        <v>#NUM!</v>
      </c>
      <c r="GE126" s="59">
        <f ca="1">AVERAGE(OFFSET($GD$3,0,0,'Données projet'!$E$17+1,1))-AVERAGE(OFFSET($H$3,0,0,'Données projet'!$E$17+1,1))</f>
        <v>153.43773674911449</v>
      </c>
      <c r="GF126" s="59">
        <f t="shared" si="104"/>
        <v>235.49395036616602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35.185026394368172</v>
      </c>
      <c r="GM126" s="21">
        <f>EXP(-LN(2)/25)*GM125+(1-EXP(-LN(2)/25))/(LN(2)/25)*Calculateur!GH126*Calculateur!GJ126*VLOOKUP('Données projet'!$B$17,Paramètres!$A$1:$I$89,3,0)*0.475*44/12</f>
        <v>14.973404030782167</v>
      </c>
      <c r="GN126" s="21">
        <f>EXP(-LN(2)/2)*GN125+(1-EXP(-LN(2)/2))/(LN(2)/2)*GH126*GK126*VLOOKUP('Données projet'!$B$17,Paramètres!$A$1:$I$89,3,0)*0.475*44/12</f>
        <v>0</v>
      </c>
      <c r="GO126" s="21">
        <f t="shared" si="81"/>
        <v>50.158430425150343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5.6843418860808015E-14</v>
      </c>
      <c r="GV126" s="17">
        <f>GU126*VLOOKUP('Données projet'!$B$18,Paramètres!$A$1:$I$89,3,0)*VLOOKUP('Données projet'!$B$18,Paramètres!$A$1:$I$89,5,0)</f>
        <v>4.5224624045658861E-14</v>
      </c>
      <c r="GW126" s="13">
        <f t="shared" si="105"/>
        <v>7.4514601661523691E-13</v>
      </c>
      <c r="GX126" s="20">
        <f t="shared" si="82"/>
        <v>1.3765621991510601E-12</v>
      </c>
      <c r="GY126" s="59">
        <f t="shared" si="83"/>
        <v>293.33333333333468</v>
      </c>
      <c r="GZ126" s="59">
        <f ca="1">AVERAGE(OFFSET($GY$3,0,0,'Données projet'!$E$18+1,1))-AVERAGE(OFFSET($H$3,0,0,'Données projet'!$E$18+1,1))</f>
        <v>198.11534486400666</v>
      </c>
      <c r="HA126" s="59">
        <f t="shared" si="106"/>
        <v>174.29856796517652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>
        <f>EXP(-LN(2)/35)*HG125+(1-EXP(-LN(2)/35))/(LN(2)/35)*HC126*HD126*VLOOKUP('Données projet'!$B$18,Paramètres!$A$1:$I$89,3,0)*0.475*44/12</f>
        <v>33.65174205406214</v>
      </c>
      <c r="HH126" s="21">
        <f>EXP(-LN(2)/25)*HH125+(1-EXP(-LN(2)/25))/(LN(2)/25)*Calculateur!HC126*Calculateur!HE126*VLOOKUP('Données projet'!$B$18,Paramètres!$A$1:$I$89,3,0)*0.475*44/12</f>
        <v>7.6684601930129714</v>
      </c>
      <c r="HI126" s="21">
        <f>EXP(-LN(2)/2)*HI125+(1-EXP(-LN(2)/2))/(LN(2)/2)*HC126*HF126*VLOOKUP('Données projet'!$B$18,Paramètres!$A$1:$I$89,3,0)*0.475*44/12</f>
        <v>6.8640680435088206E-6</v>
      </c>
      <c r="HJ126" s="22">
        <f t="shared" si="84"/>
        <v>41.32020911114315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1.1368683772161603E-13</v>
      </c>
      <c r="O127" s="13">
        <f>N127*VLOOKUP('Données projet'!$B$9,Paramètres!$A$1:$I$89,3,0)*VLOOKUP('Données projet'!$B$9,Paramètres!$A$1:$I$89,5,0)</f>
        <v>6.7984728957526396E-14</v>
      </c>
      <c r="P127" s="13">
        <f t="shared" si="87"/>
        <v>1.0682447123141398E-12</v>
      </c>
      <c r="Q127" s="20">
        <f t="shared" si="107"/>
        <v>1.978932943548152E-12</v>
      </c>
      <c r="R127" s="59">
        <f t="shared" si="55"/>
        <v>293.3333333333353</v>
      </c>
      <c r="S127" s="59">
        <f ca="1">AVERAGE(OFFSET($R$3,0,0,'Données projet'!$E$9+1,1))-AVERAGE(OFFSET($H$3,0,0,'Données projet'!$E$9+1,1))</f>
        <v>295.19075440119076</v>
      </c>
      <c r="T127" s="59">
        <f t="shared" si="88"/>
        <v>173.0182327988216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83.147908335720231</v>
      </c>
      <c r="AA127" s="21">
        <f>EXP(-LN(2)/25)*AA126+(1-EXP(-LN(2)/25))/(LN(2)/25)*Calculateur!V127*Calculateur!X127*VLOOKUP('Données projet'!$B$9,Paramètres!$A$1:$I$89,3,0)*0.475*44/12</f>
        <v>33.745284666645198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116.89319300236542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294.45857786714919</v>
      </c>
      <c r="AO127" s="59">
        <f t="shared" si="90"/>
        <v>221.9773436301067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76.745579307545384</v>
      </c>
      <c r="AV127" s="21">
        <f>EXP(-LN(2)/25)*AV126+(1-EXP(-LN(2)/25))/(LN(2)/25)*Calculateur!AQ127*Calculateur!AS127*VLOOKUP('Données projet'!$B$10,Paramètres!$A$1:$I$89,3,0)*0.475*44/12</f>
        <v>29.68555977810211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106.43113908564749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179.44051550872138</v>
      </c>
      <c r="BJ127" s="59">
        <f t="shared" si="92"/>
        <v>272.9500808380069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39.422936557167624</v>
      </c>
      <c r="BQ127" s="21">
        <f>EXP(-LN(2)/25)*BQ126+(1-EXP(-LN(2)/25))/(LN(2)/25)*Calculateur!BL127*Calculateur!BN127*VLOOKUP('Données projet'!$B$11,Paramètres!$A$1:$I$89,3,0)*0.475*44/12</f>
        <v>16.644520583020963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56.067457140188587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-1.5961632016114892E-13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259.87681411271632</v>
      </c>
      <c r="CE127" s="59">
        <f t="shared" si="94"/>
        <v>191.8684235641158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136.38365178821851</v>
      </c>
      <c r="CL127" s="21">
        <f>EXP(-LN(2)/25)*CL126+(1-EXP(-LN(2)/25))/(LN(2)/25)*Calculateur!CG127*Calculateur!CI127*VLOOKUP('Données projet'!$B$12,Paramètres!$A$1:$I$89,3,0)*0.475*44/12</f>
        <v>56.397987735133519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192.78163952335203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5.6843418860808015E-14</v>
      </c>
      <c r="CU127" s="17">
        <f>CT127*VLOOKUP('Données projet'!$B$13,Paramètres!$A$1:$I$89,3,0)*VLOOKUP('Données projet'!$B$13,Paramètres!$A$1:$I$89,5,0)</f>
        <v>4.5224624045658861E-14</v>
      </c>
      <c r="CV127" s="13">
        <f t="shared" si="95"/>
        <v>7.4514601661523691E-13</v>
      </c>
      <c r="CW127" s="20">
        <f t="shared" si="67"/>
        <v>1.3765621991510601E-12</v>
      </c>
      <c r="CX127" s="59">
        <f t="shared" si="68"/>
        <v>293.33333333333468</v>
      </c>
      <c r="CY127" s="59">
        <f ca="1">AVERAGE(OFFSET($CX$3,0,0,'Données projet'!$E$13+1,1))-AVERAGE(OFFSET($H$3,0,0,'Données projet'!$E$13+1,1))</f>
        <v>198.11534486400666</v>
      </c>
      <c r="CZ127" s="59">
        <f t="shared" si="96"/>
        <v>174.29856796517652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32.991851917917906</v>
      </c>
      <c r="DG127" s="21">
        <f>EXP(-LN(2)/25)*DG126+(1-EXP(-LN(2)/25))/(LN(2)/25)*Calculateur!DB127*Calculateur!DD127*VLOOKUP('Données projet'!$B$13,Paramètres!$A$1:$I$89,3,0)*0.475*44/12</f>
        <v>7.458765745768237</v>
      </c>
      <c r="DH127" s="21">
        <f>EXP(-LN(2)/2)*DH126+(1-EXP(-LN(2)/2))/(LN(2)/2)*DB127*DE127*VLOOKUP('Données projet'!$B$13,Paramètres!$A$1:$I$89,3,0)*0.475*44/12</f>
        <v>4.8536290600909649E-6</v>
      </c>
      <c r="DI127" s="22">
        <f t="shared" si="69"/>
        <v>40.450622517315203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4.666666666666667</v>
      </c>
      <c r="DO127" s="12">
        <f>IF('Données projet'!$A$166&gt;35,DO126+DN127-DW126,IF(A127&lt;'Données projet'!$A$166,$DL$205^A127,IF(A127='Données projet'!$A$166,'Données projet'!$B$166,DO126+DN127-DW126)))</f>
        <v>234.6666666666666</v>
      </c>
      <c r="DP127" s="17">
        <f>DO127*VLOOKUP('Données projet'!$B$14,Paramètres!$A$1:$I$89,3,0)*VLOOKUP('Données projet'!$B$14,Paramètres!$A$1:$I$89,5,0)</f>
        <v>237.95199999999997</v>
      </c>
      <c r="DQ127" s="13">
        <f t="shared" si="97"/>
        <v>57.99867376947342</v>
      </c>
      <c r="DR127" s="20">
        <f t="shared" si="70"/>
        <v>515.44742348183274</v>
      </c>
      <c r="DS127" s="59">
        <f t="shared" si="71"/>
        <v>808.78075681516611</v>
      </c>
      <c r="DT127" s="59">
        <f ca="1">AVERAGE(OFFSET($DS$3,0,0,'Données projet'!$E$14+1,1))-AVERAGE(OFFSET($H$3,0,0,'Données projet'!$E$14+1,1))</f>
        <v>247.92503505485405</v>
      </c>
      <c r="DU127" s="59">
        <f t="shared" si="98"/>
        <v>148.26437652597514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9.695772353496956</v>
      </c>
      <c r="EB127" s="21">
        <f>EXP(-LN(2)/25)*EB126+(1-EXP(-LN(2)/25))/(LN(2)/25)*Calculateur!DW127*Calculateur!DY127*VLOOKUP('Données projet'!$B$14,Paramètres!$A$1:$I$89,3,0)*0.475*44/12</f>
        <v>22.298057500724354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31.99382985422131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4.666666666666667</v>
      </c>
      <c r="EJ127" s="12">
        <f>IF('Données projet'!$A$192&gt;35,EJ126+EI127-ER126,IF(A127&lt;'Données projet'!$A$192,$EG$205^A127,IF(A127='Données projet'!$A$192,'Données projet'!$B$192,EJ126+EI127-ER126)))</f>
        <v>234.6666666666666</v>
      </c>
      <c r="EK127" s="17">
        <f>EJ127*VLOOKUP('Données projet'!$B$15,Paramètres!$A$1:$I$89,3,0)*VLOOKUP('Données projet'!$B$15,Paramètres!$A$1:$I$89,5,0)</f>
        <v>226.96959999999993</v>
      </c>
      <c r="EL127" s="13">
        <f t="shared" si="99"/>
        <v>55.626933263842304</v>
      </c>
      <c r="EM127" s="20">
        <f t="shared" si="73"/>
        <v>492.18896210119175</v>
      </c>
      <c r="EN127" s="59">
        <f t="shared" si="74"/>
        <v>785.52229543452506</v>
      </c>
      <c r="EO127" s="59">
        <f ca="1">AVERAGE(OFFSET($EN$3,0,0,'Données projet'!$E$15+1,1))-AVERAGE(OFFSET($H$3,0,0,'Données projet'!$E$15+1,1))</f>
        <v>232.99870507181964</v>
      </c>
      <c r="EP127" s="59">
        <f t="shared" si="100"/>
        <v>140.07662669226278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9.2482751679509452</v>
      </c>
      <c r="EW127" s="21">
        <f>EXP(-LN(2)/25)*EW126+(1-EXP(-LN(2)/25))/(LN(2)/25)*Calculateur!ER127*Calculateur!ET127*VLOOKUP('Données projet'!$B$15,Paramètres!$A$1:$I$89,3,0)*0.475*44/12</f>
        <v>21.268916385306309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30.517191553257256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5.6843418860808015E-14</v>
      </c>
      <c r="FF127" s="17">
        <f>FE127*VLOOKUP('Données projet'!$B$16,Paramètres!$A$1:$I$89,3,0)*VLOOKUP('Données projet'!$B$16,Paramètres!$A$1:$I$89,5,0)</f>
        <v>4.4337866711430253E-14</v>
      </c>
      <c r="FG127" s="13">
        <f t="shared" si="101"/>
        <v>7.3222115536967035E-13</v>
      </c>
      <c r="FH127" s="20">
        <f t="shared" si="76"/>
        <v>1.3525069634579169E-12</v>
      </c>
      <c r="FI127" s="59">
        <f t="shared" si="77"/>
        <v>293.33333333333468</v>
      </c>
      <c r="FJ127" s="59">
        <f ca="1">AVERAGE(OFFSET($FI$3,0,0,'Données projet'!$E$16+1,1))-AVERAGE(OFFSET($H$3,0,0,'Données projet'!$E$16+1,1))</f>
        <v>193.47609744163839</v>
      </c>
      <c r="FK127" s="59">
        <f t="shared" si="102"/>
        <v>170.3221892406973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26.2421315662314</v>
      </c>
      <c r="FR127" s="21">
        <f>EXP(-LN(2)/25)*FR126+(1-EXP(-LN(2)/25))/(LN(2)/25)*Calculateur!FM127*Calculateur!FO127*VLOOKUP('Données projet'!$B$16,Paramètres!$A$1:$I$89,3,0)*0.475*44/12</f>
        <v>5.9327955432488677</v>
      </c>
      <c r="FS127" s="21">
        <f>EXP(-LN(2)/2)*FS126+(1-EXP(-LN(2)/2))/(LN(2)/2)*FM127*FP127*VLOOKUP('Données projet'!$B$16,Paramètres!$A$1:$I$89,3,0)*0.475*44/12</f>
        <v>4.7584598628342865E-6</v>
      </c>
      <c r="FT127" s="22">
        <f t="shared" si="78"/>
        <v>32.174931867940131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>
        <f>FZ127*VLOOKUP('Données projet'!$B$17,Paramètres!$A$1:$I$89,3,0)*VLOOKUP('Données projet'!$B$17,Paramètres!$A$1:$I$89,5,0)</f>
        <v>0</v>
      </c>
      <c r="GB127" s="13" t="e">
        <f t="shared" si="103"/>
        <v>#NUM!</v>
      </c>
      <c r="GC127" s="20" t="e">
        <f t="shared" si="79"/>
        <v>#NUM!</v>
      </c>
      <c r="GD127" s="59" t="e">
        <f t="shared" si="80"/>
        <v>#NUM!</v>
      </c>
      <c r="GE127" s="59">
        <f ca="1">AVERAGE(OFFSET($GD$3,0,0,'Données projet'!$E$17+1,1))-AVERAGE(OFFSET($H$3,0,0,'Données projet'!$E$17+1,1))</f>
        <v>153.43773674911449</v>
      </c>
      <c r="GF127" s="59">
        <f t="shared" si="104"/>
        <v>235.49395036616602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34.49506948752164</v>
      </c>
      <c r="GM127" s="21">
        <f>EXP(-LN(2)/25)*GM126+(1-EXP(-LN(2)/25))/(LN(2)/25)*Calculateur!GH127*Calculateur!GJ127*VLOOKUP('Données projet'!$B$17,Paramètres!$A$1:$I$89,3,0)*0.475*44/12</f>
        <v>14.563955510143332</v>
      </c>
      <c r="GN127" s="21">
        <f>EXP(-LN(2)/2)*GN126+(1-EXP(-LN(2)/2))/(LN(2)/2)*GH127*GK127*VLOOKUP('Données projet'!$B$17,Paramètres!$A$1:$I$89,3,0)*0.475*44/12</f>
        <v>0</v>
      </c>
      <c r="GO127" s="21">
        <f t="shared" si="81"/>
        <v>49.05902499766497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5.6843418860808015E-14</v>
      </c>
      <c r="GV127" s="17">
        <f>GU127*VLOOKUP('Données projet'!$B$18,Paramètres!$A$1:$I$89,3,0)*VLOOKUP('Données projet'!$B$18,Paramètres!$A$1:$I$89,5,0)</f>
        <v>4.5224624045658861E-14</v>
      </c>
      <c r="GW127" s="13">
        <f t="shared" si="105"/>
        <v>7.4514601661523691E-13</v>
      </c>
      <c r="GX127" s="20">
        <f t="shared" si="82"/>
        <v>1.3765621991510601E-12</v>
      </c>
      <c r="GY127" s="59">
        <f t="shared" si="83"/>
        <v>293.33333333333468</v>
      </c>
      <c r="GZ127" s="59">
        <f ca="1">AVERAGE(OFFSET($GY$3,0,0,'Données projet'!$E$18+1,1))-AVERAGE(OFFSET($H$3,0,0,'Données projet'!$E$18+1,1))</f>
        <v>198.11534486400666</v>
      </c>
      <c r="HA127" s="59">
        <f t="shared" si="106"/>
        <v>174.29856796517652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>
        <f>EXP(-LN(2)/35)*HG126+(1-EXP(-LN(2)/35))/(LN(2)/35)*HC127*HD127*VLOOKUP('Données projet'!$B$18,Paramètres!$A$1:$I$89,3,0)*0.475*44/12</f>
        <v>32.991851917917906</v>
      </c>
      <c r="HH127" s="21">
        <f>EXP(-LN(2)/25)*HH126+(1-EXP(-LN(2)/25))/(LN(2)/25)*Calculateur!HC127*Calculateur!HE127*VLOOKUP('Données projet'!$B$18,Paramètres!$A$1:$I$89,3,0)*0.475*44/12</f>
        <v>7.458765745768237</v>
      </c>
      <c r="HI127" s="21">
        <f>EXP(-LN(2)/2)*HI126+(1-EXP(-LN(2)/2))/(LN(2)/2)*HC127*HF127*VLOOKUP('Données projet'!$B$18,Paramètres!$A$1:$I$89,3,0)*0.475*44/12</f>
        <v>4.8536290600909649E-6</v>
      </c>
      <c r="HJ127" s="22">
        <f t="shared" si="84"/>
        <v>40.450622517315203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1.1368683772161603E-13</v>
      </c>
      <c r="O128" s="13">
        <f>N128*VLOOKUP('Données projet'!$B$9,Paramètres!$A$1:$I$89,3,0)*VLOOKUP('Données projet'!$B$9,Paramètres!$A$1:$I$89,5,0)</f>
        <v>6.7984728957526396E-14</v>
      </c>
      <c r="P128" s="13">
        <f t="shared" si="87"/>
        <v>1.0682447123141398E-12</v>
      </c>
      <c r="Q128" s="20">
        <f t="shared" si="107"/>
        <v>1.978932943548152E-12</v>
      </c>
      <c r="R128" s="59">
        <f t="shared" si="55"/>
        <v>293.3333333333353</v>
      </c>
      <c r="S128" s="59">
        <f ca="1">AVERAGE(OFFSET($R$3,0,0,'Données projet'!$E$9+1,1))-AVERAGE(OFFSET($H$3,0,0,'Données projet'!$E$9+1,1))</f>
        <v>295.19075440119076</v>
      </c>
      <c r="T128" s="59">
        <f t="shared" si="88"/>
        <v>173.0182327988216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81.517428568473136</v>
      </c>
      <c r="AA128" s="21">
        <f>EXP(-LN(2)/25)*AA127+(1-EXP(-LN(2)/25))/(LN(2)/25)*Calculateur!V128*Calculateur!X128*VLOOKUP('Données projet'!$B$9,Paramètres!$A$1:$I$89,3,0)*0.475*44/12</f>
        <v>32.82251808284839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114.33994665132153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294.45857786714919</v>
      </c>
      <c r="AO128" s="59">
        <f t="shared" si="90"/>
        <v>221.9773436301067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75.240645307505673</v>
      </c>
      <c r="AV128" s="21">
        <f>EXP(-LN(2)/25)*AV127+(1-EXP(-LN(2)/25))/(LN(2)/25)*Calculateur!AQ128*Calculateur!AS128*VLOOKUP('Données projet'!$B$10,Paramètres!$A$1:$I$89,3,0)*0.475*44/12</f>
        <v>28.873806584874167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104.11445189237983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179.44051550872138</v>
      </c>
      <c r="BJ128" s="59">
        <f t="shared" si="92"/>
        <v>272.9500808380069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38.649876816898562</v>
      </c>
      <c r="BQ128" s="21">
        <f>EXP(-LN(2)/25)*BQ127+(1-EXP(-LN(2)/25))/(LN(2)/25)*Calculateur!BL128*Calculateur!BN128*VLOOKUP('Données projet'!$B$11,Paramètres!$A$1:$I$89,3,0)*0.475*44/12</f>
        <v>16.189375292380959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54.839252109279521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-1.5961632016114892E-13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259.87681411271632</v>
      </c>
      <c r="CE128" s="59">
        <f t="shared" si="94"/>
        <v>191.8684235641158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133.70925156246523</v>
      </c>
      <c r="CL128" s="21">
        <f>EXP(-LN(2)/25)*CL127+(1-EXP(-LN(2)/25))/(LN(2)/25)*Calculateur!CG128*Calculateur!CI128*VLOOKUP('Données projet'!$B$12,Paramètres!$A$1:$I$89,3,0)*0.475*44/12</f>
        <v>54.855781794675018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188.56503335714024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5.6843418860808015E-14</v>
      </c>
      <c r="CU128" s="17">
        <f>CT128*VLOOKUP('Données projet'!$B$13,Paramètres!$A$1:$I$89,3,0)*VLOOKUP('Données projet'!$B$13,Paramètres!$A$1:$I$89,5,0)</f>
        <v>4.5224624045658861E-14</v>
      </c>
      <c r="CV128" s="13">
        <f t="shared" si="95"/>
        <v>7.4514601661523691E-13</v>
      </c>
      <c r="CW128" s="20">
        <f t="shared" si="67"/>
        <v>1.3765621991510601E-12</v>
      </c>
      <c r="CX128" s="59">
        <f t="shared" si="68"/>
        <v>293.33333333333468</v>
      </c>
      <c r="CY128" s="59">
        <f ca="1">AVERAGE(OFFSET($CX$3,0,0,'Données projet'!$E$13+1,1))-AVERAGE(OFFSET($H$3,0,0,'Données projet'!$E$13+1,1))</f>
        <v>198.11534486400666</v>
      </c>
      <c r="CZ128" s="59">
        <f t="shared" si="96"/>
        <v>174.29856796517652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32.344901824850218</v>
      </c>
      <c r="DG128" s="21">
        <f>EXP(-LN(2)/25)*DG127+(1-EXP(-LN(2)/25))/(LN(2)/25)*Calculateur!DB128*Calculateur!DD128*VLOOKUP('Données projet'!$B$13,Paramètres!$A$1:$I$89,3,0)*0.475*44/12</f>
        <v>7.254805404210761</v>
      </c>
      <c r="DH128" s="21">
        <f>EXP(-LN(2)/2)*DH127+(1-EXP(-LN(2)/2))/(LN(2)/2)*DB128*DE128*VLOOKUP('Données projet'!$B$13,Paramètres!$A$1:$I$89,3,0)*0.475*44/12</f>
        <v>3.4320340217544103E-6</v>
      </c>
      <c r="DI128" s="22">
        <f t="shared" si="69"/>
        <v>39.599710661095003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4.666666666666667</v>
      </c>
      <c r="DO128" s="12">
        <f>IF('Données projet'!$A$166&gt;35,DO127+DN128-DW127,IF(A128&lt;'Données projet'!$A$166,$DL$205^A128,IF(A128='Données projet'!$A$166,'Données projet'!$B$166,DO127+DN128-DW127)))</f>
        <v>239.33333333333326</v>
      </c>
      <c r="DP128" s="17">
        <f>DO128*VLOOKUP('Données projet'!$B$14,Paramètres!$A$1:$I$89,3,0)*VLOOKUP('Données projet'!$B$14,Paramètres!$A$1:$I$89,5,0)</f>
        <v>242.68399999999997</v>
      </c>
      <c r="DQ128" s="13">
        <f t="shared" si="97"/>
        <v>59.016631850466453</v>
      </c>
      <c r="DR128" s="20">
        <f t="shared" si="70"/>
        <v>525.46193380622901</v>
      </c>
      <c r="DS128" s="59">
        <f t="shared" si="71"/>
        <v>818.79526713956238</v>
      </c>
      <c r="DT128" s="59">
        <f ca="1">AVERAGE(OFFSET($DS$3,0,0,'Données projet'!$E$14+1,1))-AVERAGE(OFFSET($H$3,0,0,'Données projet'!$E$14+1,1))</f>
        <v>247.92503505485405</v>
      </c>
      <c r="DU128" s="59">
        <f t="shared" si="98"/>
        <v>148.26437652597514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9.5056441714820732</v>
      </c>
      <c r="EB128" s="21">
        <f>EXP(-LN(2)/25)*EB127+(1-EXP(-LN(2)/25))/(LN(2)/25)*Calculateur!DW128*Calculateur!DY128*VLOOKUP('Données projet'!$B$14,Paramètres!$A$1:$I$89,3,0)*0.475*44/12</f>
        <v>21.688315945763165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31.19396011724524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4.666666666666667</v>
      </c>
      <c r="EJ128" s="12">
        <f>IF('Données projet'!$A$192&gt;35,EJ127+EI128-ER127,IF(A128&lt;'Données projet'!$A$192,$EG$205^A128,IF(A128='Données projet'!$A$192,'Données projet'!$B$192,EJ127+EI128-ER127)))</f>
        <v>239.33333333333326</v>
      </c>
      <c r="EK128" s="17">
        <f>EJ128*VLOOKUP('Données projet'!$B$15,Paramètres!$A$1:$I$89,3,0)*VLOOKUP('Données projet'!$B$15,Paramètres!$A$1:$I$89,5,0)</f>
        <v>231.48319999999995</v>
      </c>
      <c r="EL128" s="13">
        <f t="shared" si="99"/>
        <v>56.603263972055764</v>
      </c>
      <c r="EM128" s="20">
        <f t="shared" si="73"/>
        <v>501.75059141799693</v>
      </c>
      <c r="EN128" s="59">
        <f t="shared" si="74"/>
        <v>795.08392475133019</v>
      </c>
      <c r="EO128" s="59">
        <f ca="1">AVERAGE(OFFSET($EN$3,0,0,'Données projet'!$E$15+1,1))-AVERAGE(OFFSET($H$3,0,0,'Données projet'!$E$15+1,1))</f>
        <v>232.99870507181964</v>
      </c>
      <c r="EP128" s="59">
        <f t="shared" si="100"/>
        <v>140.07662669226278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9.0669221327982878</v>
      </c>
      <c r="EW128" s="21">
        <f>EXP(-LN(2)/25)*EW127+(1-EXP(-LN(2)/25))/(LN(2)/25)*Calculateur!ER128*Calculateur!ET128*VLOOKUP('Données projet'!$B$15,Paramètres!$A$1:$I$89,3,0)*0.475*44/12</f>
        <v>20.687316748266404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29.754238881064694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5.6843418860808015E-14</v>
      </c>
      <c r="FF128" s="17">
        <f>FE128*VLOOKUP('Données projet'!$B$16,Paramètres!$A$1:$I$89,3,0)*VLOOKUP('Données projet'!$B$16,Paramètres!$A$1:$I$89,5,0)</f>
        <v>4.4337866711430253E-14</v>
      </c>
      <c r="FG128" s="13">
        <f t="shared" si="101"/>
        <v>7.3222115536967035E-13</v>
      </c>
      <c r="FH128" s="20">
        <f t="shared" si="76"/>
        <v>1.3525069634579169E-12</v>
      </c>
      <c r="FI128" s="59">
        <f t="shared" si="77"/>
        <v>293.33333333333468</v>
      </c>
      <c r="FJ128" s="59">
        <f ca="1">AVERAGE(OFFSET($FI$3,0,0,'Données projet'!$E$16+1,1))-AVERAGE(OFFSET($H$3,0,0,'Données projet'!$E$16+1,1))</f>
        <v>193.47609744163839</v>
      </c>
      <c r="FK128" s="59">
        <f t="shared" si="102"/>
        <v>170.3221892406973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25.727539372337386</v>
      </c>
      <c r="FR128" s="21">
        <f>EXP(-LN(2)/25)*FR127+(1-EXP(-LN(2)/25))/(LN(2)/25)*Calculateur!FM128*Calculateur!FO128*VLOOKUP('Données projet'!$B$16,Paramètres!$A$1:$I$89,3,0)*0.475*44/12</f>
        <v>5.7705629371265692</v>
      </c>
      <c r="FS128" s="21">
        <f>EXP(-LN(2)/2)*FS127+(1-EXP(-LN(2)/2))/(LN(2)/2)*FM128*FP128*VLOOKUP('Données projet'!$B$16,Paramètres!$A$1:$I$89,3,0)*0.475*44/12</f>
        <v>3.3647392370141328E-6</v>
      </c>
      <c r="FT128" s="22">
        <f t="shared" si="78"/>
        <v>31.498105674203192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>
        <f>FZ128*VLOOKUP('Données projet'!$B$17,Paramètres!$A$1:$I$89,3,0)*VLOOKUP('Données projet'!$B$17,Paramètres!$A$1:$I$89,5,0)</f>
        <v>0</v>
      </c>
      <c r="GB128" s="13" t="e">
        <f t="shared" si="103"/>
        <v>#NUM!</v>
      </c>
      <c r="GC128" s="20" t="e">
        <f t="shared" si="79"/>
        <v>#NUM!</v>
      </c>
      <c r="GD128" s="59" t="e">
        <f t="shared" si="80"/>
        <v>#NUM!</v>
      </c>
      <c r="GE128" s="59">
        <f ca="1">AVERAGE(OFFSET($GD$3,0,0,'Données projet'!$E$17+1,1))-AVERAGE(OFFSET($H$3,0,0,'Données projet'!$E$17+1,1))</f>
        <v>153.43773674911449</v>
      </c>
      <c r="GF128" s="59">
        <f t="shared" si="104"/>
        <v>235.49395036616602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33.818642214786209</v>
      </c>
      <c r="GM128" s="21">
        <f>EXP(-LN(2)/25)*GM127+(1-EXP(-LN(2)/25))/(LN(2)/25)*Calculateur!GH128*Calculateur!GJ128*VLOOKUP('Données projet'!$B$17,Paramètres!$A$1:$I$89,3,0)*0.475*44/12</f>
        <v>14.165703380833328</v>
      </c>
      <c r="GN128" s="21">
        <f>EXP(-LN(2)/2)*GN127+(1-EXP(-LN(2)/2))/(LN(2)/2)*GH128*GK128*VLOOKUP('Données projet'!$B$17,Paramètres!$A$1:$I$89,3,0)*0.475*44/12</f>
        <v>0</v>
      </c>
      <c r="GO128" s="21">
        <f t="shared" si="81"/>
        <v>47.984345595619537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5.6843418860808015E-14</v>
      </c>
      <c r="GV128" s="17">
        <f>GU128*VLOOKUP('Données projet'!$B$18,Paramètres!$A$1:$I$89,3,0)*VLOOKUP('Données projet'!$B$18,Paramètres!$A$1:$I$89,5,0)</f>
        <v>4.5224624045658861E-14</v>
      </c>
      <c r="GW128" s="13">
        <f t="shared" si="105"/>
        <v>7.4514601661523691E-13</v>
      </c>
      <c r="GX128" s="20">
        <f t="shared" si="82"/>
        <v>1.3765621991510601E-12</v>
      </c>
      <c r="GY128" s="59">
        <f t="shared" si="83"/>
        <v>293.33333333333468</v>
      </c>
      <c r="GZ128" s="59">
        <f ca="1">AVERAGE(OFFSET($GY$3,0,0,'Données projet'!$E$18+1,1))-AVERAGE(OFFSET($H$3,0,0,'Données projet'!$E$18+1,1))</f>
        <v>198.11534486400666</v>
      </c>
      <c r="HA128" s="59">
        <f t="shared" si="106"/>
        <v>174.29856796517652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>
        <f>EXP(-LN(2)/35)*HG127+(1-EXP(-LN(2)/35))/(LN(2)/35)*HC128*HD128*VLOOKUP('Données projet'!$B$18,Paramètres!$A$1:$I$89,3,0)*0.475*44/12</f>
        <v>32.344901824850218</v>
      </c>
      <c r="HH128" s="21">
        <f>EXP(-LN(2)/25)*HH127+(1-EXP(-LN(2)/25))/(LN(2)/25)*Calculateur!HC128*Calculateur!HE128*VLOOKUP('Données projet'!$B$18,Paramètres!$A$1:$I$89,3,0)*0.475*44/12</f>
        <v>7.254805404210761</v>
      </c>
      <c r="HI128" s="21">
        <f>EXP(-LN(2)/2)*HI127+(1-EXP(-LN(2)/2))/(LN(2)/2)*HC128*HF128*VLOOKUP('Données projet'!$B$18,Paramètres!$A$1:$I$89,3,0)*0.475*44/12</f>
        <v>3.4320340217544103E-6</v>
      </c>
      <c r="HJ128" s="22">
        <f t="shared" si="84"/>
        <v>39.599710661095003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1.1368683772161603E-13</v>
      </c>
      <c r="O129" s="13">
        <f>N129*VLOOKUP('Données projet'!$B$9,Paramètres!$A$1:$I$89,3,0)*VLOOKUP('Données projet'!$B$9,Paramètres!$A$1:$I$89,5,0)</f>
        <v>6.7984728957526396E-14</v>
      </c>
      <c r="P129" s="13">
        <f t="shared" si="87"/>
        <v>1.0682447123141398E-12</v>
      </c>
      <c r="Q129" s="20">
        <f t="shared" si="107"/>
        <v>1.978932943548152E-12</v>
      </c>
      <c r="R129" s="59">
        <f t="shared" si="55"/>
        <v>293.3333333333353</v>
      </c>
      <c r="S129" s="59">
        <f ca="1">AVERAGE(OFFSET($R$3,0,0,'Données projet'!$E$9+1,1))-AVERAGE(OFFSET($H$3,0,0,'Données projet'!$E$9+1,1))</f>
        <v>295.19075440119076</v>
      </c>
      <c r="T129" s="59">
        <f t="shared" si="88"/>
        <v>173.0182327988216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79.918921514967295</v>
      </c>
      <c r="AA129" s="21">
        <f>EXP(-LN(2)/25)*AA128+(1-EXP(-LN(2)/25))/(LN(2)/25)*Calculateur!V129*Calculateur!X129*VLOOKUP('Données projet'!$B$9,Paramètres!$A$1:$I$89,3,0)*0.475*44/12</f>
        <v>31.92498459981169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111.84390611477899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294.45857786714919</v>
      </c>
      <c r="AO129" s="59">
        <f t="shared" si="90"/>
        <v>221.9773436301067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73.765222145287638</v>
      </c>
      <c r="AV129" s="21">
        <f>EXP(-LN(2)/25)*AV128+(1-EXP(-LN(2)/25))/(LN(2)/25)*Calculateur!AQ129*Calculateur!AS129*VLOOKUP('Données projet'!$B$10,Paramètres!$A$1:$I$89,3,0)*0.475*44/12</f>
        <v>28.084250825403288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101.84947297069093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179.44051550872138</v>
      </c>
      <c r="BJ129" s="59">
        <f t="shared" si="92"/>
        <v>272.9500808380069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37.891976306616293</v>
      </c>
      <c r="BQ129" s="21">
        <f>EXP(-LN(2)/25)*BQ128+(1-EXP(-LN(2)/25))/(LN(2)/25)*Calculateur!BL129*Calculateur!BN129*VLOOKUP('Données projet'!$B$11,Paramètres!$A$1:$I$89,3,0)*0.475*44/12</f>
        <v>15.746675973648555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53.63865228026485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-1.5961632016114892E-13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259.87681411271632</v>
      </c>
      <c r="CE129" s="59">
        <f t="shared" si="94"/>
        <v>191.8684235641158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131.08729469391588</v>
      </c>
      <c r="CL129" s="21">
        <f>EXP(-LN(2)/25)*CL128+(1-EXP(-LN(2)/25))/(LN(2)/25)*Calculateur!CG129*Calculateur!CI129*VLOOKUP('Données projet'!$B$12,Paramètres!$A$1:$I$89,3,0)*0.475*44/12</f>
        <v>53.355747556759439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184.44304225067532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5.6843418860808015E-14</v>
      </c>
      <c r="CU129" s="17">
        <f>CT129*VLOOKUP('Données projet'!$B$13,Paramètres!$A$1:$I$89,3,0)*VLOOKUP('Données projet'!$B$13,Paramètres!$A$1:$I$89,5,0)</f>
        <v>4.5224624045658861E-14</v>
      </c>
      <c r="CV129" s="13">
        <f t="shared" si="95"/>
        <v>7.4514601661523691E-13</v>
      </c>
      <c r="CW129" s="20">
        <f t="shared" si="67"/>
        <v>1.3765621991510601E-12</v>
      </c>
      <c r="CX129" s="59">
        <f t="shared" si="68"/>
        <v>293.33333333333468</v>
      </c>
      <c r="CY129" s="59">
        <f ca="1">AVERAGE(OFFSET($CX$3,0,0,'Données projet'!$E$13+1,1))-AVERAGE(OFFSET($H$3,0,0,'Données projet'!$E$13+1,1))</f>
        <v>198.11534486400666</v>
      </c>
      <c r="CZ129" s="59">
        <f t="shared" si="96"/>
        <v>174.29856796517652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31.710638028506995</v>
      </c>
      <c r="DG129" s="21">
        <f>EXP(-LN(2)/25)*DG128+(1-EXP(-LN(2)/25))/(LN(2)/25)*Calculateur!DB129*Calculateur!DD129*VLOOKUP('Données projet'!$B$13,Paramètres!$A$1:$I$89,3,0)*0.475*44/12</f>
        <v>7.0564223689189829</v>
      </c>
      <c r="DH129" s="21">
        <f>EXP(-LN(2)/2)*DH128+(1-EXP(-LN(2)/2))/(LN(2)/2)*DB129*DE129*VLOOKUP('Données projet'!$B$13,Paramètres!$A$1:$I$89,3,0)*0.475*44/12</f>
        <v>2.4268145300454825E-6</v>
      </c>
      <c r="DI129" s="22">
        <f t="shared" si="69"/>
        <v>38.767062824240512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>
        <f>VLOOKUP(A129,'Données projet'!$A$165:$I$185,2,0)</f>
        <v>244</v>
      </c>
      <c r="DM129" s="12">
        <f>VLOOKUP(A129,'Données projet'!$A$165:$I$185,9,0)</f>
        <v>4.666666666666667</v>
      </c>
      <c r="DN129" s="12">
        <f t="array" ref="DN129">INDEX(DM:DM,MIN(IF(ISNUMBER(DM129:DM325),ROW(DM129:DM325),"")))</f>
        <v>4.666666666666667</v>
      </c>
      <c r="DO129" s="12">
        <f>IF('Données projet'!$A$166&gt;35,DO128+DN129-DW128,IF(A129&lt;'Données projet'!$A$166,$DL$205^A129,IF(A129='Données projet'!$A$166,'Données projet'!$B$166,DO128+DN129-DW128)))</f>
        <v>243.99999999999991</v>
      </c>
      <c r="DP129" s="17">
        <f>DO129*VLOOKUP('Données projet'!$B$14,Paramètres!$A$1:$I$89,3,0)*VLOOKUP('Données projet'!$B$14,Paramètres!$A$1:$I$89,5,0)</f>
        <v>247.41599999999991</v>
      </c>
      <c r="DQ129" s="13">
        <f t="shared" si="97"/>
        <v>60.032282000540192</v>
      </c>
      <c r="DR129" s="20">
        <f t="shared" si="70"/>
        <v>535.47242448427392</v>
      </c>
      <c r="DS129" s="59">
        <f t="shared" si="71"/>
        <v>828.80575781760717</v>
      </c>
      <c r="DT129" s="59">
        <f ca="1">AVERAGE(OFFSET($DS$3,0,0,'Données projet'!$E$14+1,1))-AVERAGE(OFFSET($H$3,0,0,'Données projet'!$E$14+1,1))</f>
        <v>247.92503505485405</v>
      </c>
      <c r="DU129" s="59">
        <f t="shared" si="98"/>
        <v>148.26437652597514</v>
      </c>
      <c r="DV129" s="15">
        <f>IF(ISNA(VLOOKUP(A129,'Données projet'!$A$165:$I$185,3,0)),0,VLOOKUP(A129,'Données projet'!$A$165:$I$185,3,0))</f>
        <v>10</v>
      </c>
      <c r="DW129" s="15">
        <f>IF(ISNA(VLOOKUP(A129,'Données projet'!$A$165:$I$185,4,0)),0,VLOOKUP(A129,'Données projet'!$A$165:$I$185,4,0))</f>
        <v>38</v>
      </c>
      <c r="DX129" s="16">
        <f>IF(ISNA(VLOOKUP(A129,'Données projet'!$A$165:$I$185,5,0)),0%,VLOOKUP(A129,'Données projet'!$A$165:$I$185,5,0)*VLOOKUP('Données projet'!$B$14,Paramètres!$A$1:$I$89,7,0))</f>
        <v>0.17200000000000001</v>
      </c>
      <c r="DY129" s="16">
        <f>IF(ISNA(VLOOKUP(A129,'Données projet'!$A$165:$I$185,6,0)),0%,VLOOKUP(A129,'Données projet'!$A$165:$I$185,6,0)*VLOOKUP('Données projet'!$B$14,Paramètres!$A$1:$I$89,7,0))</f>
        <v>0.17200000000000001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16.64575364938591</v>
      </c>
      <c r="EB129" s="21">
        <f>EXP(-LN(2)/25)*EB128+(1-EXP(-LN(2)/25))/(LN(2)/25)*Calculateur!DW129*Calculateur!DY129*VLOOKUP('Données projet'!$B$14,Paramètres!$A$1:$I$89,3,0)*0.475*44/12</f>
        <v>28.392909908945402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45.038663558331308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>
        <f>VLOOKUP(A129,'Données projet'!$A$191:$I$211,2,0)</f>
        <v>244</v>
      </c>
      <c r="EH129" s="12">
        <f>VLOOKUP(A129,'Données projet'!$A$191:$I$211,9,0)</f>
        <v>4.666666666666667</v>
      </c>
      <c r="EI129" s="12">
        <f t="array" ref="EI129">INDEX(EH:EH,MIN(IF(ISNUMBER(EH129:EH325),ROW(EH129:EH325),"")))</f>
        <v>4.666666666666667</v>
      </c>
      <c r="EJ129" s="12">
        <f>IF('Données projet'!$A$192&gt;35,EJ128+EI129-ER128,IF(A129&lt;'Données projet'!$A$192,$EG$205^A129,IF(A129='Données projet'!$A$192,'Données projet'!$B$192,EJ128+EI129-ER128)))</f>
        <v>243.99999999999991</v>
      </c>
      <c r="EK129" s="17">
        <f>EJ129*VLOOKUP('Données projet'!$B$15,Paramètres!$A$1:$I$89,3,0)*VLOOKUP('Données projet'!$B$15,Paramètres!$A$1:$I$89,5,0)</f>
        <v>235.99679999999992</v>
      </c>
      <c r="EL129" s="13">
        <f t="shared" si="99"/>
        <v>57.577381127598322</v>
      </c>
      <c r="EM129" s="20">
        <f t="shared" si="73"/>
        <v>511.3083654639002</v>
      </c>
      <c r="EN129" s="59">
        <f t="shared" si="74"/>
        <v>804.64169879723352</v>
      </c>
      <c r="EO129" s="59">
        <f ca="1">AVERAGE(OFFSET($EN$3,0,0,'Données projet'!$E$15+1,1))-AVERAGE(OFFSET($H$3,0,0,'Données projet'!$E$15+1,1))</f>
        <v>232.99870507181964</v>
      </c>
      <c r="EP129" s="59">
        <f t="shared" si="100"/>
        <v>140.07662669226278</v>
      </c>
      <c r="EQ129" s="15">
        <f>IF(ISNA(VLOOKUP(A129,'Données projet'!$A$191:$I$211,3,0)),0,VLOOKUP(A129,'Données projet'!$A$191:$I$211,3,0))</f>
        <v>10</v>
      </c>
      <c r="ER129" s="15">
        <f>IF(ISNA(VLOOKUP(A129,'Données projet'!$A$191:$I$211,4,0)),0,VLOOKUP(A129,'Données projet'!$A$191:$I$211,4,0))</f>
        <v>38</v>
      </c>
      <c r="ES129" s="16">
        <f>IF(ISNA(VLOOKUP(A129,'Données projet'!$A$191:$I$211,5,0)),0%,VLOOKUP(A129,'Données projet'!$A$191:$I$211,5,0)*VLOOKUP('Données projet'!$B$15,Paramètres!$A$1:$I$89,7,0))</f>
        <v>0.17200000000000001</v>
      </c>
      <c r="ET129" s="16">
        <f>IF(ISNA(VLOOKUP(A129,'Données projet'!$A$191:$I$211,6,0)),0%,VLOOKUP(A129,'Données projet'!$A$191:$I$211,6,0)*VLOOKUP('Données projet'!$B$15,Paramètres!$A$1:$I$89,7,0))</f>
        <v>0.17200000000000001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15.877488096337329</v>
      </c>
      <c r="EW129" s="21">
        <f>EXP(-LN(2)/25)*EW128+(1-EXP(-LN(2)/25))/(LN(2)/25)*Calculateur!ER129*Calculateur!ET129*VLOOKUP('Données projet'!$B$15,Paramètres!$A$1:$I$89,3,0)*0.475*44/12</f>
        <v>27.082467913147919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42.959956009485246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5.6843418860808015E-14</v>
      </c>
      <c r="FF129" s="17">
        <f>FE129*VLOOKUP('Données projet'!$B$16,Paramètres!$A$1:$I$89,3,0)*VLOOKUP('Données projet'!$B$16,Paramètres!$A$1:$I$89,5,0)</f>
        <v>4.4337866711430253E-14</v>
      </c>
      <c r="FG129" s="13">
        <f t="shared" si="101"/>
        <v>7.3222115536967035E-13</v>
      </c>
      <c r="FH129" s="20">
        <f t="shared" si="76"/>
        <v>1.3525069634579169E-12</v>
      </c>
      <c r="FI129" s="59">
        <f t="shared" si="77"/>
        <v>293.33333333333468</v>
      </c>
      <c r="FJ129" s="59">
        <f ca="1">AVERAGE(OFFSET($FI$3,0,0,'Données projet'!$E$16+1,1))-AVERAGE(OFFSET($H$3,0,0,'Données projet'!$E$16+1,1))</f>
        <v>193.47609744163839</v>
      </c>
      <c r="FK129" s="59">
        <f t="shared" si="102"/>
        <v>170.3221892406973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25.223038017495387</v>
      </c>
      <c r="FR129" s="21">
        <f>EXP(-LN(2)/25)*FR128+(1-EXP(-LN(2)/25))/(LN(2)/25)*Calculateur!FM129*Calculateur!FO129*VLOOKUP('Données projet'!$B$16,Paramètres!$A$1:$I$89,3,0)*0.475*44/12</f>
        <v>5.6127665901501267</v>
      </c>
      <c r="FS129" s="21">
        <f>EXP(-LN(2)/2)*FS128+(1-EXP(-LN(2)/2))/(LN(2)/2)*FM129*FP129*VLOOKUP('Données projet'!$B$16,Paramètres!$A$1:$I$89,3,0)*0.475*44/12</f>
        <v>2.3792299314171433E-6</v>
      </c>
      <c r="FT129" s="22">
        <f t="shared" si="78"/>
        <v>30.835806986875447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>
        <f>FZ129*VLOOKUP('Données projet'!$B$17,Paramètres!$A$1:$I$89,3,0)*VLOOKUP('Données projet'!$B$17,Paramètres!$A$1:$I$89,5,0)</f>
        <v>0</v>
      </c>
      <c r="GB129" s="13" t="e">
        <f t="shared" si="103"/>
        <v>#NUM!</v>
      </c>
      <c r="GC129" s="20" t="e">
        <f t="shared" si="79"/>
        <v>#NUM!</v>
      </c>
      <c r="GD129" s="59" t="e">
        <f t="shared" si="80"/>
        <v>#NUM!</v>
      </c>
      <c r="GE129" s="59">
        <f ca="1">AVERAGE(OFFSET($GD$3,0,0,'Données projet'!$E$17+1,1))-AVERAGE(OFFSET($H$3,0,0,'Données projet'!$E$17+1,1))</f>
        <v>153.43773674911449</v>
      </c>
      <c r="GF129" s="59">
        <f t="shared" si="104"/>
        <v>235.49395036616602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33.15547926828922</v>
      </c>
      <c r="GM129" s="21">
        <f>EXP(-LN(2)/25)*GM128+(1-EXP(-LN(2)/25))/(LN(2)/25)*Calculateur!GH129*Calculateur!GJ129*VLOOKUP('Données projet'!$B$17,Paramètres!$A$1:$I$89,3,0)*0.475*44/12</f>
        <v>13.778341476942476</v>
      </c>
      <c r="GN129" s="21">
        <f>EXP(-LN(2)/2)*GN128+(1-EXP(-LN(2)/2))/(LN(2)/2)*GH129*GK129*VLOOKUP('Données projet'!$B$17,Paramètres!$A$1:$I$89,3,0)*0.475*44/12</f>
        <v>0</v>
      </c>
      <c r="GO129" s="21">
        <f t="shared" si="81"/>
        <v>46.933820745231699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5.6843418860808015E-14</v>
      </c>
      <c r="GV129" s="17">
        <f>GU129*VLOOKUP('Données projet'!$B$18,Paramètres!$A$1:$I$89,3,0)*VLOOKUP('Données projet'!$B$18,Paramètres!$A$1:$I$89,5,0)</f>
        <v>4.5224624045658861E-14</v>
      </c>
      <c r="GW129" s="13">
        <f t="shared" si="105"/>
        <v>7.4514601661523691E-13</v>
      </c>
      <c r="GX129" s="20">
        <f t="shared" si="82"/>
        <v>1.3765621991510601E-12</v>
      </c>
      <c r="GY129" s="59">
        <f t="shared" si="83"/>
        <v>293.33333333333468</v>
      </c>
      <c r="GZ129" s="59">
        <f ca="1">AVERAGE(OFFSET($GY$3,0,0,'Données projet'!$E$18+1,1))-AVERAGE(OFFSET($H$3,0,0,'Données projet'!$E$18+1,1))</f>
        <v>198.11534486400666</v>
      </c>
      <c r="HA129" s="59">
        <f t="shared" si="106"/>
        <v>174.29856796517652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>
        <f>EXP(-LN(2)/35)*HG128+(1-EXP(-LN(2)/35))/(LN(2)/35)*HC129*HD129*VLOOKUP('Données projet'!$B$18,Paramètres!$A$1:$I$89,3,0)*0.475*44/12</f>
        <v>31.710638028506995</v>
      </c>
      <c r="HH129" s="21">
        <f>EXP(-LN(2)/25)*HH128+(1-EXP(-LN(2)/25))/(LN(2)/25)*Calculateur!HC129*Calculateur!HE129*VLOOKUP('Données projet'!$B$18,Paramètres!$A$1:$I$89,3,0)*0.475*44/12</f>
        <v>7.0564223689189829</v>
      </c>
      <c r="HI129" s="21">
        <f>EXP(-LN(2)/2)*HI128+(1-EXP(-LN(2)/2))/(LN(2)/2)*HC129*HF129*VLOOKUP('Données projet'!$B$18,Paramètres!$A$1:$I$89,3,0)*0.475*44/12</f>
        <v>2.4268145300454825E-6</v>
      </c>
      <c r="HJ129" s="22">
        <f t="shared" si="84"/>
        <v>38.767062824240512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1.1368683772161603E-13</v>
      </c>
      <c r="O130" s="13">
        <f>N130*VLOOKUP('Données projet'!$B$9,Paramètres!$A$1:$I$89,3,0)*VLOOKUP('Données projet'!$B$9,Paramètres!$A$1:$I$89,5,0)</f>
        <v>6.7984728957526396E-14</v>
      </c>
      <c r="P130" s="13">
        <f t="shared" si="87"/>
        <v>1.0682447123141398E-12</v>
      </c>
      <c r="Q130" s="20">
        <f t="shared" si="107"/>
        <v>1.978932943548152E-12</v>
      </c>
      <c r="R130" s="59">
        <f t="shared" si="55"/>
        <v>293.3333333333353</v>
      </c>
      <c r="S130" s="59">
        <f ca="1">AVERAGE(OFFSET($R$3,0,0,'Données projet'!$E$9+1,1))-AVERAGE(OFFSET($H$3,0,0,'Données projet'!$E$9+1,1))</f>
        <v>295.19075440119076</v>
      </c>
      <c r="T130" s="59">
        <f t="shared" si="88"/>
        <v>173.0182327988216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78.35176020978767</v>
      </c>
      <c r="AA130" s="21">
        <f>EXP(-LN(2)/25)*AA129+(1-EXP(-LN(2)/25))/(LN(2)/25)*Calculateur!V130*Calculateur!X130*VLOOKUP('Données projet'!$B$9,Paramètres!$A$1:$I$89,3,0)*0.475*44/12</f>
        <v>31.051994217067865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109.40375442685553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294.45857786714919</v>
      </c>
      <c r="AO130" s="59">
        <f t="shared" si="90"/>
        <v>221.9773436301067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72.318731131361432</v>
      </c>
      <c r="AV130" s="21">
        <f>EXP(-LN(2)/25)*AV129+(1-EXP(-LN(2)/25))/(LN(2)/25)*Calculateur!AQ130*Calculateur!AS130*VLOOKUP('Données projet'!$B$10,Paramètres!$A$1:$I$89,3,0)*0.475*44/12</f>
        <v>27.316285509696073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99.635016641057504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179.44051550872138</v>
      </c>
      <c r="BJ130" s="59">
        <f t="shared" si="92"/>
        <v>272.9500808380069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37.148937763066989</v>
      </c>
      <c r="BQ130" s="21">
        <f>EXP(-LN(2)/25)*BQ129+(1-EXP(-LN(2)/25))/(LN(2)/25)*Calculateur!BL130*Calculateur!BN130*VLOOKUP('Données projet'!$B$11,Paramètres!$A$1:$I$89,3,0)*0.475*44/12</f>
        <v>15.316082291067435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52.465020054134428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-1.5961632016114892E-13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259.87681411271632</v>
      </c>
      <c r="CE130" s="59">
        <f t="shared" si="94"/>
        <v>191.8684235641158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128.51675280032302</v>
      </c>
      <c r="CL130" s="21">
        <f>EXP(-LN(2)/25)*CL129+(1-EXP(-LN(2)/25))/(LN(2)/25)*Calculateur!CG130*Calculateur!CI130*VLOOKUP('Données projet'!$B$12,Paramètres!$A$1:$I$89,3,0)*0.475*44/12</f>
        <v>51.896731833963038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180.41348463428605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5.6843418860808015E-14</v>
      </c>
      <c r="CU130" s="17">
        <f>CT130*VLOOKUP('Données projet'!$B$13,Paramètres!$A$1:$I$89,3,0)*VLOOKUP('Données projet'!$B$13,Paramètres!$A$1:$I$89,5,0)</f>
        <v>4.5224624045658861E-14</v>
      </c>
      <c r="CV130" s="13">
        <f t="shared" si="95"/>
        <v>7.4514601661523691E-13</v>
      </c>
      <c r="CW130" s="20">
        <f t="shared" si="67"/>
        <v>1.3765621991510601E-12</v>
      </c>
      <c r="CX130" s="59">
        <f t="shared" si="68"/>
        <v>293.33333333333468</v>
      </c>
      <c r="CY130" s="59">
        <f ca="1">AVERAGE(OFFSET($CX$3,0,0,'Données projet'!$E$13+1,1))-AVERAGE(OFFSET($H$3,0,0,'Données projet'!$E$13+1,1))</f>
        <v>198.11534486400666</v>
      </c>
      <c r="CZ130" s="59">
        <f t="shared" si="96"/>
        <v>174.29856796517652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31.088811758347347</v>
      </c>
      <c r="DG130" s="21">
        <f>EXP(-LN(2)/25)*DG129+(1-EXP(-LN(2)/25))/(LN(2)/25)*Calculateur!DB130*Calculateur!DD130*VLOOKUP('Données projet'!$B$13,Paramètres!$A$1:$I$89,3,0)*0.475*44/12</f>
        <v>6.8634641281597686</v>
      </c>
      <c r="DH130" s="21">
        <f>EXP(-LN(2)/2)*DH129+(1-EXP(-LN(2)/2))/(LN(2)/2)*DB130*DE130*VLOOKUP('Données projet'!$B$13,Paramètres!$A$1:$I$89,3,0)*0.475*44/12</f>
        <v>1.7160170108772052E-6</v>
      </c>
      <c r="DI130" s="22">
        <f t="shared" si="69"/>
        <v>37.952277602524127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4.666666666666667</v>
      </c>
      <c r="DO130" s="12">
        <f>IF('Données projet'!$A$166&gt;35,DO129+DN130-DW129,IF(A130&lt;'Données projet'!$A$166,$DL$205^A130,IF(A130='Données projet'!$A$166,'Données projet'!$B$166,DO129+DN130-DW129)))</f>
        <v>210.66666666666657</v>
      </c>
      <c r="DP130" s="17">
        <f>DO130*VLOOKUP('Données projet'!$B$14,Paramètres!$A$1:$I$89,3,0)*VLOOKUP('Données projet'!$B$14,Paramètres!$A$1:$I$89,5,0)</f>
        <v>213.61599999999993</v>
      </c>
      <c r="DQ130" s="13">
        <f t="shared" si="97"/>
        <v>52.72498581927065</v>
      </c>
      <c r="DR130" s="20">
        <f t="shared" si="70"/>
        <v>463.87721696856289</v>
      </c>
      <c r="DS130" s="59">
        <f t="shared" si="71"/>
        <v>757.21055030189621</v>
      </c>
      <c r="DT130" s="59">
        <f ca="1">AVERAGE(OFFSET($DS$3,0,0,'Données projet'!$E$14+1,1))-AVERAGE(OFFSET($H$3,0,0,'Données projet'!$E$14+1,1))</f>
        <v>247.92503505485405</v>
      </c>
      <c r="DU130" s="59">
        <f t="shared" si="98"/>
        <v>148.26437652597514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16.319340573228661</v>
      </c>
      <c r="EB130" s="21">
        <f>EXP(-LN(2)/25)*EB129+(1-EXP(-LN(2)/25))/(LN(2)/25)*Calculateur!DW130*Calculateur!DY130*VLOOKUP('Données projet'!$B$14,Paramètres!$A$1:$I$89,3,0)*0.475*44/12</f>
        <v>27.616504294367051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43.935844867595712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4.666666666666667</v>
      </c>
      <c r="EJ130" s="12">
        <f>IF('Données projet'!$A$192&gt;35,EJ129+EI130-ER129,IF(A130&lt;'Données projet'!$A$192,$EG$205^A130,IF(A130='Données projet'!$A$192,'Données projet'!$B$192,EJ129+EI130-ER129)))</f>
        <v>210.66666666666657</v>
      </c>
      <c r="EK130" s="17">
        <f>EJ130*VLOOKUP('Données projet'!$B$15,Paramètres!$A$1:$I$89,3,0)*VLOOKUP('Données projet'!$B$15,Paramètres!$A$1:$I$89,5,0)</f>
        <v>203.75679999999994</v>
      </c>
      <c r="EL130" s="13">
        <f t="shared" si="99"/>
        <v>50.568902302198822</v>
      </c>
      <c r="EM130" s="20">
        <f t="shared" si="73"/>
        <v>442.95059817632949</v>
      </c>
      <c r="EN130" s="59">
        <f t="shared" si="74"/>
        <v>736.28393150966281</v>
      </c>
      <c r="EO130" s="59">
        <f ca="1">AVERAGE(OFFSET($EN$3,0,0,'Données projet'!$E$15+1,1))-AVERAGE(OFFSET($H$3,0,0,'Données projet'!$E$15+1,1))</f>
        <v>232.99870507181964</v>
      </c>
      <c r="EP130" s="59">
        <f t="shared" si="100"/>
        <v>140.07662669226278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15.566140239079646</v>
      </c>
      <c r="EW130" s="21">
        <f>EXP(-LN(2)/25)*EW129+(1-EXP(-LN(2)/25))/(LN(2)/25)*Calculateur!ER130*Calculateur!ET130*VLOOKUP('Données projet'!$B$15,Paramètres!$A$1:$I$89,3,0)*0.475*44/12</f>
        <v>26.341896403857799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41.908036642937446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5.6843418860808015E-14</v>
      </c>
      <c r="FF130" s="17">
        <f>FE130*VLOOKUP('Données projet'!$B$16,Paramètres!$A$1:$I$89,3,0)*VLOOKUP('Données projet'!$B$16,Paramètres!$A$1:$I$89,5,0)</f>
        <v>4.4337866711430253E-14</v>
      </c>
      <c r="FG130" s="13">
        <f t="shared" si="101"/>
        <v>7.3222115536967035E-13</v>
      </c>
      <c r="FH130" s="20">
        <f t="shared" si="76"/>
        <v>1.3525069634579169E-12</v>
      </c>
      <c r="FI130" s="59">
        <f t="shared" si="77"/>
        <v>293.33333333333468</v>
      </c>
      <c r="FJ130" s="59">
        <f ca="1">AVERAGE(OFFSET($FI$3,0,0,'Données projet'!$E$16+1,1))-AVERAGE(OFFSET($H$3,0,0,'Données projet'!$E$16+1,1))</f>
        <v>193.47609744163839</v>
      </c>
      <c r="FK130" s="59">
        <f t="shared" si="102"/>
        <v>170.3221892406973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24.728429626506397</v>
      </c>
      <c r="FR130" s="21">
        <f>EXP(-LN(2)/25)*FR129+(1-EXP(-LN(2)/25))/(LN(2)/25)*Calculateur!FM130*Calculateur!FO130*VLOOKUP('Données projet'!$B$16,Paramètres!$A$1:$I$89,3,0)*0.475*44/12</f>
        <v>5.4592851925799044</v>
      </c>
      <c r="FS130" s="21">
        <f>EXP(-LN(2)/2)*FS129+(1-EXP(-LN(2)/2))/(LN(2)/2)*FM130*FP130*VLOOKUP('Données projet'!$B$16,Paramètres!$A$1:$I$89,3,0)*0.475*44/12</f>
        <v>1.6823696185070664E-6</v>
      </c>
      <c r="FT130" s="22">
        <f t="shared" si="78"/>
        <v>30.18771650145592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>
        <f>FZ130*VLOOKUP('Données projet'!$B$17,Paramètres!$A$1:$I$89,3,0)*VLOOKUP('Données projet'!$B$17,Paramètres!$A$1:$I$89,5,0)</f>
        <v>0</v>
      </c>
      <c r="GB130" s="13" t="e">
        <f t="shared" si="103"/>
        <v>#NUM!</v>
      </c>
      <c r="GC130" s="20" t="e">
        <f t="shared" si="79"/>
        <v>#NUM!</v>
      </c>
      <c r="GD130" s="59" t="e">
        <f t="shared" si="80"/>
        <v>#NUM!</v>
      </c>
      <c r="GE130" s="59">
        <f ca="1">AVERAGE(OFFSET($GD$3,0,0,'Données projet'!$E$17+1,1))-AVERAGE(OFFSET($H$3,0,0,'Données projet'!$E$17+1,1))</f>
        <v>153.43773674911449</v>
      </c>
      <c r="GF130" s="59">
        <f t="shared" si="104"/>
        <v>235.49395036616602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32.505320542683585</v>
      </c>
      <c r="GM130" s="21">
        <f>EXP(-LN(2)/25)*GM129+(1-EXP(-LN(2)/25))/(LN(2)/25)*Calculateur!GH130*Calculateur!GJ130*VLOOKUP('Données projet'!$B$17,Paramètres!$A$1:$I$89,3,0)*0.475*44/12</f>
        <v>13.401572004683997</v>
      </c>
      <c r="GN130" s="21">
        <f>EXP(-LN(2)/2)*GN129+(1-EXP(-LN(2)/2))/(LN(2)/2)*GH130*GK130*VLOOKUP('Données projet'!$B$17,Paramètres!$A$1:$I$89,3,0)*0.475*44/12</f>
        <v>0</v>
      </c>
      <c r="GO130" s="21">
        <f t="shared" si="81"/>
        <v>45.906892547367583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5.6843418860808015E-14</v>
      </c>
      <c r="GV130" s="17">
        <f>GU130*VLOOKUP('Données projet'!$B$18,Paramètres!$A$1:$I$89,3,0)*VLOOKUP('Données projet'!$B$18,Paramètres!$A$1:$I$89,5,0)</f>
        <v>4.5224624045658861E-14</v>
      </c>
      <c r="GW130" s="13">
        <f t="shared" si="105"/>
        <v>7.4514601661523691E-13</v>
      </c>
      <c r="GX130" s="20">
        <f t="shared" si="82"/>
        <v>1.3765621991510601E-12</v>
      </c>
      <c r="GY130" s="59">
        <f t="shared" si="83"/>
        <v>293.33333333333468</v>
      </c>
      <c r="GZ130" s="59">
        <f ca="1">AVERAGE(OFFSET($GY$3,0,0,'Données projet'!$E$18+1,1))-AVERAGE(OFFSET($H$3,0,0,'Données projet'!$E$18+1,1))</f>
        <v>198.11534486400666</v>
      </c>
      <c r="HA130" s="59">
        <f t="shared" si="106"/>
        <v>174.29856796517652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>
        <f>EXP(-LN(2)/35)*HG129+(1-EXP(-LN(2)/35))/(LN(2)/35)*HC130*HD130*VLOOKUP('Données projet'!$B$18,Paramètres!$A$1:$I$89,3,0)*0.475*44/12</f>
        <v>31.088811758347347</v>
      </c>
      <c r="HH130" s="21">
        <f>EXP(-LN(2)/25)*HH129+(1-EXP(-LN(2)/25))/(LN(2)/25)*Calculateur!HC130*Calculateur!HE130*VLOOKUP('Données projet'!$B$18,Paramètres!$A$1:$I$89,3,0)*0.475*44/12</f>
        <v>6.8634641281597686</v>
      </c>
      <c r="HI130" s="21">
        <f>EXP(-LN(2)/2)*HI129+(1-EXP(-LN(2)/2))/(LN(2)/2)*HC130*HF130*VLOOKUP('Données projet'!$B$18,Paramètres!$A$1:$I$89,3,0)*0.475*44/12</f>
        <v>1.7160170108772052E-6</v>
      </c>
      <c r="HJ130" s="22">
        <f t="shared" si="84"/>
        <v>37.952277602524127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1.1368683772161603E-13</v>
      </c>
      <c r="O131" s="13">
        <f>N131*VLOOKUP('Données projet'!$B$9,Paramètres!$A$1:$I$89,3,0)*VLOOKUP('Données projet'!$B$9,Paramètres!$A$1:$I$89,5,0)</f>
        <v>6.7984728957526396E-14</v>
      </c>
      <c r="P131" s="13">
        <f t="shared" si="87"/>
        <v>1.0682447123141398E-12</v>
      </c>
      <c r="Q131" s="20">
        <f t="shared" ref="Q131:Q153" si="108">(O131+P131)*0.475*44/12</f>
        <v>1.978932943548152E-12</v>
      </c>
      <c r="R131" s="59">
        <f t="shared" ref="R131:R194" si="109">Q131+(I131+J131)*44/12</f>
        <v>293.3333333333353</v>
      </c>
      <c r="S131" s="59">
        <f ca="1">AVERAGE(OFFSET($R$3,0,0,'Données projet'!$E$9+1,1))-AVERAGE(OFFSET($H$3,0,0,'Données projet'!$E$9+1,1))</f>
        <v>295.19075440119076</v>
      </c>
      <c r="T131" s="59">
        <f t="shared" si="88"/>
        <v>173.0182327988216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76.815329981928599</v>
      </c>
      <c r="AA131" s="21">
        <f>EXP(-LN(2)/25)*AA130+(1-EXP(-LN(2)/25))/(LN(2)/25)*Calculateur!V131*Calculateur!X131*VLOOKUP('Données projet'!$B$9,Paramètres!$A$1:$I$89,3,0)*0.475*44/12</f>
        <v>30.202875802248737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107.01820578417734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294.45857786714919</v>
      </c>
      <c r="AO131" s="59">
        <f t="shared" si="90"/>
        <v>221.9773436301067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70.90060492394592</v>
      </c>
      <c r="AV131" s="21">
        <f>EXP(-LN(2)/25)*AV130+(1-EXP(-LN(2)/25))/(LN(2)/25)*Calculateur!AQ131*Calculateur!AS131*VLOOKUP('Données projet'!$B$10,Paramètres!$A$1:$I$89,3,0)*0.475*44/12</f>
        <v>26.56932024593241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97.469925169878337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179.44051550872138</v>
      </c>
      <c r="BJ131" s="59">
        <f t="shared" si="92"/>
        <v>272.9500808380069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36.42046975214793</v>
      </c>
      <c r="BQ131" s="21">
        <f>EXP(-LN(2)/25)*BQ130+(1-EXP(-LN(2)/25))/(LN(2)/25)*Calculateur!BL131*Calculateur!BN131*VLOOKUP('Données projet'!$B$11,Paramètres!$A$1:$I$89,3,0)*0.475*44/12</f>
        <v>14.897263215380434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51.317732967528364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-1.5961632016114892E-13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259.87681411271632</v>
      </c>
      <c r="CE131" s="59">
        <f t="shared" si="94"/>
        <v>191.8684235641158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125.99661766538777</v>
      </c>
      <c r="CL131" s="21">
        <f>EXP(-LN(2)/25)*CL130+(1-EXP(-LN(2)/25))/(LN(2)/25)*Calculateur!CG131*Calculateur!CI131*VLOOKUP('Données projet'!$B$12,Paramètres!$A$1:$I$89,3,0)*0.475*44/12</f>
        <v>50.477612972832802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176.47423063822058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5.6843418860808015E-14</v>
      </c>
      <c r="CU131" s="17">
        <f>CT131*VLOOKUP('Données projet'!$B$13,Paramètres!$A$1:$I$89,3,0)*VLOOKUP('Données projet'!$B$13,Paramètres!$A$1:$I$89,5,0)</f>
        <v>4.5224624045658861E-14</v>
      </c>
      <c r="CV131" s="13">
        <f t="shared" si="95"/>
        <v>7.4514601661523691E-13</v>
      </c>
      <c r="CW131" s="20">
        <f t="shared" si="67"/>
        <v>1.3765621991510601E-12</v>
      </c>
      <c r="CX131" s="59">
        <f t="shared" si="68"/>
        <v>293.33333333333468</v>
      </c>
      <c r="CY131" s="59">
        <f ca="1">AVERAGE(OFFSET($CX$3,0,0,'Données projet'!$E$13+1,1))-AVERAGE(OFFSET($H$3,0,0,'Données projet'!$E$13+1,1))</f>
        <v>198.11534486400666</v>
      </c>
      <c r="CZ131" s="59">
        <f t="shared" si="96"/>
        <v>174.29856796517652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30.479179122068956</v>
      </c>
      <c r="DG131" s="21">
        <f>EXP(-LN(2)/25)*DG130+(1-EXP(-LN(2)/25))/(LN(2)/25)*Calculateur!DB131*Calculateur!DD131*VLOOKUP('Données projet'!$B$13,Paramètres!$A$1:$I$89,3,0)*0.475*44/12</f>
        <v>6.6757823406413479</v>
      </c>
      <c r="DH131" s="21">
        <f>EXP(-LN(2)/2)*DH130+(1-EXP(-LN(2)/2))/(LN(2)/2)*DB131*DE131*VLOOKUP('Données projet'!$B$13,Paramètres!$A$1:$I$89,3,0)*0.475*44/12</f>
        <v>1.2134072650227412E-6</v>
      </c>
      <c r="DI131" s="22">
        <f t="shared" si="69"/>
        <v>37.15496267611757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4.666666666666667</v>
      </c>
      <c r="DO131" s="12">
        <f>IF('Données projet'!$A$166&gt;35,DO130+DN131-DW130,IF(A131&lt;'Données projet'!$A$166,$DL$205^A131,IF(A131='Données projet'!$A$166,'Données projet'!$B$166,DO130+DN131-DW130)))</f>
        <v>215.33333333333323</v>
      </c>
      <c r="DP131" s="17">
        <f>DO131*VLOOKUP('Données projet'!$B$14,Paramètres!$A$1:$I$89,3,0)*VLOOKUP('Données projet'!$B$14,Paramètres!$A$1:$I$89,5,0)</f>
        <v>218.34799999999993</v>
      </c>
      <c r="DQ131" s="13">
        <f t="shared" si="97"/>
        <v>53.755674325510796</v>
      </c>
      <c r="DR131" s="20">
        <f t="shared" si="70"/>
        <v>473.91389945026441</v>
      </c>
      <c r="DS131" s="59">
        <f t="shared" si="71"/>
        <v>767.24723278359772</v>
      </c>
      <c r="DT131" s="59">
        <f ca="1">AVERAGE(OFFSET($DS$3,0,0,'Données projet'!$E$14+1,1))-AVERAGE(OFFSET($H$3,0,0,'Données projet'!$E$14+1,1))</f>
        <v>247.92503505485405</v>
      </c>
      <c r="DU131" s="59">
        <f t="shared" si="98"/>
        <v>148.26437652597514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15.999328258402539</v>
      </c>
      <c r="EB131" s="21">
        <f>EXP(-LN(2)/25)*EB130+(1-EXP(-LN(2)/25))/(LN(2)/25)*Calculateur!DW131*Calculateur!DY131*VLOOKUP('Données projet'!$B$14,Paramètres!$A$1:$I$89,3,0)*0.475*44/12</f>
        <v>26.861329532148741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42.860657790551279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4.666666666666667</v>
      </c>
      <c r="EJ131" s="12">
        <f>IF('Données projet'!$A$192&gt;35,EJ130+EI131-ER130,IF(A131&lt;'Données projet'!$A$192,$EG$205^A131,IF(A131='Données projet'!$A$192,'Données projet'!$B$192,EJ130+EI131-ER130)))</f>
        <v>215.33333333333323</v>
      </c>
      <c r="EK131" s="17">
        <f>EJ131*VLOOKUP('Données projet'!$B$15,Paramètres!$A$1:$I$89,3,0)*VLOOKUP('Données projet'!$B$15,Paramètres!$A$1:$I$89,5,0)</f>
        <v>208.27039999999991</v>
      </c>
      <c r="EL131" s="13">
        <f t="shared" si="99"/>
        <v>51.55744285021747</v>
      </c>
      <c r="EM131" s="20">
        <f t="shared" si="73"/>
        <v>452.53349296412858</v>
      </c>
      <c r="EN131" s="59">
        <f t="shared" si="74"/>
        <v>745.8668262974619</v>
      </c>
      <c r="EO131" s="59">
        <f ca="1">AVERAGE(OFFSET($EN$3,0,0,'Données projet'!$E$15+1,1))-AVERAGE(OFFSET($H$3,0,0,'Données projet'!$E$15+1,1))</f>
        <v>232.99870507181964</v>
      </c>
      <c r="EP131" s="59">
        <f t="shared" si="100"/>
        <v>140.07662669226278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15.260897723399344</v>
      </c>
      <c r="EW131" s="21">
        <f>EXP(-LN(2)/25)*EW130+(1-EXP(-LN(2)/25))/(LN(2)/25)*Calculateur!ER131*Calculateur!ET131*VLOOKUP('Données projet'!$B$15,Paramètres!$A$1:$I$89,3,0)*0.475*44/12</f>
        <v>25.621575861434181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40.882473584833527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5.6843418860808015E-14</v>
      </c>
      <c r="FF131" s="17">
        <f>FE131*VLOOKUP('Données projet'!$B$16,Paramètres!$A$1:$I$89,3,0)*VLOOKUP('Données projet'!$B$16,Paramètres!$A$1:$I$89,5,0)</f>
        <v>4.4337866711430253E-14</v>
      </c>
      <c r="FG131" s="13">
        <f t="shared" si="101"/>
        <v>7.3222115536967035E-13</v>
      </c>
      <c r="FH131" s="20">
        <f t="shared" si="76"/>
        <v>1.3525069634579169E-12</v>
      </c>
      <c r="FI131" s="59">
        <f t="shared" si="77"/>
        <v>293.33333333333468</v>
      </c>
      <c r="FJ131" s="59">
        <f ca="1">AVERAGE(OFFSET($FI$3,0,0,'Données projet'!$E$16+1,1))-AVERAGE(OFFSET($H$3,0,0,'Données projet'!$E$16+1,1))</f>
        <v>193.47609744163839</v>
      </c>
      <c r="FK131" s="59">
        <f t="shared" si="102"/>
        <v>170.3221892406973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24.243520204383373</v>
      </c>
      <c r="FR131" s="21">
        <f>EXP(-LN(2)/25)*FR130+(1-EXP(-LN(2)/25))/(LN(2)/25)*Calculateur!FM131*Calculateur!FO131*VLOOKUP('Données projet'!$B$16,Paramètres!$A$1:$I$89,3,0)*0.475*44/12</f>
        <v>5.3100007518974763</v>
      </c>
      <c r="FS131" s="21">
        <f>EXP(-LN(2)/2)*FS130+(1-EXP(-LN(2)/2))/(LN(2)/2)*FM131*FP131*VLOOKUP('Données projet'!$B$16,Paramètres!$A$1:$I$89,3,0)*0.475*44/12</f>
        <v>1.1896149657085716E-6</v>
      </c>
      <c r="FT131" s="22">
        <f t="shared" si="78"/>
        <v>29.553522145895815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>
        <f>FZ131*VLOOKUP('Données projet'!$B$17,Paramètres!$A$1:$I$89,3,0)*VLOOKUP('Données projet'!$B$17,Paramètres!$A$1:$I$89,5,0)</f>
        <v>0</v>
      </c>
      <c r="GB131" s="13" t="e">
        <f t="shared" si="103"/>
        <v>#NUM!</v>
      </c>
      <c r="GC131" s="20" t="e">
        <f t="shared" si="79"/>
        <v>#NUM!</v>
      </c>
      <c r="GD131" s="59" t="e">
        <f t="shared" si="80"/>
        <v>#NUM!</v>
      </c>
      <c r="GE131" s="59">
        <f ca="1">AVERAGE(OFFSET($GD$3,0,0,'Données projet'!$E$17+1,1))-AVERAGE(OFFSET($H$3,0,0,'Données projet'!$E$17+1,1))</f>
        <v>153.43773674911449</v>
      </c>
      <c r="GF131" s="59">
        <f t="shared" si="104"/>
        <v>235.49395036616602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31.867911033129406</v>
      </c>
      <c r="GM131" s="21">
        <f>EXP(-LN(2)/25)*GM130+(1-EXP(-LN(2)/25))/(LN(2)/25)*Calculateur!GH131*Calculateur!GJ131*VLOOKUP('Données projet'!$B$17,Paramètres!$A$1:$I$89,3,0)*0.475*44/12</f>
        <v>13.035105313457871</v>
      </c>
      <c r="GN131" s="21">
        <f>EXP(-LN(2)/2)*GN130+(1-EXP(-LN(2)/2))/(LN(2)/2)*GH131*GK131*VLOOKUP('Données projet'!$B$17,Paramètres!$A$1:$I$89,3,0)*0.475*44/12</f>
        <v>0</v>
      </c>
      <c r="GO131" s="21">
        <f t="shared" si="81"/>
        <v>44.903016346587279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5.6843418860808015E-14</v>
      </c>
      <c r="GV131" s="17">
        <f>GU131*VLOOKUP('Données projet'!$B$18,Paramètres!$A$1:$I$89,3,0)*VLOOKUP('Données projet'!$B$18,Paramètres!$A$1:$I$89,5,0)</f>
        <v>4.5224624045658861E-14</v>
      </c>
      <c r="GW131" s="13">
        <f t="shared" si="105"/>
        <v>7.4514601661523691E-13</v>
      </c>
      <c r="GX131" s="20">
        <f t="shared" si="82"/>
        <v>1.3765621991510601E-12</v>
      </c>
      <c r="GY131" s="59">
        <f t="shared" si="83"/>
        <v>293.33333333333468</v>
      </c>
      <c r="GZ131" s="59">
        <f ca="1">AVERAGE(OFFSET($GY$3,0,0,'Données projet'!$E$18+1,1))-AVERAGE(OFFSET($H$3,0,0,'Données projet'!$E$18+1,1))</f>
        <v>198.11534486400666</v>
      </c>
      <c r="HA131" s="59">
        <f t="shared" si="106"/>
        <v>174.29856796517652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>
        <f>EXP(-LN(2)/35)*HG130+(1-EXP(-LN(2)/35))/(LN(2)/35)*HC131*HD131*VLOOKUP('Données projet'!$B$18,Paramètres!$A$1:$I$89,3,0)*0.475*44/12</f>
        <v>30.479179122068956</v>
      </c>
      <c r="HH131" s="21">
        <f>EXP(-LN(2)/25)*HH130+(1-EXP(-LN(2)/25))/(LN(2)/25)*Calculateur!HC131*Calculateur!HE131*VLOOKUP('Données projet'!$B$18,Paramètres!$A$1:$I$89,3,0)*0.475*44/12</f>
        <v>6.6757823406413479</v>
      </c>
      <c r="HI131" s="21">
        <f>EXP(-LN(2)/2)*HI130+(1-EXP(-LN(2)/2))/(LN(2)/2)*HC131*HF131*VLOOKUP('Données projet'!$B$18,Paramètres!$A$1:$I$89,3,0)*0.475*44/12</f>
        <v>1.2134072650227412E-6</v>
      </c>
      <c r="HJ131" s="22">
        <f t="shared" si="84"/>
        <v>37.15496267611757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1.1368683772161603E-13</v>
      </c>
      <c r="O132" s="13">
        <f>N132*VLOOKUP('Données projet'!$B$9,Paramètres!$A$1:$I$89,3,0)*VLOOKUP('Données projet'!$B$9,Paramètres!$A$1:$I$89,5,0)</f>
        <v>6.7984728957526396E-14</v>
      </c>
      <c r="P132" s="13">
        <f t="shared" si="87"/>
        <v>1.0682447123141398E-12</v>
      </c>
      <c r="Q132" s="20">
        <f t="shared" si="108"/>
        <v>1.978932943548152E-12</v>
      </c>
      <c r="R132" s="59">
        <f t="shared" si="109"/>
        <v>293.3333333333353</v>
      </c>
      <c r="S132" s="59">
        <f ca="1">AVERAGE(OFFSET($R$3,0,0,'Données projet'!$E$9+1,1))-AVERAGE(OFFSET($H$3,0,0,'Données projet'!$E$9+1,1))</f>
        <v>295.19075440119076</v>
      </c>
      <c r="T132" s="59">
        <f t="shared" si="88"/>
        <v>173.0182327988216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75.309028213707947</v>
      </c>
      <c r="AA132" s="21">
        <f>EXP(-LN(2)/25)*AA131+(1-EXP(-LN(2)/25))/(LN(2)/25)*Calculateur!V132*Calculateur!X132*VLOOKUP('Données projet'!$B$9,Paramètres!$A$1:$I$89,3,0)*0.475*44/12</f>
        <v>29.376976575136037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104.68600478884399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294.45857786714919</v>
      </c>
      <c r="AO132" s="59">
        <f t="shared" si="90"/>
        <v>221.9773436301067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69.510287306486248</v>
      </c>
      <c r="AV132" s="21">
        <f>EXP(-LN(2)/25)*AV131+(1-EXP(-LN(2)/25))/(LN(2)/25)*Calculateur!AQ132*Calculateur!AS132*VLOOKUP('Données projet'!$B$10,Paramètres!$A$1:$I$89,3,0)*0.475*44/12</f>
        <v>25.842780786587561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95.353068093073801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179.44051550872138</v>
      </c>
      <c r="BJ132" s="59">
        <f t="shared" si="92"/>
        <v>272.9500808380069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35.706286554601377</v>
      </c>
      <c r="BQ132" s="21">
        <f>EXP(-LN(2)/25)*BQ131+(1-EXP(-LN(2)/25))/(LN(2)/25)*Calculateur!BL132*Calculateur!BN132*VLOOKUP('Données projet'!$B$11,Paramètres!$A$1:$I$89,3,0)*0.475*44/12</f>
        <v>14.489896769342831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50.196183323944211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-1.5961632016114892E-13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259.87681411271632</v>
      </c>
      <c r="CE132" s="59">
        <f t="shared" si="94"/>
        <v>191.8684235641158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123.52590084331796</v>
      </c>
      <c r="CL132" s="21">
        <f>EXP(-LN(2)/25)*CL131+(1-EXP(-LN(2)/25))/(LN(2)/25)*Calculateur!CG132*Calculateur!CI132*VLOOKUP('Données projet'!$B$12,Paramètres!$A$1:$I$89,3,0)*0.475*44/12</f>
        <v>49.097299991588393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172.62320083490636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5.6843418860808015E-14</v>
      </c>
      <c r="CU132" s="17">
        <f>CT132*VLOOKUP('Données projet'!$B$13,Paramètres!$A$1:$I$89,3,0)*VLOOKUP('Données projet'!$B$13,Paramètres!$A$1:$I$89,5,0)</f>
        <v>4.5224624045658861E-14</v>
      </c>
      <c r="CV132" s="13">
        <f t="shared" si="95"/>
        <v>7.4514601661523691E-13</v>
      </c>
      <c r="CW132" s="20">
        <f t="shared" ref="CW132:CW153" si="121">(CU132+CV132)*0.475*44/12</f>
        <v>1.3765621991510601E-12</v>
      </c>
      <c r="CX132" s="59">
        <f t="shared" ref="CX132:CX195" si="122">CW132+(CO132+CP132)*44/12</f>
        <v>293.33333333333468</v>
      </c>
      <c r="CY132" s="59">
        <f ca="1">AVERAGE(OFFSET($CX$3,0,0,'Données projet'!$E$13+1,1))-AVERAGE(OFFSET($H$3,0,0,'Données projet'!$E$13+1,1))</f>
        <v>198.11534486400666</v>
      </c>
      <c r="CZ132" s="59">
        <f t="shared" si="96"/>
        <v>174.29856796517652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29.881501009948792</v>
      </c>
      <c r="DG132" s="21">
        <f>EXP(-LN(2)/25)*DG131+(1-EXP(-LN(2)/25))/(LN(2)/25)*Calculateur!DB132*Calculateur!DD132*VLOOKUP('Données projet'!$B$13,Paramètres!$A$1:$I$89,3,0)*0.475*44/12</f>
        <v>6.4932327214723751</v>
      </c>
      <c r="DH132" s="21">
        <f>EXP(-LN(2)/2)*DH131+(1-EXP(-LN(2)/2))/(LN(2)/2)*DB132*DE132*VLOOKUP('Données projet'!$B$13,Paramètres!$A$1:$I$89,3,0)*0.475*44/12</f>
        <v>8.5800850543860258E-7</v>
      </c>
      <c r="DI132" s="22">
        <f t="shared" ref="DI132:DI153" si="123">SUM(DF132:DH132)</f>
        <v>36.374734589429671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4.666666666666667</v>
      </c>
      <c r="DO132" s="12">
        <f>IF('Données projet'!$A$166&gt;35,DO131+DN132-DW131,IF(A132&lt;'Données projet'!$A$166,$DL$205^A132,IF(A132='Données projet'!$A$166,'Données projet'!$B$166,DO131+DN132-DW131)))</f>
        <v>219.99999999999989</v>
      </c>
      <c r="DP132" s="17">
        <f>DO132*VLOOKUP('Données projet'!$B$14,Paramètres!$A$1:$I$89,3,0)*VLOOKUP('Données projet'!$B$14,Paramètres!$A$1:$I$89,5,0)</f>
        <v>223.07999999999993</v>
      </c>
      <c r="DQ132" s="13">
        <f t="shared" si="97"/>
        <v>54.783765878062617</v>
      </c>
      <c r="DR132" s="20">
        <f t="shared" ref="DR132:DR153" si="124">(DP132+DQ132)*0.475*44/12</f>
        <v>483.94605890429222</v>
      </c>
      <c r="DS132" s="59">
        <f t="shared" ref="DS132:DS195" si="125">DR132+(DJ132+DK132)*44/12</f>
        <v>777.27939223762553</v>
      </c>
      <c r="DT132" s="59">
        <f ca="1">AVERAGE(OFFSET($DS$3,0,0,'Données projet'!$E$14+1,1))-AVERAGE(OFFSET($H$3,0,0,'Données projet'!$E$14+1,1))</f>
        <v>247.92503505485405</v>
      </c>
      <c r="DU132" s="59">
        <f t="shared" si="98"/>
        <v>148.26437652597514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15.685591189881919</v>
      </c>
      <c r="EB132" s="21">
        <f>EXP(-LN(2)/25)*EB131+(1-EXP(-LN(2)/25))/(LN(2)/25)*Calculateur!DW132*Calculateur!DY132*VLOOKUP('Données projet'!$B$14,Paramètres!$A$1:$I$89,3,0)*0.475*44/12</f>
        <v>26.126805063516205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41.81239625339812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4.666666666666667</v>
      </c>
      <c r="EJ132" s="12">
        <f>IF('Données projet'!$A$192&gt;35,EJ131+EI132-ER131,IF(A132&lt;'Données projet'!$A$192,$EG$205^A132,IF(A132='Données projet'!$A$192,'Données projet'!$B$192,EJ131+EI132-ER131)))</f>
        <v>219.99999999999989</v>
      </c>
      <c r="EK132" s="17">
        <f>EJ132*VLOOKUP('Données projet'!$B$15,Paramètres!$A$1:$I$89,3,0)*VLOOKUP('Données projet'!$B$15,Paramètres!$A$1:$I$89,5,0)</f>
        <v>212.78399999999988</v>
      </c>
      <c r="EL132" s="13">
        <f t="shared" si="99"/>
        <v>52.543492641808065</v>
      </c>
      <c r="EM132" s="20">
        <f t="shared" ref="EM132:EM153" si="127">(EK132+EL132)*0.475*44/12</f>
        <v>462.11204968448214</v>
      </c>
      <c r="EN132" s="59">
        <f t="shared" ref="EN132:EN195" si="128">EM132+(EE132+EF132)*44/12</f>
        <v>755.4453830178154</v>
      </c>
      <c r="EO132" s="59">
        <f ca="1">AVERAGE(OFFSET($EN$3,0,0,'Données projet'!$E$15+1,1))-AVERAGE(OFFSET($H$3,0,0,'Données projet'!$E$15+1,1))</f>
        <v>232.99870507181964</v>
      </c>
      <c r="EP132" s="59">
        <f t="shared" si="100"/>
        <v>140.07662669226278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14.961640827271983</v>
      </c>
      <c r="EW132" s="21">
        <f>EXP(-LN(2)/25)*EW131+(1-EXP(-LN(2)/25))/(LN(2)/25)*Calculateur!ER132*Calculateur!ET132*VLOOKUP('Données projet'!$B$15,Paramètres!$A$1:$I$89,3,0)*0.475*44/12</f>
        <v>24.920952522123148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39.88259334939513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5.6843418860808015E-14</v>
      </c>
      <c r="FF132" s="17">
        <f>FE132*VLOOKUP('Données projet'!$B$16,Paramètres!$A$1:$I$89,3,0)*VLOOKUP('Données projet'!$B$16,Paramètres!$A$1:$I$89,5,0)</f>
        <v>4.4337866711430253E-14</v>
      </c>
      <c r="FG132" s="13">
        <f t="shared" si="101"/>
        <v>7.3222115536967035E-13</v>
      </c>
      <c r="FH132" s="20">
        <f t="shared" ref="FH132:FH153" si="130">(FF132+FG132)*0.475*44/12</f>
        <v>1.3525069634579169E-12</v>
      </c>
      <c r="FI132" s="59">
        <f t="shared" ref="FI132:FI195" si="131">FH132+(EZ132+FA132)*44/12</f>
        <v>293.33333333333468</v>
      </c>
      <c r="FJ132" s="59">
        <f ca="1">AVERAGE(OFFSET($FI$3,0,0,'Données projet'!$E$16+1,1))-AVERAGE(OFFSET($H$3,0,0,'Données projet'!$E$16+1,1))</f>
        <v>193.47609744163839</v>
      </c>
      <c r="FK132" s="59">
        <f t="shared" si="102"/>
        <v>170.3221892406973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23.768119560262637</v>
      </c>
      <c r="FR132" s="21">
        <f>EXP(-LN(2)/25)*FR131+(1-EXP(-LN(2)/25))/(LN(2)/25)*Calculateur!FM132*Calculateur!FO132*VLOOKUP('Données projet'!$B$16,Paramètres!$A$1:$I$89,3,0)*0.475*44/12</f>
        <v>5.1647985020960361</v>
      </c>
      <c r="FS132" s="21">
        <f>EXP(-LN(2)/2)*FS131+(1-EXP(-LN(2)/2))/(LN(2)/2)*FM132*FP132*VLOOKUP('Données projet'!$B$16,Paramètres!$A$1:$I$89,3,0)*0.475*44/12</f>
        <v>8.4118480925353321E-7</v>
      </c>
      <c r="FT132" s="22">
        <f t="shared" ref="FT132:FT153" si="132">SUM(FQ132:FS132)</f>
        <v>28.932918903543484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>
        <f>FZ132*VLOOKUP('Données projet'!$B$17,Paramètres!$A$1:$I$89,3,0)*VLOOKUP('Données projet'!$B$17,Paramètres!$A$1:$I$89,5,0)</f>
        <v>0</v>
      </c>
      <c r="GB132" s="13" t="e">
        <f t="shared" si="103"/>
        <v>#NUM!</v>
      </c>
      <c r="GC132" s="20" t="e">
        <f t="shared" ref="GC132:GC153" si="133">(GA132+GB132)*0.475*44/12</f>
        <v>#NUM!</v>
      </c>
      <c r="GD132" s="59" t="e">
        <f t="shared" ref="GD132:GD195" si="134">GC132+(FU132+FV132)*44/12</f>
        <v>#NUM!</v>
      </c>
      <c r="GE132" s="59">
        <f ca="1">AVERAGE(OFFSET($GD$3,0,0,'Données projet'!$E$17+1,1))-AVERAGE(OFFSET($H$3,0,0,'Données projet'!$E$17+1,1))</f>
        <v>153.43773674911449</v>
      </c>
      <c r="GF132" s="59">
        <f t="shared" si="104"/>
        <v>235.49395036616602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31.243000735276173</v>
      </c>
      <c r="GM132" s="21">
        <f>EXP(-LN(2)/25)*GM131+(1-EXP(-LN(2)/25))/(LN(2)/25)*Calculateur!GH132*Calculateur!GJ132*VLOOKUP('Données projet'!$B$17,Paramètres!$A$1:$I$89,3,0)*0.475*44/12</f>
        <v>12.67865967317497</v>
      </c>
      <c r="GN132" s="21">
        <f>EXP(-LN(2)/2)*GN131+(1-EXP(-LN(2)/2))/(LN(2)/2)*GH132*GK132*VLOOKUP('Données projet'!$B$17,Paramètres!$A$1:$I$89,3,0)*0.475*44/12</f>
        <v>0</v>
      </c>
      <c r="GO132" s="21">
        <f t="shared" ref="GO132:GO153" si="135">SUM(GL132:GN132)</f>
        <v>43.921660408451146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5.6843418860808015E-14</v>
      </c>
      <c r="GV132" s="17">
        <f>GU132*VLOOKUP('Données projet'!$B$18,Paramètres!$A$1:$I$89,3,0)*VLOOKUP('Données projet'!$B$18,Paramètres!$A$1:$I$89,5,0)</f>
        <v>4.5224624045658861E-14</v>
      </c>
      <c r="GW132" s="13">
        <f t="shared" si="105"/>
        <v>7.4514601661523691E-13</v>
      </c>
      <c r="GX132" s="20">
        <f t="shared" ref="GX132:GX153" si="136">(GV132+GW132)*0.475*44/12</f>
        <v>1.3765621991510601E-12</v>
      </c>
      <c r="GY132" s="59">
        <f t="shared" ref="GY132:GY195" si="137">GX132+(GP132+GQ132)*44/12</f>
        <v>293.33333333333468</v>
      </c>
      <c r="GZ132" s="59">
        <f ca="1">AVERAGE(OFFSET($GY$3,0,0,'Données projet'!$E$18+1,1))-AVERAGE(OFFSET($H$3,0,0,'Données projet'!$E$18+1,1))</f>
        <v>198.11534486400666</v>
      </c>
      <c r="HA132" s="59">
        <f t="shared" si="106"/>
        <v>174.29856796517652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>
        <f>EXP(-LN(2)/35)*HG131+(1-EXP(-LN(2)/35))/(LN(2)/35)*HC132*HD132*VLOOKUP('Données projet'!$B$18,Paramètres!$A$1:$I$89,3,0)*0.475*44/12</f>
        <v>29.881501009948792</v>
      </c>
      <c r="HH132" s="21">
        <f>EXP(-LN(2)/25)*HH131+(1-EXP(-LN(2)/25))/(LN(2)/25)*Calculateur!HC132*Calculateur!HE132*VLOOKUP('Données projet'!$B$18,Paramètres!$A$1:$I$89,3,0)*0.475*44/12</f>
        <v>6.4932327214723751</v>
      </c>
      <c r="HI132" s="21">
        <f>EXP(-LN(2)/2)*HI131+(1-EXP(-LN(2)/2))/(LN(2)/2)*HC132*HF132*VLOOKUP('Données projet'!$B$18,Paramètres!$A$1:$I$89,3,0)*0.475*44/12</f>
        <v>8.5800850543860258E-7</v>
      </c>
      <c r="HJ132" s="22">
        <f t="shared" ref="HJ132:HJ153" si="138">SUM(HG132:HI132)</f>
        <v>36.374734589429671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1.1368683772161603E-13</v>
      </c>
      <c r="O133" s="13">
        <f>N133*VLOOKUP('Données projet'!$B$9,Paramètres!$A$1:$I$89,3,0)*VLOOKUP('Données projet'!$B$9,Paramètres!$A$1:$I$89,5,0)</f>
        <v>6.7984728957526396E-14</v>
      </c>
      <c r="P133" s="13">
        <f t="shared" ref="P133:P196" si="141">EXP(-1.0587+0.8836*LN(O133)+0.284)</f>
        <v>1.0682447123141398E-12</v>
      </c>
      <c r="Q133" s="20">
        <f t="shared" si="108"/>
        <v>1.978932943548152E-12</v>
      </c>
      <c r="R133" s="59">
        <f t="shared" si="109"/>
        <v>293.3333333333353</v>
      </c>
      <c r="S133" s="59">
        <f ca="1">AVERAGE(OFFSET($R$3,0,0,'Données projet'!$E$9+1,1))-AVERAGE(OFFSET($H$3,0,0,'Données projet'!$E$9+1,1))</f>
        <v>295.19075440119076</v>
      </c>
      <c r="T133" s="59">
        <f t="shared" ref="T133:T196" si="142">$T$3</f>
        <v>173.0182327988216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73.832264104408736</v>
      </c>
      <c r="AA133" s="21">
        <f>EXP(-LN(2)/25)*AA132+(1-EXP(-LN(2)/25))/(LN(2)/25)*Calculateur!V133*Calculateur!X133*VLOOKUP('Données projet'!$B$9,Paramètres!$A$1:$I$89,3,0)*0.475*44/12</f>
        <v>28.573661605820888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102.40592571022962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294.45857786714919</v>
      </c>
      <c r="AO133" s="59">
        <f t="shared" ref="AO133:AO196" si="144">$AO$3</f>
        <v>221.9773436301067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68.147232969494951</v>
      </c>
      <c r="AV133" s="21">
        <f>EXP(-LN(2)/25)*AV132+(1-EXP(-LN(2)/25))/(LN(2)/25)*Calculateur!AQ133*Calculateur!AS133*VLOOKUP('Données projet'!$B$10,Paramètres!$A$1:$I$89,3,0)*0.475*44/12</f>
        <v>25.136108586965548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93.283341556460499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179.44051550872138</v>
      </c>
      <c r="BJ133" s="59">
        <f t="shared" ref="BJ133:BJ196" si="146">$BJ$3</f>
        <v>272.9500808380069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35.006108053949973</v>
      </c>
      <c r="BQ133" s="21">
        <f>EXP(-LN(2)/25)*BQ132+(1-EXP(-LN(2)/25))/(LN(2)/25)*Calculateur!BL133*Calculateur!BN133*VLOOKUP('Données projet'!$B$11,Paramètres!$A$1:$I$89,3,0)*0.475*44/12</f>
        <v>14.093669780194597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49.099777834144568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-1.5961632016114892E-13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259.87681411271632</v>
      </c>
      <c r="CE133" s="59">
        <f t="shared" ref="CE133:CE196" si="148">$CE$3</f>
        <v>191.8684235641158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121.10363327114047</v>
      </c>
      <c r="CL133" s="21">
        <f>EXP(-LN(2)/25)*CL132+(1-EXP(-LN(2)/25))/(LN(2)/25)*Calculateur!CG133*Calculateur!CI133*VLOOKUP('Données projet'!$B$12,Paramètres!$A$1:$I$89,3,0)*0.475*44/12</f>
        <v>47.754731741403617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168.85836501254408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5.6843418860808015E-14</v>
      </c>
      <c r="CU133" s="17">
        <f>CT133*VLOOKUP('Données projet'!$B$13,Paramètres!$A$1:$I$89,3,0)*VLOOKUP('Données projet'!$B$13,Paramètres!$A$1:$I$89,5,0)</f>
        <v>4.5224624045658861E-14</v>
      </c>
      <c r="CV133" s="13">
        <f t="shared" ref="CV133:CV153" si="149">EXP(-1.0587+0.8836*LN(CU133)+0.284)</f>
        <v>7.4514601661523691E-13</v>
      </c>
      <c r="CW133" s="20">
        <f t="shared" si="121"/>
        <v>1.3765621991510601E-12</v>
      </c>
      <c r="CX133" s="59">
        <f t="shared" si="122"/>
        <v>293.33333333333468</v>
      </c>
      <c r="CY133" s="59">
        <f ca="1">AVERAGE(OFFSET($CX$3,0,0,'Données projet'!$E$13+1,1))-AVERAGE(OFFSET($H$3,0,0,'Données projet'!$E$13+1,1))</f>
        <v>198.11534486400666</v>
      </c>
      <c r="CZ133" s="59">
        <f t="shared" ref="CZ133:CZ196" si="150">$CZ$3</f>
        <v>174.29856796517652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29.295543001059652</v>
      </c>
      <c r="DG133" s="21">
        <f>EXP(-LN(2)/25)*DG132+(1-EXP(-LN(2)/25))/(LN(2)/25)*Calculateur!DB133*Calculateur!DD133*VLOOKUP('Données projet'!$B$13,Paramètres!$A$1:$I$89,3,0)*0.475*44/12</f>
        <v>6.3156749312394442</v>
      </c>
      <c r="DH133" s="21">
        <f>EXP(-LN(2)/2)*DH132+(1-EXP(-LN(2)/2))/(LN(2)/2)*DB133*DE133*VLOOKUP('Données projet'!$B$13,Paramètres!$A$1:$I$89,3,0)*0.475*44/12</f>
        <v>6.0670363251137062E-7</v>
      </c>
      <c r="DI133" s="22">
        <f t="shared" si="123"/>
        <v>35.611218539002728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4.666666666666667</v>
      </c>
      <c r="DO133" s="12">
        <f>IF('Données projet'!$A$166&gt;35,DO132+DN133-DW132,IF(A133&lt;'Données projet'!$A$166,$DL$205^A133,IF(A133='Données projet'!$A$166,'Données projet'!$B$166,DO132+DN133-DW132)))</f>
        <v>224.66666666666654</v>
      </c>
      <c r="DP133" s="17">
        <f>DO133*VLOOKUP('Données projet'!$B$14,Paramètres!$A$1:$I$89,3,0)*VLOOKUP('Données projet'!$B$14,Paramètres!$A$1:$I$89,5,0)</f>
        <v>227.81199999999987</v>
      </c>
      <c r="DQ133" s="13">
        <f t="shared" ref="DQ133:DQ153" si="151">EXP(-1.0587+0.8836*LN(DP133)+0.284)</f>
        <v>55.809321909379719</v>
      </c>
      <c r="DR133" s="20">
        <f t="shared" si="124"/>
        <v>493.97380232550273</v>
      </c>
      <c r="DS133" s="59">
        <f t="shared" si="125"/>
        <v>787.30713565883605</v>
      </c>
      <c r="DT133" s="59">
        <f ca="1">AVERAGE(OFFSET($DS$3,0,0,'Données projet'!$E$14+1,1))-AVERAGE(OFFSET($H$3,0,0,'Données projet'!$E$14+1,1))</f>
        <v>247.92503505485405</v>
      </c>
      <c r="DU133" s="59">
        <f t="shared" ref="DU133:DU196" si="152">$DU$3</f>
        <v>148.26437652597514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15.378006313914272</v>
      </c>
      <c r="EB133" s="21">
        <f>EXP(-LN(2)/25)*EB132+(1-EXP(-LN(2)/25))/(LN(2)/25)*Calculateur!DW133*Calculateur!DY133*VLOOKUP('Données projet'!$B$14,Paramètres!$A$1:$I$89,3,0)*0.475*44/12</f>
        <v>25.412366205105389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40.790372519019662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4.666666666666667</v>
      </c>
      <c r="EJ133" s="12">
        <f>IF('Données projet'!$A$192&gt;35,EJ132+EI133-ER132,IF(A133&lt;'Données projet'!$A$192,$EG$205^A133,IF(A133='Données projet'!$A$192,'Données projet'!$B$192,EJ132+EI133-ER132)))</f>
        <v>224.66666666666654</v>
      </c>
      <c r="EK133" s="17">
        <f>EJ133*VLOOKUP('Données projet'!$B$15,Paramètres!$A$1:$I$89,3,0)*VLOOKUP('Données projet'!$B$15,Paramètres!$A$1:$I$89,5,0)</f>
        <v>217.2975999999999</v>
      </c>
      <c r="EL133" s="13">
        <f t="shared" ref="EL133:EL153" si="153">EXP(-1.0587+0.8836*LN(EK133)+0.284)</f>
        <v>53.527110597266109</v>
      </c>
      <c r="EM133" s="20">
        <f t="shared" si="127"/>
        <v>471.68637095690497</v>
      </c>
      <c r="EN133" s="59">
        <f t="shared" si="128"/>
        <v>765.01970429023822</v>
      </c>
      <c r="EO133" s="59">
        <f ca="1">AVERAGE(OFFSET($EN$3,0,0,'Données projet'!$E$15+1,1))-AVERAGE(OFFSET($H$3,0,0,'Données projet'!$E$15+1,1))</f>
        <v>232.99870507181964</v>
      </c>
      <c r="EP133" s="59">
        <f t="shared" ref="EP133:EP196" si="154">$EP$3</f>
        <v>140.07662669226278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14.668252176348997</v>
      </c>
      <c r="EW133" s="21">
        <f>EXP(-LN(2)/25)*EW132+(1-EXP(-LN(2)/25))/(LN(2)/25)*Calculateur!ER133*Calculateur!ET133*VLOOKUP('Données projet'!$B$15,Paramètres!$A$1:$I$89,3,0)*0.475*44/12</f>
        <v>24.239487764869754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38.90773994121875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5.6843418860808015E-14</v>
      </c>
      <c r="FF133" s="17">
        <f>FE133*VLOOKUP('Données projet'!$B$16,Paramètres!$A$1:$I$89,3,0)*VLOOKUP('Données projet'!$B$16,Paramètres!$A$1:$I$89,5,0)</f>
        <v>4.4337866711430253E-14</v>
      </c>
      <c r="FG133" s="13">
        <f t="shared" ref="FG133:FG153" si="155">EXP(-1.0587+0.8836*LN(FF133)+0.284)</f>
        <v>7.3222115536967035E-13</v>
      </c>
      <c r="FH133" s="20">
        <f t="shared" si="130"/>
        <v>1.3525069634579169E-12</v>
      </c>
      <c r="FI133" s="59">
        <f t="shared" si="131"/>
        <v>293.33333333333468</v>
      </c>
      <c r="FJ133" s="59">
        <f ca="1">AVERAGE(OFFSET($FI$3,0,0,'Données projet'!$E$16+1,1))-AVERAGE(OFFSET($H$3,0,0,'Données projet'!$E$16+1,1))</f>
        <v>193.47609744163839</v>
      </c>
      <c r="FK133" s="59">
        <f t="shared" ref="FK133:FK196" si="156">$FK$3</f>
        <v>170.3221892406973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23.302041232807348</v>
      </c>
      <c r="FR133" s="21">
        <f>EXP(-LN(2)/25)*FR132+(1-EXP(-LN(2)/25))/(LN(2)/25)*Calculateur!FM133*Calculateur!FO133*VLOOKUP('Données projet'!$B$16,Paramètres!$A$1:$I$89,3,0)*0.475*44/12</f>
        <v>5.0235668154512707</v>
      </c>
      <c r="FS133" s="21">
        <f>EXP(-LN(2)/2)*FS132+(1-EXP(-LN(2)/2))/(LN(2)/2)*FM133*FP133*VLOOKUP('Données projet'!$B$16,Paramètres!$A$1:$I$89,3,0)*0.475*44/12</f>
        <v>5.9480748285428581E-7</v>
      </c>
      <c r="FT133" s="22">
        <f t="shared" si="132"/>
        <v>28.325608643066101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>
        <f>FZ133*VLOOKUP('Données projet'!$B$17,Paramètres!$A$1:$I$89,3,0)*VLOOKUP('Données projet'!$B$17,Paramètres!$A$1:$I$89,5,0)</f>
        <v>0</v>
      </c>
      <c r="GB133" s="13" t="e">
        <f t="shared" ref="GB133:GB153" si="157">EXP(-1.0587+0.8836*LN(GA133)+0.284)</f>
        <v>#NUM!</v>
      </c>
      <c r="GC133" s="20" t="e">
        <f t="shared" si="133"/>
        <v>#NUM!</v>
      </c>
      <c r="GD133" s="59" t="e">
        <f t="shared" si="134"/>
        <v>#NUM!</v>
      </c>
      <c r="GE133" s="59">
        <f ca="1">AVERAGE(OFFSET($GD$3,0,0,'Données projet'!$E$17+1,1))-AVERAGE(OFFSET($H$3,0,0,'Données projet'!$E$17+1,1))</f>
        <v>153.43773674911449</v>
      </c>
      <c r="GF133" s="59">
        <f t="shared" ref="GF133:GF196" si="158">$GF$3</f>
        <v>235.49395036616602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30.630344547206196</v>
      </c>
      <c r="GM133" s="21">
        <f>EXP(-LN(2)/25)*GM132+(1-EXP(-LN(2)/25))/(LN(2)/25)*Calculateur!GH133*Calculateur!GJ133*VLOOKUP('Données projet'!$B$17,Paramètres!$A$1:$I$89,3,0)*0.475*44/12</f>
        <v>12.331961057670265</v>
      </c>
      <c r="GN133" s="21">
        <f>EXP(-LN(2)/2)*GN132+(1-EXP(-LN(2)/2))/(LN(2)/2)*GH133*GK133*VLOOKUP('Données projet'!$B$17,Paramètres!$A$1:$I$89,3,0)*0.475*44/12</f>
        <v>0</v>
      </c>
      <c r="GO133" s="21">
        <f t="shared" si="135"/>
        <v>42.962305604876462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5.6843418860808015E-14</v>
      </c>
      <c r="GV133" s="17">
        <f>GU133*VLOOKUP('Données projet'!$B$18,Paramètres!$A$1:$I$89,3,0)*VLOOKUP('Données projet'!$B$18,Paramètres!$A$1:$I$89,5,0)</f>
        <v>4.5224624045658861E-14</v>
      </c>
      <c r="GW133" s="13">
        <f t="shared" ref="GW133:GW153" si="159">EXP(-1.0587+0.8836*LN(GV133)+0.284)</f>
        <v>7.4514601661523691E-13</v>
      </c>
      <c r="GX133" s="20">
        <f t="shared" si="136"/>
        <v>1.3765621991510601E-12</v>
      </c>
      <c r="GY133" s="59">
        <f t="shared" si="137"/>
        <v>293.33333333333468</v>
      </c>
      <c r="GZ133" s="59">
        <f ca="1">AVERAGE(OFFSET($GY$3,0,0,'Données projet'!$E$18+1,1))-AVERAGE(OFFSET($H$3,0,0,'Données projet'!$E$18+1,1))</f>
        <v>198.11534486400666</v>
      </c>
      <c r="HA133" s="59">
        <f t="shared" ref="HA133:HA196" si="160">$HA$3</f>
        <v>174.29856796517652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>
        <f>EXP(-LN(2)/35)*HG132+(1-EXP(-LN(2)/35))/(LN(2)/35)*HC133*HD133*VLOOKUP('Données projet'!$B$18,Paramètres!$A$1:$I$89,3,0)*0.475*44/12</f>
        <v>29.295543001059652</v>
      </c>
      <c r="HH133" s="21">
        <f>EXP(-LN(2)/25)*HH132+(1-EXP(-LN(2)/25))/(LN(2)/25)*Calculateur!HC133*Calculateur!HE133*VLOOKUP('Données projet'!$B$18,Paramètres!$A$1:$I$89,3,0)*0.475*44/12</f>
        <v>6.3156749312394442</v>
      </c>
      <c r="HI133" s="21">
        <f>EXP(-LN(2)/2)*HI132+(1-EXP(-LN(2)/2))/(LN(2)/2)*HC133*HF133*VLOOKUP('Données projet'!$B$18,Paramètres!$A$1:$I$89,3,0)*0.475*44/12</f>
        <v>6.0670363251137062E-7</v>
      </c>
      <c r="HJ133" s="22">
        <f t="shared" si="138"/>
        <v>35.611218539002728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1.1368683772161603E-13</v>
      </c>
      <c r="O134" s="13">
        <f>N134*VLOOKUP('Données projet'!$B$9,Paramètres!$A$1:$I$89,3,0)*VLOOKUP('Données projet'!$B$9,Paramètres!$A$1:$I$89,5,0)</f>
        <v>6.7984728957526396E-14</v>
      </c>
      <c r="P134" s="13">
        <f t="shared" si="141"/>
        <v>1.0682447123141398E-12</v>
      </c>
      <c r="Q134" s="20">
        <f t="shared" si="108"/>
        <v>1.978932943548152E-12</v>
      </c>
      <c r="R134" s="59">
        <f t="shared" si="109"/>
        <v>293.3333333333353</v>
      </c>
      <c r="S134" s="59">
        <f ca="1">AVERAGE(OFFSET($R$3,0,0,'Données projet'!$E$9+1,1))-AVERAGE(OFFSET($H$3,0,0,'Données projet'!$E$9+1,1))</f>
        <v>295.19075440119076</v>
      </c>
      <c r="T134" s="59">
        <f t="shared" si="142"/>
        <v>173.0182327988216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72.384458438555725</v>
      </c>
      <c r="AA134" s="21">
        <f>EXP(-LN(2)/25)*AA133+(1-EXP(-LN(2)/25))/(LN(2)/25)*Calculateur!V134*Calculateur!X134*VLOOKUP('Données projet'!$B$9,Paramètres!$A$1:$I$89,3,0)*0.475*44/12</f>
        <v>27.792313326586157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100.17677176514188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294.45857786714919</v>
      </c>
      <c r="AO134" s="59">
        <f t="shared" si="144"/>
        <v>221.9773436301067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66.81090729667099</v>
      </c>
      <c r="AV134" s="21">
        <f>EXP(-LN(2)/25)*AV133+(1-EXP(-LN(2)/25))/(LN(2)/25)*Calculateur!AQ134*Calculateur!AS134*VLOOKUP('Données projet'!$B$10,Paramètres!$A$1:$I$89,3,0)*0.475*44/12</f>
        <v>24.448760375804476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91.259667672475473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179.44051550872138</v>
      </c>
      <c r="BJ134" s="59">
        <f t="shared" si="146"/>
        <v>272.9500808380069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34.31965962662963</v>
      </c>
      <c r="BQ134" s="21">
        <f>EXP(-LN(2)/25)*BQ133+(1-EXP(-LN(2)/25))/(LN(2)/25)*Calculateur!BL134*Calculateur!BN134*VLOOKUP('Données projet'!$B$11,Paramètres!$A$1:$I$89,3,0)*0.475*44/12</f>
        <v>13.708277638901293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48.027937265530923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-1.5961632016114892E-13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259.87681411271632</v>
      </c>
      <c r="CE134" s="59">
        <f t="shared" si="148"/>
        <v>191.8684235641158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118.72886488861604</v>
      </c>
      <c r="CL134" s="21">
        <f>EXP(-LN(2)/25)*CL133+(1-EXP(-LN(2)/25))/(LN(2)/25)*Calculateur!CG134*Calculateur!CI134*VLOOKUP('Données projet'!$B$12,Paramètres!$A$1:$I$89,3,0)*0.475*44/12</f>
        <v>46.44887609062274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165.17774097923879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5.6843418860808015E-14</v>
      </c>
      <c r="CU134" s="17">
        <f>CT134*VLOOKUP('Données projet'!$B$13,Paramètres!$A$1:$I$89,3,0)*VLOOKUP('Données projet'!$B$13,Paramètres!$A$1:$I$89,5,0)</f>
        <v>4.5224624045658861E-14</v>
      </c>
      <c r="CV134" s="13">
        <f t="shared" si="149"/>
        <v>7.4514601661523691E-13</v>
      </c>
      <c r="CW134" s="20">
        <f t="shared" si="121"/>
        <v>1.3765621991510601E-12</v>
      </c>
      <c r="CX134" s="59">
        <f t="shared" si="122"/>
        <v>293.33333333333468</v>
      </c>
      <c r="CY134" s="59">
        <f ca="1">AVERAGE(OFFSET($CX$3,0,0,'Données projet'!$E$13+1,1))-AVERAGE(OFFSET($H$3,0,0,'Données projet'!$E$13+1,1))</f>
        <v>198.11534486400666</v>
      </c>
      <c r="CZ134" s="59">
        <f t="shared" si="150"/>
        <v>174.29856796517652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28.721075271325734</v>
      </c>
      <c r="DG134" s="21">
        <f>EXP(-LN(2)/25)*DG133+(1-EXP(-LN(2)/25))/(LN(2)/25)*Calculateur!DB134*Calculateur!DD134*VLOOKUP('Données projet'!$B$13,Paramètres!$A$1:$I$89,3,0)*0.475*44/12</f>
        <v>6.142972468117792</v>
      </c>
      <c r="DH134" s="21">
        <f>EXP(-LN(2)/2)*DH133+(1-EXP(-LN(2)/2))/(LN(2)/2)*DB134*DE134*VLOOKUP('Données projet'!$B$13,Paramètres!$A$1:$I$89,3,0)*0.475*44/12</f>
        <v>4.2900425271930129E-7</v>
      </c>
      <c r="DI134" s="22">
        <f t="shared" si="123"/>
        <v>34.864048168447781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4.666666666666667</v>
      </c>
      <c r="DO134" s="12">
        <f>IF('Données projet'!$A$166&gt;35,DO133+DN134-DW133,IF(A134&lt;'Données projet'!$A$166,$DL$205^A134,IF(A134='Données projet'!$A$166,'Données projet'!$B$166,DO133+DN134-DW133)))</f>
        <v>229.3333333333332</v>
      </c>
      <c r="DP134" s="17">
        <f>DO134*VLOOKUP('Données projet'!$B$14,Paramètres!$A$1:$I$89,3,0)*VLOOKUP('Données projet'!$B$14,Paramètres!$A$1:$I$89,5,0)</f>
        <v>232.54399999999987</v>
      </c>
      <c r="DQ134" s="13">
        <f t="shared" si="151"/>
        <v>56.832401153973727</v>
      </c>
      <c r="DR134" s="20">
        <f t="shared" si="124"/>
        <v>503.99723200983732</v>
      </c>
      <c r="DS134" s="59">
        <f t="shared" si="125"/>
        <v>797.33056534317063</v>
      </c>
      <c r="DT134" s="59">
        <f ca="1">AVERAGE(OFFSET($DS$3,0,0,'Données projet'!$E$14+1,1))-AVERAGE(OFFSET($H$3,0,0,'Données projet'!$E$14+1,1))</f>
        <v>247.92503505485405</v>
      </c>
      <c r="DU134" s="59">
        <f t="shared" si="152"/>
        <v>148.26437652597514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15.076452989756099</v>
      </c>
      <c r="EB134" s="21">
        <f>EXP(-LN(2)/25)*EB133+(1-EXP(-LN(2)/25))/(LN(2)/25)*Calculateur!DW134*Calculateur!DY134*VLOOKUP('Données projet'!$B$14,Paramètres!$A$1:$I$89,3,0)*0.475*44/12</f>
        <v>24.717463714848524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39.793916704604626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4.666666666666667</v>
      </c>
      <c r="EJ134" s="12">
        <f>IF('Données projet'!$A$192&gt;35,EJ133+EI134-ER133,IF(A134&lt;'Données projet'!$A$192,$EG$205^A134,IF(A134='Données projet'!$A$192,'Données projet'!$B$192,EJ133+EI134-ER133)))</f>
        <v>229.3333333333332</v>
      </c>
      <c r="EK134" s="17">
        <f>EJ134*VLOOKUP('Données projet'!$B$15,Paramètres!$A$1:$I$89,3,0)*VLOOKUP('Données projet'!$B$15,Paramètres!$A$1:$I$89,5,0)</f>
        <v>221.81119999999987</v>
      </c>
      <c r="EL134" s="13">
        <f t="shared" si="153"/>
        <v>54.508353049272138</v>
      </c>
      <c r="EM134" s="20">
        <f t="shared" si="127"/>
        <v>481.25655489414868</v>
      </c>
      <c r="EN134" s="59">
        <f t="shared" si="128"/>
        <v>774.58988822748199</v>
      </c>
      <c r="EO134" s="59">
        <f ca="1">AVERAGE(OFFSET($EN$3,0,0,'Données projet'!$E$15+1,1))-AVERAGE(OFFSET($H$3,0,0,'Données projet'!$E$15+1,1))</f>
        <v>232.99870507181964</v>
      </c>
      <c r="EP134" s="59">
        <f t="shared" si="154"/>
        <v>140.07662669226278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14.380616697921202</v>
      </c>
      <c r="EW134" s="21">
        <f>EXP(-LN(2)/25)*EW133+(1-EXP(-LN(2)/25))/(LN(2)/25)*Calculateur!ER134*Calculateur!ET134*VLOOKUP('Données projet'!$B$15,Paramètres!$A$1:$I$89,3,0)*0.475*44/12</f>
        <v>23.57665769724013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37.957274395161335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5.6843418860808015E-14</v>
      </c>
      <c r="FF134" s="17">
        <f>FE134*VLOOKUP('Données projet'!$B$16,Paramètres!$A$1:$I$89,3,0)*VLOOKUP('Données projet'!$B$16,Paramètres!$A$1:$I$89,5,0)</f>
        <v>4.4337866711430253E-14</v>
      </c>
      <c r="FG134" s="13">
        <f t="shared" si="155"/>
        <v>7.3222115536967035E-13</v>
      </c>
      <c r="FH134" s="20">
        <f t="shared" si="130"/>
        <v>1.3525069634579169E-12</v>
      </c>
      <c r="FI134" s="59">
        <f t="shared" si="131"/>
        <v>293.33333333333468</v>
      </c>
      <c r="FJ134" s="59">
        <f ca="1">AVERAGE(OFFSET($FI$3,0,0,'Données projet'!$E$16+1,1))-AVERAGE(OFFSET($H$3,0,0,'Données projet'!$E$16+1,1))</f>
        <v>193.47609744163839</v>
      </c>
      <c r="FK134" s="59">
        <f t="shared" si="156"/>
        <v>170.3221892406973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22.845102417073747</v>
      </c>
      <c r="FR134" s="21">
        <f>EXP(-LN(2)/25)*FR133+(1-EXP(-LN(2)/25))/(LN(2)/25)*Calculateur!FM134*Calculateur!FO134*VLOOKUP('Données projet'!$B$16,Paramètres!$A$1:$I$89,3,0)*0.475*44/12</f>
        <v>4.8861971167048583</v>
      </c>
      <c r="FS134" s="21">
        <f>EXP(-LN(2)/2)*FS133+(1-EXP(-LN(2)/2))/(LN(2)/2)*FM134*FP134*VLOOKUP('Données projet'!$B$16,Paramètres!$A$1:$I$89,3,0)*0.475*44/12</f>
        <v>4.205924046267666E-7</v>
      </c>
      <c r="FT134" s="22">
        <f t="shared" si="132"/>
        <v>27.731299954371007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>
        <f>FZ134*VLOOKUP('Données projet'!$B$17,Paramètres!$A$1:$I$89,3,0)*VLOOKUP('Données projet'!$B$17,Paramètres!$A$1:$I$89,5,0)</f>
        <v>0</v>
      </c>
      <c r="GB134" s="13" t="e">
        <f t="shared" si="157"/>
        <v>#NUM!</v>
      </c>
      <c r="GC134" s="20" t="e">
        <f t="shared" si="133"/>
        <v>#NUM!</v>
      </c>
      <c r="GD134" s="59" t="e">
        <f t="shared" si="134"/>
        <v>#NUM!</v>
      </c>
      <c r="GE134" s="59">
        <f ca="1">AVERAGE(OFFSET($GD$3,0,0,'Données projet'!$E$17+1,1))-AVERAGE(OFFSET($H$3,0,0,'Données projet'!$E$17+1,1))</f>
        <v>153.43773674911449</v>
      </c>
      <c r="GF134" s="59">
        <f t="shared" si="158"/>
        <v>235.49395036616602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30.029702173300898</v>
      </c>
      <c r="GM134" s="21">
        <f>EXP(-LN(2)/25)*GM133+(1-EXP(-LN(2)/25))/(LN(2)/25)*Calculateur!GH134*Calculateur!GJ134*VLOOKUP('Données projet'!$B$17,Paramètres!$A$1:$I$89,3,0)*0.475*44/12</f>
        <v>11.994742934038625</v>
      </c>
      <c r="GN134" s="21">
        <f>EXP(-LN(2)/2)*GN133+(1-EXP(-LN(2)/2))/(LN(2)/2)*GH134*GK134*VLOOKUP('Données projet'!$B$17,Paramètres!$A$1:$I$89,3,0)*0.475*44/12</f>
        <v>0</v>
      </c>
      <c r="GO134" s="21">
        <f t="shared" si="135"/>
        <v>42.024445107339524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5.6843418860808015E-14</v>
      </c>
      <c r="GV134" s="17">
        <f>GU134*VLOOKUP('Données projet'!$B$18,Paramètres!$A$1:$I$89,3,0)*VLOOKUP('Données projet'!$B$18,Paramètres!$A$1:$I$89,5,0)</f>
        <v>4.5224624045658861E-14</v>
      </c>
      <c r="GW134" s="13">
        <f t="shared" si="159"/>
        <v>7.4514601661523691E-13</v>
      </c>
      <c r="GX134" s="20">
        <f t="shared" si="136"/>
        <v>1.3765621991510601E-12</v>
      </c>
      <c r="GY134" s="59">
        <f t="shared" si="137"/>
        <v>293.33333333333468</v>
      </c>
      <c r="GZ134" s="59">
        <f ca="1">AVERAGE(OFFSET($GY$3,0,0,'Données projet'!$E$18+1,1))-AVERAGE(OFFSET($H$3,0,0,'Données projet'!$E$18+1,1))</f>
        <v>198.11534486400666</v>
      </c>
      <c r="HA134" s="59">
        <f t="shared" si="160"/>
        <v>174.29856796517652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>
        <f>EXP(-LN(2)/35)*HG133+(1-EXP(-LN(2)/35))/(LN(2)/35)*HC134*HD134*VLOOKUP('Données projet'!$B$18,Paramètres!$A$1:$I$89,3,0)*0.475*44/12</f>
        <v>28.721075271325734</v>
      </c>
      <c r="HH134" s="21">
        <f>EXP(-LN(2)/25)*HH133+(1-EXP(-LN(2)/25))/(LN(2)/25)*Calculateur!HC134*Calculateur!HE134*VLOOKUP('Données projet'!$B$18,Paramètres!$A$1:$I$89,3,0)*0.475*44/12</f>
        <v>6.142972468117792</v>
      </c>
      <c r="HI134" s="21">
        <f>EXP(-LN(2)/2)*HI133+(1-EXP(-LN(2)/2))/(LN(2)/2)*HC134*HF134*VLOOKUP('Données projet'!$B$18,Paramètres!$A$1:$I$89,3,0)*0.475*44/12</f>
        <v>4.2900425271930129E-7</v>
      </c>
      <c r="HJ134" s="22">
        <f t="shared" si="138"/>
        <v>34.864048168447781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1.1368683772161603E-13</v>
      </c>
      <c r="O135" s="13">
        <f>N135*VLOOKUP('Données projet'!$B$9,Paramètres!$A$1:$I$89,3,0)*VLOOKUP('Données projet'!$B$9,Paramètres!$A$1:$I$89,5,0)</f>
        <v>6.7984728957526396E-14</v>
      </c>
      <c r="P135" s="13">
        <f t="shared" si="141"/>
        <v>1.0682447123141398E-12</v>
      </c>
      <c r="Q135" s="20">
        <f t="shared" si="108"/>
        <v>1.978932943548152E-12</v>
      </c>
      <c r="R135" s="59">
        <f t="shared" si="109"/>
        <v>293.3333333333353</v>
      </c>
      <c r="S135" s="59">
        <f ca="1">AVERAGE(OFFSET($R$3,0,0,'Données projet'!$E$9+1,1))-AVERAGE(OFFSET($H$3,0,0,'Données projet'!$E$9+1,1))</f>
        <v>295.19075440119076</v>
      </c>
      <c r="T135" s="59">
        <f t="shared" si="142"/>
        <v>173.0182327988216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70.965043358735826</v>
      </c>
      <c r="AA135" s="21">
        <f>EXP(-LN(2)/25)*AA134+(1-EXP(-LN(2)/25))/(LN(2)/25)*Calculateur!V135*Calculateur!X135*VLOOKUP('Données projet'!$B$9,Paramètres!$A$1:$I$89,3,0)*0.475*44/12</f>
        <v>27.032331057136421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97.997374415872244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294.45857786714919</v>
      </c>
      <c r="AO135" s="59">
        <f t="shared" si="144"/>
        <v>221.9773436301067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65.500786155212936</v>
      </c>
      <c r="AV135" s="21">
        <f>EXP(-LN(2)/25)*AV134+(1-EXP(-LN(2)/25))/(LN(2)/25)*Calculateur!AQ135*Calculateur!AS135*VLOOKUP('Données projet'!$B$10,Paramètres!$A$1:$I$89,3,0)*0.475*44/12</f>
        <v>23.780207737623673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89.280993892836605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179.44051550872138</v>
      </c>
      <c r="BJ135" s="59">
        <f t="shared" si="146"/>
        <v>272.9500808380069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33.64667203427684</v>
      </c>
      <c r="BQ135" s="21">
        <f>EXP(-LN(2)/25)*BQ134+(1-EXP(-LN(2)/25))/(LN(2)/25)*Calculateur!BL135*Calculateur!BN135*VLOOKUP('Données projet'!$B$11,Paramètres!$A$1:$I$89,3,0)*0.475*44/12</f>
        <v>13.333424065978548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46.980096100255388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-1.5961632016114892E-13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259.87681411271632</v>
      </c>
      <c r="CE135" s="59">
        <f t="shared" si="148"/>
        <v>191.8684235641158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116.40066426560723</v>
      </c>
      <c r="CL135" s="21">
        <f>EXP(-LN(2)/25)*CL134+(1-EXP(-LN(2)/25))/(LN(2)/25)*Calculateur!CG135*Calculateur!CI135*VLOOKUP('Données projet'!$B$12,Paramètres!$A$1:$I$89,3,0)*0.475*44/12</f>
        <v>45.178729131284427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161.57939339689165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5.6843418860808015E-14</v>
      </c>
      <c r="CU135" s="17">
        <f>CT135*VLOOKUP('Données projet'!$B$13,Paramètres!$A$1:$I$89,3,0)*VLOOKUP('Données projet'!$B$13,Paramètres!$A$1:$I$89,5,0)</f>
        <v>4.5224624045658861E-14</v>
      </c>
      <c r="CV135" s="13">
        <f t="shared" si="149"/>
        <v>7.4514601661523691E-13</v>
      </c>
      <c r="CW135" s="20">
        <f t="shared" si="121"/>
        <v>1.3765621991510601E-12</v>
      </c>
      <c r="CX135" s="59">
        <f t="shared" si="122"/>
        <v>293.33333333333468</v>
      </c>
      <c r="CY135" s="59">
        <f ca="1">AVERAGE(OFFSET($CX$3,0,0,'Données projet'!$E$13+1,1))-AVERAGE(OFFSET($H$3,0,0,'Données projet'!$E$13+1,1))</f>
        <v>198.11534486400666</v>
      </c>
      <c r="CZ135" s="59">
        <f t="shared" si="150"/>
        <v>174.29856796517652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28.157872503381181</v>
      </c>
      <c r="DG135" s="21">
        <f>EXP(-LN(2)/25)*DG134+(1-EXP(-LN(2)/25))/(LN(2)/25)*Calculateur!DB135*Calculateur!DD135*VLOOKUP('Données projet'!$B$13,Paramètres!$A$1:$I$89,3,0)*0.475*44/12</f>
        <v>5.9749925629322291</v>
      </c>
      <c r="DH135" s="21">
        <f>EXP(-LN(2)/2)*DH134+(1-EXP(-LN(2)/2))/(LN(2)/2)*DB135*DE135*VLOOKUP('Données projet'!$B$13,Paramètres!$A$1:$I$89,3,0)*0.475*44/12</f>
        <v>3.0335181625568531E-7</v>
      </c>
      <c r="DI135" s="22">
        <f t="shared" si="123"/>
        <v>34.132865369665232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4.666666666666667</v>
      </c>
      <c r="DO135" s="12">
        <f>IF('Données projet'!$A$166&gt;35,DO134+DN135-DW134,IF(A135&lt;'Données projet'!$A$166,$DL$205^A135,IF(A135='Données projet'!$A$166,'Données projet'!$B$166,DO134+DN135-DW134)))</f>
        <v>233.99999999999986</v>
      </c>
      <c r="DP135" s="17">
        <f>DO135*VLOOKUP('Données projet'!$B$14,Paramètres!$A$1:$I$89,3,0)*VLOOKUP('Données projet'!$B$14,Paramètres!$A$1:$I$89,5,0)</f>
        <v>237.27599999999987</v>
      </c>
      <c r="DQ135" s="13">
        <f t="shared" si="151"/>
        <v>57.853059819349511</v>
      </c>
      <c r="DR135" s="20">
        <f t="shared" si="124"/>
        <v>514.01644585203348</v>
      </c>
      <c r="DS135" s="59">
        <f t="shared" si="125"/>
        <v>807.34977918536674</v>
      </c>
      <c r="DT135" s="59">
        <f ca="1">AVERAGE(OFFSET($DS$3,0,0,'Données projet'!$E$14+1,1))-AVERAGE(OFFSET($H$3,0,0,'Données projet'!$E$14+1,1))</f>
        <v>247.92503505485405</v>
      </c>
      <c r="DU135" s="59">
        <f t="shared" si="152"/>
        <v>148.26437652597514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14.780812942355302</v>
      </c>
      <c r="EB135" s="21">
        <f>EXP(-LN(2)/25)*EB134+(1-EXP(-LN(2)/25))/(LN(2)/25)*Calculateur!DW135*Calculateur!DY135*VLOOKUP('Données projet'!$B$14,Paramètres!$A$1:$I$89,3,0)*0.475*44/12</f>
        <v>24.041563369731065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38.822376312086369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4.666666666666667</v>
      </c>
      <c r="EJ135" s="12">
        <f>IF('Données projet'!$A$192&gt;35,EJ134+EI135-ER134,IF(A135&lt;'Données projet'!$A$192,$EG$205^A135,IF(A135='Données projet'!$A$192,'Données projet'!$B$192,EJ134+EI135-ER134)))</f>
        <v>233.99999999999986</v>
      </c>
      <c r="EK135" s="17">
        <f>EJ135*VLOOKUP('Données projet'!$B$15,Paramètres!$A$1:$I$89,3,0)*VLOOKUP('Données projet'!$B$15,Paramètres!$A$1:$I$89,5,0)</f>
        <v>226.32479999999984</v>
      </c>
      <c r="EL135" s="13">
        <f t="shared" si="153"/>
        <v>55.48727390683667</v>
      </c>
      <c r="EM135" s="20">
        <f t="shared" si="127"/>
        <v>490.82269538774034</v>
      </c>
      <c r="EN135" s="59">
        <f t="shared" si="128"/>
        <v>784.15602872107365</v>
      </c>
      <c r="EO135" s="59">
        <f ca="1">AVERAGE(OFFSET($EN$3,0,0,'Données projet'!$E$15+1,1))-AVERAGE(OFFSET($H$3,0,0,'Données projet'!$E$15+1,1))</f>
        <v>232.99870507181964</v>
      </c>
      <c r="EP135" s="59">
        <f t="shared" si="154"/>
        <v>140.07662669226278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14.098621575785058</v>
      </c>
      <c r="EW135" s="21">
        <f>EXP(-LN(2)/25)*EW134+(1-EXP(-LN(2)/25))/(LN(2)/25)*Calculateur!ER135*Calculateur!ET135*VLOOKUP('Données projet'!$B$15,Paramètres!$A$1:$I$89,3,0)*0.475*44/12</f>
        <v>22.931952752666554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37.030574328451614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5.6843418860808015E-14</v>
      </c>
      <c r="FF135" s="17">
        <f>FE135*VLOOKUP('Données projet'!$B$16,Paramètres!$A$1:$I$89,3,0)*VLOOKUP('Données projet'!$B$16,Paramètres!$A$1:$I$89,5,0)</f>
        <v>4.4337866711430253E-14</v>
      </c>
      <c r="FG135" s="13">
        <f t="shared" si="155"/>
        <v>7.3222115536967035E-13</v>
      </c>
      <c r="FH135" s="20">
        <f t="shared" si="130"/>
        <v>1.3525069634579169E-12</v>
      </c>
      <c r="FI135" s="59">
        <f t="shared" si="131"/>
        <v>293.33333333333468</v>
      </c>
      <c r="FJ135" s="59">
        <f ca="1">AVERAGE(OFFSET($FI$3,0,0,'Données projet'!$E$16+1,1))-AVERAGE(OFFSET($H$3,0,0,'Données projet'!$E$16+1,1))</f>
        <v>193.47609744163839</v>
      </c>
      <c r="FK135" s="59">
        <f t="shared" si="156"/>
        <v>170.3221892406973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22.397123892811525</v>
      </c>
      <c r="FR135" s="21">
        <f>EXP(-LN(2)/25)*FR134+(1-EXP(-LN(2)/25))/(LN(2)/25)*Calculateur!FM135*Calculateur!FO135*VLOOKUP('Données projet'!$B$16,Paramètres!$A$1:$I$89,3,0)*0.475*44/12</f>
        <v>4.7525837995946256</v>
      </c>
      <c r="FS135" s="21">
        <f>EXP(-LN(2)/2)*FS134+(1-EXP(-LN(2)/2))/(LN(2)/2)*FM135*FP135*VLOOKUP('Données projet'!$B$16,Paramètres!$A$1:$I$89,3,0)*0.475*44/12</f>
        <v>2.9740374142714291E-7</v>
      </c>
      <c r="FT135" s="22">
        <f t="shared" si="132"/>
        <v>27.14970798980989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>
        <f>FZ135*VLOOKUP('Données projet'!$B$17,Paramètres!$A$1:$I$89,3,0)*VLOOKUP('Données projet'!$B$17,Paramètres!$A$1:$I$89,5,0)</f>
        <v>0</v>
      </c>
      <c r="GB135" s="13" t="e">
        <f t="shared" si="157"/>
        <v>#NUM!</v>
      </c>
      <c r="GC135" s="20" t="e">
        <f t="shared" si="133"/>
        <v>#NUM!</v>
      </c>
      <c r="GD135" s="59" t="e">
        <f t="shared" si="134"/>
        <v>#NUM!</v>
      </c>
      <c r="GE135" s="59">
        <f ca="1">AVERAGE(OFFSET($GD$3,0,0,'Données projet'!$E$17+1,1))-AVERAGE(OFFSET($H$3,0,0,'Données projet'!$E$17+1,1))</f>
        <v>153.43773674911449</v>
      </c>
      <c r="GF135" s="59">
        <f t="shared" si="158"/>
        <v>235.49395036616602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29.440838029992207</v>
      </c>
      <c r="GM135" s="21">
        <f>EXP(-LN(2)/25)*GM134+(1-EXP(-LN(2)/25))/(LN(2)/25)*Calculateur!GH135*Calculateur!GJ135*VLOOKUP('Données projet'!$B$17,Paramètres!$A$1:$I$89,3,0)*0.475*44/12</f>
        <v>11.666746057731222</v>
      </c>
      <c r="GN135" s="21">
        <f>EXP(-LN(2)/2)*GN134+(1-EXP(-LN(2)/2))/(LN(2)/2)*GH135*GK135*VLOOKUP('Données projet'!$B$17,Paramètres!$A$1:$I$89,3,0)*0.475*44/12</f>
        <v>0</v>
      </c>
      <c r="GO135" s="21">
        <f t="shared" si="135"/>
        <v>41.107584087723431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5.6843418860808015E-14</v>
      </c>
      <c r="GV135" s="17">
        <f>GU135*VLOOKUP('Données projet'!$B$18,Paramètres!$A$1:$I$89,3,0)*VLOOKUP('Données projet'!$B$18,Paramètres!$A$1:$I$89,5,0)</f>
        <v>4.5224624045658861E-14</v>
      </c>
      <c r="GW135" s="13">
        <f t="shared" si="159"/>
        <v>7.4514601661523691E-13</v>
      </c>
      <c r="GX135" s="20">
        <f t="shared" si="136"/>
        <v>1.3765621991510601E-12</v>
      </c>
      <c r="GY135" s="59">
        <f t="shared" si="137"/>
        <v>293.33333333333468</v>
      </c>
      <c r="GZ135" s="59">
        <f ca="1">AVERAGE(OFFSET($GY$3,0,0,'Données projet'!$E$18+1,1))-AVERAGE(OFFSET($H$3,0,0,'Données projet'!$E$18+1,1))</f>
        <v>198.11534486400666</v>
      </c>
      <c r="HA135" s="59">
        <f t="shared" si="160"/>
        <v>174.29856796517652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>
        <f>EXP(-LN(2)/35)*HG134+(1-EXP(-LN(2)/35))/(LN(2)/35)*HC135*HD135*VLOOKUP('Données projet'!$B$18,Paramètres!$A$1:$I$89,3,0)*0.475*44/12</f>
        <v>28.157872503381181</v>
      </c>
      <c r="HH135" s="21">
        <f>EXP(-LN(2)/25)*HH134+(1-EXP(-LN(2)/25))/(LN(2)/25)*Calculateur!HC135*Calculateur!HE135*VLOOKUP('Données projet'!$B$18,Paramètres!$A$1:$I$89,3,0)*0.475*44/12</f>
        <v>5.9749925629322291</v>
      </c>
      <c r="HI135" s="21">
        <f>EXP(-LN(2)/2)*HI134+(1-EXP(-LN(2)/2))/(LN(2)/2)*HC135*HF135*VLOOKUP('Données projet'!$B$18,Paramètres!$A$1:$I$89,3,0)*0.475*44/12</f>
        <v>3.0335181625568531E-7</v>
      </c>
      <c r="HJ135" s="22">
        <f t="shared" si="138"/>
        <v>34.132865369665232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1.1368683772161603E-13</v>
      </c>
      <c r="O136" s="13">
        <f>N136*VLOOKUP('Données projet'!$B$9,Paramètres!$A$1:$I$89,3,0)*VLOOKUP('Données projet'!$B$9,Paramètres!$A$1:$I$89,5,0)</f>
        <v>6.7984728957526396E-14</v>
      </c>
      <c r="P136" s="13">
        <f t="shared" si="141"/>
        <v>1.0682447123141398E-12</v>
      </c>
      <c r="Q136" s="20">
        <f t="shared" si="108"/>
        <v>1.978932943548152E-12</v>
      </c>
      <c r="R136" s="59">
        <f t="shared" si="109"/>
        <v>293.3333333333353</v>
      </c>
      <c r="S136" s="59">
        <f ca="1">AVERAGE(OFFSET($R$3,0,0,'Données projet'!$E$9+1,1))-AVERAGE(OFFSET($H$3,0,0,'Données projet'!$E$9+1,1))</f>
        <v>295.19075440119076</v>
      </c>
      <c r="T136" s="59">
        <f t="shared" si="142"/>
        <v>173.0182327988216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69.573462142873481</v>
      </c>
      <c r="AA136" s="21">
        <f>EXP(-LN(2)/25)*AA135+(1-EXP(-LN(2)/25))/(LN(2)/25)*Calculateur!V136*Calculateur!X136*VLOOKUP('Données projet'!$B$9,Paramètres!$A$1:$I$89,3,0)*0.475*44/12</f>
        <v>26.29313054281052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95.866592685683997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294.45857786714919</v>
      </c>
      <c r="AO136" s="59">
        <f t="shared" si="144"/>
        <v>221.9773436301067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64.216355690243873</v>
      </c>
      <c r="AV136" s="21">
        <f>EXP(-LN(2)/25)*AV135+(1-EXP(-LN(2)/25))/(LN(2)/25)*Calculateur!AQ136*Calculateur!AS136*VLOOKUP('Données projet'!$B$10,Paramètres!$A$1:$I$89,3,0)*0.475*44/12</f>
        <v>23.129936706491581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87.34629239673545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179.44051550872138</v>
      </c>
      <c r="BJ136" s="59">
        <f t="shared" si="146"/>
        <v>272.9500808380069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32.986881318128191</v>
      </c>
      <c r="BQ136" s="21">
        <f>EXP(-LN(2)/25)*BQ135+(1-EXP(-LN(2)/25))/(LN(2)/25)*Calculateur!BL136*Calculateur!BN136*VLOOKUP('Données projet'!$B$11,Paramètres!$A$1:$I$89,3,0)*0.475*44/12</f>
        <v>12.968820883720067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45.955702201848254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-1.5961632016114892E-13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259.87681411271632</v>
      </c>
      <c r="CE136" s="59">
        <f t="shared" si="148"/>
        <v>191.8684235641158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114.11811823675346</v>
      </c>
      <c r="CL136" s="21">
        <f>EXP(-LN(2)/25)*CL135+(1-EXP(-LN(2)/25))/(LN(2)/25)*Calculateur!CG136*Calculateur!CI136*VLOOKUP('Données projet'!$B$12,Paramètres!$A$1:$I$89,3,0)*0.475*44/12</f>
        <v>43.943314407343344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158.06143264409681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5.6843418860808015E-14</v>
      </c>
      <c r="CU136" s="17">
        <f>CT136*VLOOKUP('Données projet'!$B$13,Paramètres!$A$1:$I$89,3,0)*VLOOKUP('Données projet'!$B$13,Paramètres!$A$1:$I$89,5,0)</f>
        <v>4.5224624045658861E-14</v>
      </c>
      <c r="CV136" s="13">
        <f t="shared" si="149"/>
        <v>7.4514601661523691E-13</v>
      </c>
      <c r="CW136" s="20">
        <f t="shared" si="121"/>
        <v>1.3765621991510601E-12</v>
      </c>
      <c r="CX136" s="59">
        <f t="shared" si="122"/>
        <v>293.33333333333468</v>
      </c>
      <c r="CY136" s="59">
        <f ca="1">AVERAGE(OFFSET($CX$3,0,0,'Données projet'!$E$13+1,1))-AVERAGE(OFFSET($H$3,0,0,'Données projet'!$E$13+1,1))</f>
        <v>198.11534486400666</v>
      </c>
      <c r="CZ136" s="59">
        <f t="shared" si="150"/>
        <v>174.29856796517652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27.605713798196252</v>
      </c>
      <c r="DG136" s="21">
        <f>EXP(-LN(2)/25)*DG135+(1-EXP(-LN(2)/25))/(LN(2)/25)*Calculateur!DB136*Calculateur!DD136*VLOOKUP('Données projet'!$B$13,Paramètres!$A$1:$I$89,3,0)*0.475*44/12</f>
        <v>5.8116060770876441</v>
      </c>
      <c r="DH136" s="21">
        <f>EXP(-LN(2)/2)*DH135+(1-EXP(-LN(2)/2))/(LN(2)/2)*DB136*DE136*VLOOKUP('Données projet'!$B$13,Paramètres!$A$1:$I$89,3,0)*0.475*44/12</f>
        <v>2.1450212635965064E-7</v>
      </c>
      <c r="DI136" s="22">
        <f t="shared" si="123"/>
        <v>33.417320089786024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4.666666666666667</v>
      </c>
      <c r="DO136" s="12">
        <f>IF('Données projet'!$A$166&gt;35,DO135+DN136-DW135,IF(A136&lt;'Données projet'!$A$166,$DL$205^A136,IF(A136='Données projet'!$A$166,'Données projet'!$B$166,DO135+DN136-DW135)))</f>
        <v>238.66666666666652</v>
      </c>
      <c r="DP136" s="17">
        <f>DO136*VLOOKUP('Données projet'!$B$14,Paramètres!$A$1:$I$89,3,0)*VLOOKUP('Données projet'!$B$14,Paramètres!$A$1:$I$89,5,0)</f>
        <v>242.00799999999987</v>
      </c>
      <c r="DQ136" s="13">
        <f t="shared" si="151"/>
        <v>58.871351742919046</v>
      </c>
      <c r="DR136" s="20">
        <f t="shared" si="124"/>
        <v>524.03153761891701</v>
      </c>
      <c r="DS136" s="59">
        <f t="shared" si="125"/>
        <v>817.36487095225039</v>
      </c>
      <c r="DT136" s="59">
        <f ca="1">AVERAGE(OFFSET($DS$3,0,0,'Données projet'!$E$14+1,1))-AVERAGE(OFFSET($H$3,0,0,'Données projet'!$E$14+1,1))</f>
        <v>247.92503505485405</v>
      </c>
      <c r="DU136" s="59">
        <f t="shared" si="152"/>
        <v>148.26437652597514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14.490970215961413</v>
      </c>
      <c r="EB136" s="21">
        <f>EXP(-LN(2)/25)*EB135+(1-EXP(-LN(2)/25))/(LN(2)/25)*Calculateur!DW136*Calculateur!DY136*VLOOKUP('Données projet'!$B$14,Paramètres!$A$1:$I$89,3,0)*0.475*44/12</f>
        <v>23.3841455550949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37.875115771056315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4.666666666666667</v>
      </c>
      <c r="EJ136" s="12">
        <f>IF('Données projet'!$A$192&gt;35,EJ135+EI136-ER135,IF(A136&lt;'Données projet'!$A$192,$EG$205^A136,IF(A136='Données projet'!$A$192,'Données projet'!$B$192,EJ135+EI136-ER135)))</f>
        <v>238.66666666666652</v>
      </c>
      <c r="EK136" s="17">
        <f>EJ136*VLOOKUP('Données projet'!$B$15,Paramètres!$A$1:$I$89,3,0)*VLOOKUP('Données projet'!$B$15,Paramètres!$A$1:$I$89,5,0)</f>
        <v>230.83839999999987</v>
      </c>
      <c r="EL136" s="13">
        <f t="shared" si="153"/>
        <v>56.463924805797795</v>
      </c>
      <c r="EM136" s="20">
        <f t="shared" si="127"/>
        <v>500.3848823700975</v>
      </c>
      <c r="EN136" s="59">
        <f t="shared" si="128"/>
        <v>793.71821570343081</v>
      </c>
      <c r="EO136" s="59">
        <f ca="1">AVERAGE(OFFSET($EN$3,0,0,'Données projet'!$E$15+1,1))-AVERAGE(OFFSET($H$3,0,0,'Données projet'!$E$15+1,1))</f>
        <v>232.99870507181964</v>
      </c>
      <c r="EP136" s="59">
        <f t="shared" si="154"/>
        <v>140.07662669226278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13.822156205993963</v>
      </c>
      <c r="EW136" s="21">
        <f>EXP(-LN(2)/25)*EW135+(1-EXP(-LN(2)/25))/(LN(2)/25)*Calculateur!ER136*Calculateur!ET136*VLOOKUP('Données projet'!$B$15,Paramètres!$A$1:$I$89,3,0)*0.475*44/12</f>
        <v>22.304877298705904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36.127033504699867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5.6843418860808015E-14</v>
      </c>
      <c r="FF136" s="17">
        <f>FE136*VLOOKUP('Données projet'!$B$16,Paramètres!$A$1:$I$89,3,0)*VLOOKUP('Données projet'!$B$16,Paramètres!$A$1:$I$89,5,0)</f>
        <v>4.4337866711430253E-14</v>
      </c>
      <c r="FG136" s="13">
        <f t="shared" si="155"/>
        <v>7.3222115536967035E-13</v>
      </c>
      <c r="FH136" s="20">
        <f t="shared" si="130"/>
        <v>1.3525069634579169E-12</v>
      </c>
      <c r="FI136" s="59">
        <f t="shared" si="131"/>
        <v>293.33333333333468</v>
      </c>
      <c r="FJ136" s="59">
        <f ca="1">AVERAGE(OFFSET($FI$3,0,0,'Données projet'!$E$16+1,1))-AVERAGE(OFFSET($H$3,0,0,'Données projet'!$E$16+1,1))</f>
        <v>193.47609744163839</v>
      </c>
      <c r="FK136" s="59">
        <f t="shared" si="156"/>
        <v>170.3221892406973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21.957929954170165</v>
      </c>
      <c r="FR136" s="21">
        <f>EXP(-LN(2)/25)*FR135+(1-EXP(-LN(2)/25))/(LN(2)/25)*Calculateur!FM136*Calculateur!FO136*VLOOKUP('Données projet'!$B$16,Paramètres!$A$1:$I$89,3,0)*0.475*44/12</f>
        <v>4.6226241456671904</v>
      </c>
      <c r="FS136" s="21">
        <f>EXP(-LN(2)/2)*FS135+(1-EXP(-LN(2)/2))/(LN(2)/2)*FM136*FP136*VLOOKUP('Données projet'!$B$16,Paramètres!$A$1:$I$89,3,0)*0.475*44/12</f>
        <v>2.102962023133833E-7</v>
      </c>
      <c r="FT136" s="22">
        <f t="shared" si="132"/>
        <v>26.580554310133561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>
        <f>FZ136*VLOOKUP('Données projet'!$B$17,Paramètres!$A$1:$I$89,3,0)*VLOOKUP('Données projet'!$B$17,Paramètres!$A$1:$I$89,5,0)</f>
        <v>0</v>
      </c>
      <c r="GB136" s="13" t="e">
        <f t="shared" si="157"/>
        <v>#NUM!</v>
      </c>
      <c r="GC136" s="20" t="e">
        <f t="shared" si="133"/>
        <v>#NUM!</v>
      </c>
      <c r="GD136" s="59" t="e">
        <f t="shared" si="134"/>
        <v>#NUM!</v>
      </c>
      <c r="GE136" s="59">
        <f ca="1">AVERAGE(OFFSET($GD$3,0,0,'Données projet'!$E$17+1,1))-AVERAGE(OFFSET($H$3,0,0,'Données projet'!$E$17+1,1))</f>
        <v>153.43773674911449</v>
      </c>
      <c r="GF136" s="59">
        <f t="shared" si="158"/>
        <v>235.49395036616602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28.863521153362139</v>
      </c>
      <c r="GM136" s="21">
        <f>EXP(-LN(2)/25)*GM135+(1-EXP(-LN(2)/25))/(LN(2)/25)*Calculateur!GH136*Calculateur!GJ136*VLOOKUP('Données projet'!$B$17,Paramètres!$A$1:$I$89,3,0)*0.475*44/12</f>
        <v>11.347718273255051</v>
      </c>
      <c r="GN136" s="21">
        <f>EXP(-LN(2)/2)*GN135+(1-EXP(-LN(2)/2))/(LN(2)/2)*GH136*GK136*VLOOKUP('Données projet'!$B$17,Paramètres!$A$1:$I$89,3,0)*0.475*44/12</f>
        <v>0</v>
      </c>
      <c r="GO136" s="21">
        <f t="shared" si="135"/>
        <v>40.21123942661719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5.6843418860808015E-14</v>
      </c>
      <c r="GV136" s="17">
        <f>GU136*VLOOKUP('Données projet'!$B$18,Paramètres!$A$1:$I$89,3,0)*VLOOKUP('Données projet'!$B$18,Paramètres!$A$1:$I$89,5,0)</f>
        <v>4.5224624045658861E-14</v>
      </c>
      <c r="GW136" s="13">
        <f t="shared" si="159"/>
        <v>7.4514601661523691E-13</v>
      </c>
      <c r="GX136" s="20">
        <f t="shared" si="136"/>
        <v>1.3765621991510601E-12</v>
      </c>
      <c r="GY136" s="59">
        <f t="shared" si="137"/>
        <v>293.33333333333468</v>
      </c>
      <c r="GZ136" s="59">
        <f ca="1">AVERAGE(OFFSET($GY$3,0,0,'Données projet'!$E$18+1,1))-AVERAGE(OFFSET($H$3,0,0,'Données projet'!$E$18+1,1))</f>
        <v>198.11534486400666</v>
      </c>
      <c r="HA136" s="59">
        <f t="shared" si="160"/>
        <v>174.29856796517652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>
        <f>EXP(-LN(2)/35)*HG135+(1-EXP(-LN(2)/35))/(LN(2)/35)*HC136*HD136*VLOOKUP('Données projet'!$B$18,Paramètres!$A$1:$I$89,3,0)*0.475*44/12</f>
        <v>27.605713798196252</v>
      </c>
      <c r="HH136" s="21">
        <f>EXP(-LN(2)/25)*HH135+(1-EXP(-LN(2)/25))/(LN(2)/25)*Calculateur!HC136*Calculateur!HE136*VLOOKUP('Données projet'!$B$18,Paramètres!$A$1:$I$89,3,0)*0.475*44/12</f>
        <v>5.8116060770876441</v>
      </c>
      <c r="HI136" s="21">
        <f>EXP(-LN(2)/2)*HI135+(1-EXP(-LN(2)/2))/(LN(2)/2)*HC136*HF136*VLOOKUP('Données projet'!$B$18,Paramètres!$A$1:$I$89,3,0)*0.475*44/12</f>
        <v>2.1450212635965064E-7</v>
      </c>
      <c r="HJ136" s="22">
        <f t="shared" si="138"/>
        <v>33.417320089786024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1.1368683772161603E-13</v>
      </c>
      <c r="O137" s="13">
        <f>N137*VLOOKUP('Données projet'!$B$9,Paramètres!$A$1:$I$89,3,0)*VLOOKUP('Données projet'!$B$9,Paramètres!$A$1:$I$89,5,0)</f>
        <v>6.7984728957526396E-14</v>
      </c>
      <c r="P137" s="13">
        <f t="shared" si="141"/>
        <v>1.0682447123141398E-12</v>
      </c>
      <c r="Q137" s="20">
        <f t="shared" si="108"/>
        <v>1.978932943548152E-12</v>
      </c>
      <c r="R137" s="59">
        <f t="shared" si="109"/>
        <v>293.3333333333353</v>
      </c>
      <c r="S137" s="59">
        <f ca="1">AVERAGE(OFFSET($R$3,0,0,'Données projet'!$E$9+1,1))-AVERAGE(OFFSET($H$3,0,0,'Données projet'!$E$9+1,1))</f>
        <v>295.19075440119076</v>
      </c>
      <c r="T137" s="59">
        <f t="shared" si="142"/>
        <v>173.0182327988216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68.209168985873475</v>
      </c>
      <c r="AA137" s="21">
        <f>EXP(-LN(2)/25)*AA136+(1-EXP(-LN(2)/25))/(LN(2)/25)*Calculateur!V137*Calculateur!X137*VLOOKUP('Données projet'!$B$9,Paramètres!$A$1:$I$89,3,0)*0.475*44/12</f>
        <v>25.574143505421723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93.783312491295192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294.45857786714919</v>
      </c>
      <c r="AO137" s="59">
        <f t="shared" si="144"/>
        <v>221.9773436301067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62.957112123267635</v>
      </c>
      <c r="AV137" s="21">
        <f>EXP(-LN(2)/25)*AV136+(1-EXP(-LN(2)/25))/(LN(2)/25)*Calculateur!AQ137*Calculateur!AS137*VLOOKUP('Données projet'!$B$10,Paramètres!$A$1:$I$89,3,0)*0.475*44/12</f>
        <v>22.497447370902062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85.4545594941697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179.44051550872138</v>
      </c>
      <c r="BJ137" s="59">
        <f t="shared" si="146"/>
        <v>272.9500808380069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32.340028695490616</v>
      </c>
      <c r="BQ137" s="21">
        <f>EXP(-LN(2)/25)*BQ136+(1-EXP(-LN(2)/25))/(LN(2)/25)*Calculateur!BL137*Calculateur!BN137*VLOOKUP('Données projet'!$B$11,Paramètres!$A$1:$I$89,3,0)*0.475*44/12</f>
        <v>12.614187794654091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44.954216490144709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-1.5961632016114892E-13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259.87681411271632</v>
      </c>
      <c r="CE137" s="59">
        <f t="shared" si="148"/>
        <v>191.8684235641158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111.88033154330991</v>
      </c>
      <c r="CL137" s="21">
        <f>EXP(-LN(2)/25)*CL136+(1-EXP(-LN(2)/25))/(LN(2)/25)*Calculateur!CG137*Calculateur!CI137*VLOOKUP('Données projet'!$B$12,Paramètres!$A$1:$I$89,3,0)*0.475*44/12</f>
        <v>42.741682163996067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154.62201370730597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5.6843418860808015E-14</v>
      </c>
      <c r="CU137" s="17">
        <f>CT137*VLOOKUP('Données projet'!$B$13,Paramètres!$A$1:$I$89,3,0)*VLOOKUP('Données projet'!$B$13,Paramètres!$A$1:$I$89,5,0)</f>
        <v>4.5224624045658861E-14</v>
      </c>
      <c r="CV137" s="13">
        <f t="shared" si="149"/>
        <v>7.4514601661523691E-13</v>
      </c>
      <c r="CW137" s="20">
        <f t="shared" si="121"/>
        <v>1.3765621991510601E-12</v>
      </c>
      <c r="CX137" s="59">
        <f t="shared" si="122"/>
        <v>293.33333333333468</v>
      </c>
      <c r="CY137" s="59">
        <f ca="1">AVERAGE(OFFSET($CX$3,0,0,'Données projet'!$E$13+1,1))-AVERAGE(OFFSET($H$3,0,0,'Données projet'!$E$13+1,1))</f>
        <v>198.11534486400666</v>
      </c>
      <c r="CZ137" s="59">
        <f t="shared" si="150"/>
        <v>174.29856796517652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27.064382588436445</v>
      </c>
      <c r="DG137" s="21">
        <f>EXP(-LN(2)/25)*DG136+(1-EXP(-LN(2)/25))/(LN(2)/25)*Calculateur!DB137*Calculateur!DD137*VLOOKUP('Données projet'!$B$13,Paramètres!$A$1:$I$89,3,0)*0.475*44/12</f>
        <v>5.6526874032906012</v>
      </c>
      <c r="DH137" s="21">
        <f>EXP(-LN(2)/2)*DH136+(1-EXP(-LN(2)/2))/(LN(2)/2)*DB137*DE137*VLOOKUP('Données projet'!$B$13,Paramètres!$A$1:$I$89,3,0)*0.475*44/12</f>
        <v>1.5167590812784265E-7</v>
      </c>
      <c r="DI137" s="22">
        <f t="shared" si="123"/>
        <v>32.71707014340295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4.666666666666667</v>
      </c>
      <c r="DO137" s="12">
        <f>IF('Données projet'!$A$166&gt;35,DO136+DN137-DW136,IF(A137&lt;'Données projet'!$A$166,$DL$205^A137,IF(A137='Données projet'!$A$166,'Données projet'!$B$166,DO136+DN137-DW136)))</f>
        <v>243.33333333333317</v>
      </c>
      <c r="DP137" s="17">
        <f>DO137*VLOOKUP('Données projet'!$B$14,Paramètres!$A$1:$I$89,3,0)*VLOOKUP('Données projet'!$B$14,Paramètres!$A$1:$I$89,5,0)</f>
        <v>246.73999999999987</v>
      </c>
      <c r="DQ137" s="13">
        <f t="shared" si="151"/>
        <v>59.887328536296032</v>
      </c>
      <c r="DR137" s="20">
        <f t="shared" si="124"/>
        <v>534.04259720071548</v>
      </c>
      <c r="DS137" s="59">
        <f t="shared" si="125"/>
        <v>827.37593053404885</v>
      </c>
      <c r="DT137" s="59">
        <f ca="1">AVERAGE(OFFSET($DS$3,0,0,'Données projet'!$E$14+1,1))-AVERAGE(OFFSET($H$3,0,0,'Données projet'!$E$14+1,1))</f>
        <v>247.92503505485405</v>
      </c>
      <c r="DU137" s="59">
        <f t="shared" si="152"/>
        <v>148.26437652597514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14.2068111286455</v>
      </c>
      <c r="EB137" s="21">
        <f>EXP(-LN(2)/25)*EB136+(1-EXP(-LN(2)/25))/(LN(2)/25)*Calculateur!DW137*Calculateur!DY137*VLOOKUP('Données projet'!$B$14,Paramètres!$A$1:$I$89,3,0)*0.475*44/12</f>
        <v>22.744704865172061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36.951515993817559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4.666666666666667</v>
      </c>
      <c r="EJ137" s="12">
        <f>IF('Données projet'!$A$192&gt;35,EJ136+EI137-ER136,IF(A137&lt;'Données projet'!$A$192,$EG$205^A137,IF(A137='Données projet'!$A$192,'Données projet'!$B$192,EJ136+EI137-ER136)))</f>
        <v>243.33333333333317</v>
      </c>
      <c r="EK137" s="17">
        <f>EJ137*VLOOKUP('Données projet'!$B$15,Paramètres!$A$1:$I$89,3,0)*VLOOKUP('Données projet'!$B$15,Paramètres!$A$1:$I$89,5,0)</f>
        <v>235.35199999999983</v>
      </c>
      <c r="EL137" s="13">
        <f t="shared" si="153"/>
        <v>57.438355247214886</v>
      </c>
      <c r="EM137" s="20">
        <f t="shared" si="127"/>
        <v>509.94320205556568</v>
      </c>
      <c r="EN137" s="59">
        <f t="shared" si="128"/>
        <v>803.27653538889899</v>
      </c>
      <c r="EO137" s="59">
        <f ca="1">AVERAGE(OFFSET($EN$3,0,0,'Données projet'!$E$15+1,1))-AVERAGE(OFFSET($H$3,0,0,'Données projet'!$E$15+1,1))</f>
        <v>232.99870507181964</v>
      </c>
      <c r="EP137" s="59">
        <f t="shared" si="154"/>
        <v>140.07662669226278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13.551112153477247</v>
      </c>
      <c r="EW137" s="21">
        <f>EXP(-LN(2)/25)*EW136+(1-EXP(-LN(2)/25))/(LN(2)/25)*Calculateur!ER137*Calculateur!ET137*VLOOKUP('Données projet'!$B$15,Paramètres!$A$1:$I$89,3,0)*0.475*44/12</f>
        <v>21.694949256010272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35.246061409487517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5.6843418860808015E-14</v>
      </c>
      <c r="FF137" s="17">
        <f>FE137*VLOOKUP('Données projet'!$B$16,Paramètres!$A$1:$I$89,3,0)*VLOOKUP('Données projet'!$B$16,Paramètres!$A$1:$I$89,5,0)</f>
        <v>4.4337866711430253E-14</v>
      </c>
      <c r="FG137" s="13">
        <f t="shared" si="155"/>
        <v>7.3222115536967035E-13</v>
      </c>
      <c r="FH137" s="20">
        <f t="shared" si="130"/>
        <v>1.3525069634579169E-12</v>
      </c>
      <c r="FI137" s="59">
        <f t="shared" si="131"/>
        <v>293.33333333333468</v>
      </c>
      <c r="FJ137" s="59">
        <f ca="1">AVERAGE(OFFSET($FI$3,0,0,'Données projet'!$E$16+1,1))-AVERAGE(OFFSET($H$3,0,0,'Données projet'!$E$16+1,1))</f>
        <v>193.47609744163839</v>
      </c>
      <c r="FK137" s="59">
        <f t="shared" si="156"/>
        <v>170.3221892406973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21.527348340783711</v>
      </c>
      <c r="FR137" s="21">
        <f>EXP(-LN(2)/25)*FR136+(1-EXP(-LN(2)/25))/(LN(2)/25)*Calculateur!FM137*Calculateur!FO137*VLOOKUP('Données projet'!$B$16,Paramètres!$A$1:$I$89,3,0)*0.475*44/12</f>
        <v>4.4962182453106827</v>
      </c>
      <c r="FS137" s="21">
        <f>EXP(-LN(2)/2)*FS136+(1-EXP(-LN(2)/2))/(LN(2)/2)*FM137*FP137*VLOOKUP('Données projet'!$B$16,Paramètres!$A$1:$I$89,3,0)*0.475*44/12</f>
        <v>1.4870187071357145E-7</v>
      </c>
      <c r="FT137" s="22">
        <f t="shared" si="132"/>
        <v>26.023566734796265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>
        <f>FZ137*VLOOKUP('Données projet'!$B$17,Paramètres!$A$1:$I$89,3,0)*VLOOKUP('Données projet'!$B$17,Paramètres!$A$1:$I$89,5,0)</f>
        <v>0</v>
      </c>
      <c r="GB137" s="13" t="e">
        <f t="shared" si="157"/>
        <v>#NUM!</v>
      </c>
      <c r="GC137" s="20" t="e">
        <f t="shared" si="133"/>
        <v>#NUM!</v>
      </c>
      <c r="GD137" s="59" t="e">
        <f t="shared" si="134"/>
        <v>#NUM!</v>
      </c>
      <c r="GE137" s="59">
        <f ca="1">AVERAGE(OFFSET($GD$3,0,0,'Données projet'!$E$17+1,1))-AVERAGE(OFFSET($H$3,0,0,'Données projet'!$E$17+1,1))</f>
        <v>153.43773674911449</v>
      </c>
      <c r="GF137" s="59">
        <f t="shared" si="158"/>
        <v>235.49395036616602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28.297525108554261</v>
      </c>
      <c r="GM137" s="21">
        <f>EXP(-LN(2)/25)*GM136+(1-EXP(-LN(2)/25))/(LN(2)/25)*Calculateur!GH137*Calculateur!GJ137*VLOOKUP('Données projet'!$B$17,Paramètres!$A$1:$I$89,3,0)*0.475*44/12</f>
        <v>11.037414320322323</v>
      </c>
      <c r="GN137" s="21">
        <f>EXP(-LN(2)/2)*GN136+(1-EXP(-LN(2)/2))/(LN(2)/2)*GH137*GK137*VLOOKUP('Données projet'!$B$17,Paramètres!$A$1:$I$89,3,0)*0.475*44/12</f>
        <v>0</v>
      </c>
      <c r="GO137" s="21">
        <f t="shared" si="135"/>
        <v>39.334939428876581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5.6843418860808015E-14</v>
      </c>
      <c r="GV137" s="17">
        <f>GU137*VLOOKUP('Données projet'!$B$18,Paramètres!$A$1:$I$89,3,0)*VLOOKUP('Données projet'!$B$18,Paramètres!$A$1:$I$89,5,0)</f>
        <v>4.5224624045658861E-14</v>
      </c>
      <c r="GW137" s="13">
        <f t="shared" si="159"/>
        <v>7.4514601661523691E-13</v>
      </c>
      <c r="GX137" s="20">
        <f t="shared" si="136"/>
        <v>1.3765621991510601E-12</v>
      </c>
      <c r="GY137" s="59">
        <f t="shared" si="137"/>
        <v>293.33333333333468</v>
      </c>
      <c r="GZ137" s="59">
        <f ca="1">AVERAGE(OFFSET($GY$3,0,0,'Données projet'!$E$18+1,1))-AVERAGE(OFFSET($H$3,0,0,'Données projet'!$E$18+1,1))</f>
        <v>198.11534486400666</v>
      </c>
      <c r="HA137" s="59">
        <f t="shared" si="160"/>
        <v>174.29856796517652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>
        <f>EXP(-LN(2)/35)*HG136+(1-EXP(-LN(2)/35))/(LN(2)/35)*HC137*HD137*VLOOKUP('Données projet'!$B$18,Paramètres!$A$1:$I$89,3,0)*0.475*44/12</f>
        <v>27.064382588436445</v>
      </c>
      <c r="HH137" s="21">
        <f>EXP(-LN(2)/25)*HH136+(1-EXP(-LN(2)/25))/(LN(2)/25)*Calculateur!HC137*Calculateur!HE137*VLOOKUP('Données projet'!$B$18,Paramètres!$A$1:$I$89,3,0)*0.475*44/12</f>
        <v>5.6526874032906012</v>
      </c>
      <c r="HI137" s="21">
        <f>EXP(-LN(2)/2)*HI136+(1-EXP(-LN(2)/2))/(LN(2)/2)*HC137*HF137*VLOOKUP('Données projet'!$B$18,Paramètres!$A$1:$I$89,3,0)*0.475*44/12</f>
        <v>1.5167590812784265E-7</v>
      </c>
      <c r="HJ137" s="22">
        <f t="shared" si="138"/>
        <v>32.71707014340295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1.1368683772161603E-13</v>
      </c>
      <c r="O138" s="13">
        <f>N138*VLOOKUP('Données projet'!$B$9,Paramètres!$A$1:$I$89,3,0)*VLOOKUP('Données projet'!$B$9,Paramètres!$A$1:$I$89,5,0)</f>
        <v>6.7984728957526396E-14</v>
      </c>
      <c r="P138" s="13">
        <f t="shared" si="141"/>
        <v>1.0682447123141398E-12</v>
      </c>
      <c r="Q138" s="20">
        <f t="shared" si="108"/>
        <v>1.978932943548152E-12</v>
      </c>
      <c r="R138" s="59">
        <f t="shared" si="109"/>
        <v>293.3333333333353</v>
      </c>
      <c r="S138" s="59">
        <f ca="1">AVERAGE(OFFSET($R$3,0,0,'Données projet'!$E$9+1,1))-AVERAGE(OFFSET($H$3,0,0,'Données projet'!$E$9+1,1))</f>
        <v>295.19075440119076</v>
      </c>
      <c r="T138" s="59">
        <f t="shared" si="142"/>
        <v>173.0182327988216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66.871628785545582</v>
      </c>
      <c r="AA138" s="21">
        <f>EXP(-LN(2)/25)*AA137+(1-EXP(-LN(2)/25))/(LN(2)/25)*Calculateur!V138*Calculateur!X138*VLOOKUP('Données projet'!$B$9,Paramètres!$A$1:$I$89,3,0)*0.475*44/12</f>
        <v>24.874817206380211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91.746445991925796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294.45857786714919</v>
      </c>
      <c r="AO138" s="59">
        <f t="shared" si="144"/>
        <v>221.9773436301067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61.722561554577062</v>
      </c>
      <c r="AV138" s="21">
        <f>EXP(-LN(2)/25)*AV137+(1-EXP(-LN(2)/25))/(LN(2)/25)*Calculateur!AQ138*Calculateur!AS138*VLOOKUP('Données projet'!$B$10,Paramètres!$A$1:$I$89,3,0)*0.475*44/12</f>
        <v>21.882253489455408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83.604815044032478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179.44051550872138</v>
      </c>
      <c r="BJ138" s="59">
        <f t="shared" si="146"/>
        <v>272.9500808380069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31.705860458241823</v>
      </c>
      <c r="BQ138" s="21">
        <f>EXP(-LN(2)/25)*BQ137+(1-EXP(-LN(2)/25))/(LN(2)/25)*Calculateur!BL138*Calculateur!BN138*VLOOKUP('Données projet'!$B$11,Paramètres!$A$1:$I$89,3,0)*0.475*44/12</f>
        <v>12.269252166057969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43.97511262429979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-1.5961632016114892E-13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259.87681411271632</v>
      </c>
      <c r="CE138" s="59">
        <f t="shared" si="148"/>
        <v>191.8684235641158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109.68642648200968</v>
      </c>
      <c r="CL138" s="21">
        <f>EXP(-LN(2)/25)*CL137+(1-EXP(-LN(2)/25))/(LN(2)/25)*Calculateur!CG138*Calculateur!CI138*VLOOKUP('Données projet'!$B$12,Paramètres!$A$1:$I$89,3,0)*0.475*44/12</f>
        <v>41.572908617534218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151.2593350995439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5.6843418860808015E-14</v>
      </c>
      <c r="CU138" s="17">
        <f>CT138*VLOOKUP('Données projet'!$B$13,Paramètres!$A$1:$I$89,3,0)*VLOOKUP('Données projet'!$B$13,Paramètres!$A$1:$I$89,5,0)</f>
        <v>4.5224624045658861E-14</v>
      </c>
      <c r="CV138" s="13">
        <f t="shared" si="149"/>
        <v>7.4514601661523691E-13</v>
      </c>
      <c r="CW138" s="20">
        <f t="shared" si="121"/>
        <v>1.3765621991510601E-12</v>
      </c>
      <c r="CX138" s="59">
        <f t="shared" si="122"/>
        <v>293.33333333333468</v>
      </c>
      <c r="CY138" s="59">
        <f ca="1">AVERAGE(OFFSET($CX$3,0,0,'Données projet'!$E$13+1,1))-AVERAGE(OFFSET($H$3,0,0,'Données projet'!$E$13+1,1))</f>
        <v>198.11534486400666</v>
      </c>
      <c r="CZ138" s="59">
        <f t="shared" si="150"/>
        <v>174.29856796517652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26.53366655352059</v>
      </c>
      <c r="DG138" s="21">
        <f>EXP(-LN(2)/25)*DG137+(1-EXP(-LN(2)/25))/(LN(2)/25)*Calculateur!DB138*Calculateur!DD138*VLOOKUP('Données projet'!$B$13,Paramètres!$A$1:$I$89,3,0)*0.475*44/12</f>
        <v>5.4981143689857088</v>
      </c>
      <c r="DH138" s="21">
        <f>EXP(-LN(2)/2)*DH137+(1-EXP(-LN(2)/2))/(LN(2)/2)*DB138*DE138*VLOOKUP('Données projet'!$B$13,Paramètres!$A$1:$I$89,3,0)*0.475*44/12</f>
        <v>1.0725106317982532E-7</v>
      </c>
      <c r="DI138" s="22">
        <f t="shared" si="123"/>
        <v>32.031781029757362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4.666666666666667</v>
      </c>
      <c r="DO138" s="12">
        <f>IF('Données projet'!$A$166&gt;35,DO137+DN138-DW137,IF(A138&lt;'Données projet'!$A$166,$DL$205^A138,IF(A138='Données projet'!$A$166,'Données projet'!$B$166,DO137+DN138-DW137)))</f>
        <v>247.99999999999983</v>
      </c>
      <c r="DP138" s="17">
        <f>DO138*VLOOKUP('Données projet'!$B$14,Paramètres!$A$1:$I$89,3,0)*VLOOKUP('Données projet'!$B$14,Paramètres!$A$1:$I$89,5,0)</f>
        <v>251.47199999999987</v>
      </c>
      <c r="DQ138" s="13">
        <f t="shared" si="151"/>
        <v>60.901039718208594</v>
      </c>
      <c r="DR138" s="20">
        <f t="shared" si="124"/>
        <v>544.04971084254646</v>
      </c>
      <c r="DS138" s="59">
        <f t="shared" si="125"/>
        <v>837.38304417587983</v>
      </c>
      <c r="DT138" s="59">
        <f ca="1">AVERAGE(OFFSET($DS$3,0,0,'Données projet'!$E$14+1,1))-AVERAGE(OFFSET($H$3,0,0,'Données projet'!$E$14+1,1))</f>
        <v>247.92503505485405</v>
      </c>
      <c r="DU138" s="59">
        <f t="shared" si="152"/>
        <v>148.26437652597514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13.928224227711922</v>
      </c>
      <c r="EB138" s="21">
        <f>EXP(-LN(2)/25)*EB137+(1-EXP(-LN(2)/25))/(LN(2)/25)*Calculateur!DW138*Calculateur!DY138*VLOOKUP('Données projet'!$B$14,Paramètres!$A$1:$I$89,3,0)*0.475*44/12</f>
        <v>22.122749714541886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36.050973942253805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4.666666666666667</v>
      </c>
      <c r="EJ138" s="12">
        <f>IF('Données projet'!$A$192&gt;35,EJ137+EI138-ER137,IF(A138&lt;'Données projet'!$A$192,$EG$205^A138,IF(A138='Données projet'!$A$192,'Données projet'!$B$192,EJ137+EI138-ER137)))</f>
        <v>247.99999999999983</v>
      </c>
      <c r="EK138" s="17">
        <f>EJ138*VLOOKUP('Données projet'!$B$15,Paramètres!$A$1:$I$89,3,0)*VLOOKUP('Données projet'!$B$15,Paramètres!$A$1:$I$89,5,0)</f>
        <v>239.86559999999986</v>
      </c>
      <c r="EL138" s="13">
        <f t="shared" si="153"/>
        <v>58.410612724846153</v>
      </c>
      <c r="EM138" s="20">
        <f t="shared" si="127"/>
        <v>519.4977371624401</v>
      </c>
      <c r="EN138" s="59">
        <f t="shared" si="128"/>
        <v>812.83107049577347</v>
      </c>
      <c r="EO138" s="59">
        <f ca="1">AVERAGE(OFFSET($EN$3,0,0,'Données projet'!$E$15+1,1))-AVERAGE(OFFSET($H$3,0,0,'Données projet'!$E$15+1,1))</f>
        <v>232.99870507181964</v>
      </c>
      <c r="EP138" s="59">
        <f t="shared" si="154"/>
        <v>140.07662669226278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13.285383109509835</v>
      </c>
      <c r="EW138" s="21">
        <f>EXP(-LN(2)/25)*EW137+(1-EXP(-LN(2)/25))/(LN(2)/25)*Calculateur!ER138*Calculateur!ET138*VLOOKUP('Données projet'!$B$15,Paramètres!$A$1:$I$89,3,0)*0.475*44/12</f>
        <v>21.101699727716873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34.387082837226707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5.6843418860808015E-14</v>
      </c>
      <c r="FF138" s="17">
        <f>FE138*VLOOKUP('Données projet'!$B$16,Paramètres!$A$1:$I$89,3,0)*VLOOKUP('Données projet'!$B$16,Paramètres!$A$1:$I$89,5,0)</f>
        <v>4.4337866711430253E-14</v>
      </c>
      <c r="FG138" s="13">
        <f t="shared" si="155"/>
        <v>7.3222115536967035E-13</v>
      </c>
      <c r="FH138" s="20">
        <f t="shared" si="130"/>
        <v>1.3525069634579169E-12</v>
      </c>
      <c r="FI138" s="59">
        <f t="shared" si="131"/>
        <v>293.33333333333468</v>
      </c>
      <c r="FJ138" s="59">
        <f ca="1">AVERAGE(OFFSET($FI$3,0,0,'Données projet'!$E$16+1,1))-AVERAGE(OFFSET($H$3,0,0,'Données projet'!$E$16+1,1))</f>
        <v>193.47609744163839</v>
      </c>
      <c r="FK138" s="59">
        <f t="shared" si="156"/>
        <v>170.3221892406973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21.105210170206913</v>
      </c>
      <c r="FR138" s="21">
        <f>EXP(-LN(2)/25)*FR137+(1-EXP(-LN(2)/25))/(LN(2)/25)*Calculateur!FM138*Calculateur!FO138*VLOOKUP('Données projet'!$B$16,Paramètres!$A$1:$I$89,3,0)*0.475*44/12</f>
        <v>4.3732689209468205</v>
      </c>
      <c r="FS138" s="21">
        <f>EXP(-LN(2)/2)*FS137+(1-EXP(-LN(2)/2))/(LN(2)/2)*FM138*FP138*VLOOKUP('Données projet'!$B$16,Paramètres!$A$1:$I$89,3,0)*0.475*44/12</f>
        <v>1.0514810115669165E-7</v>
      </c>
      <c r="FT138" s="22">
        <f t="shared" si="132"/>
        <v>25.478479196301834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>
        <f>FZ138*VLOOKUP('Données projet'!$B$17,Paramètres!$A$1:$I$89,3,0)*VLOOKUP('Données projet'!$B$17,Paramètres!$A$1:$I$89,5,0)</f>
        <v>0</v>
      </c>
      <c r="GB138" s="13" t="e">
        <f t="shared" si="157"/>
        <v>#NUM!</v>
      </c>
      <c r="GC138" s="20" t="e">
        <f t="shared" si="133"/>
        <v>#NUM!</v>
      </c>
      <c r="GD138" s="59" t="e">
        <f t="shared" si="134"/>
        <v>#NUM!</v>
      </c>
      <c r="GE138" s="59">
        <f ca="1">AVERAGE(OFFSET($GD$3,0,0,'Données projet'!$E$17+1,1))-AVERAGE(OFFSET($H$3,0,0,'Données projet'!$E$17+1,1))</f>
        <v>153.43773674911449</v>
      </c>
      <c r="GF138" s="59">
        <f t="shared" si="158"/>
        <v>235.49395036616602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27.742627900961566</v>
      </c>
      <c r="GM138" s="21">
        <f>EXP(-LN(2)/25)*GM137+(1-EXP(-LN(2)/25))/(LN(2)/25)*Calculateur!GH138*Calculateur!GJ138*VLOOKUP('Données projet'!$B$17,Paramètres!$A$1:$I$89,3,0)*0.475*44/12</f>
        <v>10.735595645300716</v>
      </c>
      <c r="GN138" s="21">
        <f>EXP(-LN(2)/2)*GN137+(1-EXP(-LN(2)/2))/(LN(2)/2)*GH138*GK138*VLOOKUP('Données projet'!$B$17,Paramètres!$A$1:$I$89,3,0)*0.475*44/12</f>
        <v>0</v>
      </c>
      <c r="GO138" s="21">
        <f t="shared" si="135"/>
        <v>38.478223546262285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5.6843418860808015E-14</v>
      </c>
      <c r="GV138" s="17">
        <f>GU138*VLOOKUP('Données projet'!$B$18,Paramètres!$A$1:$I$89,3,0)*VLOOKUP('Données projet'!$B$18,Paramètres!$A$1:$I$89,5,0)</f>
        <v>4.5224624045658861E-14</v>
      </c>
      <c r="GW138" s="13">
        <f t="shared" si="159"/>
        <v>7.4514601661523691E-13</v>
      </c>
      <c r="GX138" s="20">
        <f t="shared" si="136"/>
        <v>1.3765621991510601E-12</v>
      </c>
      <c r="GY138" s="59">
        <f t="shared" si="137"/>
        <v>293.33333333333468</v>
      </c>
      <c r="GZ138" s="59">
        <f ca="1">AVERAGE(OFFSET($GY$3,0,0,'Données projet'!$E$18+1,1))-AVERAGE(OFFSET($H$3,0,0,'Données projet'!$E$18+1,1))</f>
        <v>198.11534486400666</v>
      </c>
      <c r="HA138" s="59">
        <f t="shared" si="160"/>
        <v>174.29856796517652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>
        <f>EXP(-LN(2)/35)*HG137+(1-EXP(-LN(2)/35))/(LN(2)/35)*HC138*HD138*VLOOKUP('Données projet'!$B$18,Paramètres!$A$1:$I$89,3,0)*0.475*44/12</f>
        <v>26.53366655352059</v>
      </c>
      <c r="HH138" s="21">
        <f>EXP(-LN(2)/25)*HH137+(1-EXP(-LN(2)/25))/(LN(2)/25)*Calculateur!HC138*Calculateur!HE138*VLOOKUP('Données projet'!$B$18,Paramètres!$A$1:$I$89,3,0)*0.475*44/12</f>
        <v>5.4981143689857088</v>
      </c>
      <c r="HI138" s="21">
        <f>EXP(-LN(2)/2)*HI137+(1-EXP(-LN(2)/2))/(LN(2)/2)*HC138*HF138*VLOOKUP('Données projet'!$B$18,Paramètres!$A$1:$I$89,3,0)*0.475*44/12</f>
        <v>1.0725106317982532E-7</v>
      </c>
      <c r="HJ138" s="22">
        <f t="shared" si="138"/>
        <v>32.031781029757362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1.1368683772161603E-13</v>
      </c>
      <c r="O139" s="13">
        <f>N139*VLOOKUP('Données projet'!$B$9,Paramètres!$A$1:$I$89,3,0)*VLOOKUP('Données projet'!$B$9,Paramètres!$A$1:$I$89,5,0)</f>
        <v>6.7984728957526396E-14</v>
      </c>
      <c r="P139" s="13">
        <f t="shared" si="141"/>
        <v>1.0682447123141398E-12</v>
      </c>
      <c r="Q139" s="20">
        <f t="shared" si="108"/>
        <v>1.978932943548152E-12</v>
      </c>
      <c r="R139" s="59">
        <f t="shared" si="109"/>
        <v>293.3333333333353</v>
      </c>
      <c r="S139" s="59">
        <f ca="1">AVERAGE(OFFSET($R$3,0,0,'Données projet'!$E$9+1,1))-AVERAGE(OFFSET($H$3,0,0,'Données projet'!$E$9+1,1))</f>
        <v>295.19075440119076</v>
      </c>
      <c r="T139" s="59">
        <f t="shared" si="142"/>
        <v>173.0182327988216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65.560316932727147</v>
      </c>
      <c r="AA139" s="21">
        <f>EXP(-LN(2)/25)*AA138+(1-EXP(-LN(2)/25))/(LN(2)/25)*Calculateur!V139*Calculateur!X139*VLOOKUP('Données projet'!$B$9,Paramètres!$A$1:$I$89,3,0)*0.475*44/12</f>
        <v>24.194614021761961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89.754930954489112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294.45857786714919</v>
      </c>
      <c r="AO139" s="59">
        <f t="shared" si="144"/>
        <v>221.9773436301067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60.512219769537019</v>
      </c>
      <c r="AV139" s="21">
        <f>EXP(-LN(2)/25)*AV138+(1-EXP(-LN(2)/25))/(LN(2)/25)*Calculateur!AQ139*Calculateur!AS139*VLOOKUP('Données projet'!$B$10,Paramètres!$A$1:$I$89,3,0)*0.475*44/12</f>
        <v>21.283882117048552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81.796101886585575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179.44051550872138</v>
      </c>
      <c r="BJ139" s="59">
        <f t="shared" si="146"/>
        <v>272.9500808380069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31.084127873321044</v>
      </c>
      <c r="BQ139" s="21">
        <f>EXP(-LN(2)/25)*BQ138+(1-EXP(-LN(2)/25))/(LN(2)/25)*Calculateur!BL139*Calculateur!BN139*VLOOKUP('Données projet'!$B$11,Paramètres!$A$1:$I$89,3,0)*0.475*44/12</f>
        <v>11.933748820365183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43.017876693686226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-1.5961632016114892E-13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259.87681411271632</v>
      </c>
      <c r="CE139" s="59">
        <f t="shared" si="148"/>
        <v>191.8684235641158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107.53554256081159</v>
      </c>
      <c r="CL139" s="21">
        <f>EXP(-LN(2)/25)*CL138+(1-EXP(-LN(2)/25))/(LN(2)/25)*Calculateur!CG139*Calculateur!CI139*VLOOKUP('Données projet'!$B$12,Paramètres!$A$1:$I$89,3,0)*0.475*44/12</f>
        <v>40.436095245163493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147.97163780597509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5.6843418860808015E-14</v>
      </c>
      <c r="CU139" s="17">
        <f>CT139*VLOOKUP('Données projet'!$B$13,Paramètres!$A$1:$I$89,3,0)*VLOOKUP('Données projet'!$B$13,Paramètres!$A$1:$I$89,5,0)</f>
        <v>4.5224624045658861E-14</v>
      </c>
      <c r="CV139" s="13">
        <f t="shared" si="149"/>
        <v>7.4514601661523691E-13</v>
      </c>
      <c r="CW139" s="20">
        <f t="shared" si="121"/>
        <v>1.3765621991510601E-12</v>
      </c>
      <c r="CX139" s="59">
        <f t="shared" si="122"/>
        <v>293.33333333333468</v>
      </c>
      <c r="CY139" s="59">
        <f ca="1">AVERAGE(OFFSET($CX$3,0,0,'Données projet'!$E$13+1,1))-AVERAGE(OFFSET($H$3,0,0,'Données projet'!$E$13+1,1))</f>
        <v>198.11534486400666</v>
      </c>
      <c r="CZ139" s="59">
        <f t="shared" si="150"/>
        <v>174.29856796517652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26.013357536344618</v>
      </c>
      <c r="DG139" s="21">
        <f>EXP(-LN(2)/25)*DG138+(1-EXP(-LN(2)/25))/(LN(2)/25)*Calculateur!DB139*Calculateur!DD139*VLOOKUP('Données projet'!$B$13,Paramètres!$A$1:$I$89,3,0)*0.475*44/12</f>
        <v>5.3477681424325256</v>
      </c>
      <c r="DH139" s="21">
        <f>EXP(-LN(2)/2)*DH138+(1-EXP(-LN(2)/2))/(LN(2)/2)*DB139*DE139*VLOOKUP('Données projet'!$B$13,Paramètres!$A$1:$I$89,3,0)*0.475*44/12</f>
        <v>7.5837954063921327E-8</v>
      </c>
      <c r="DI139" s="22">
        <f t="shared" si="123"/>
        <v>31.361125754615095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4.666666666666667</v>
      </c>
      <c r="DO139" s="12">
        <f>IF('Données projet'!$A$166&gt;35,DO138+DN139-DW138,IF(A139&lt;'Données projet'!$A$166,$DL$205^A139,IF(A139='Données projet'!$A$166,'Données projet'!$B$166,DO138+DN139-DW138)))</f>
        <v>252.66666666666649</v>
      </c>
      <c r="DP139" s="17">
        <f>DO139*VLOOKUP('Données projet'!$B$14,Paramètres!$A$1:$I$89,3,0)*VLOOKUP('Données projet'!$B$14,Paramètres!$A$1:$I$89,5,0)</f>
        <v>256.20399999999984</v>
      </c>
      <c r="DQ139" s="13">
        <f t="shared" si="151"/>
        <v>61.912532837124694</v>
      </c>
      <c r="DR139" s="20">
        <f t="shared" si="124"/>
        <v>554.05296135799176</v>
      </c>
      <c r="DS139" s="59">
        <f t="shared" si="125"/>
        <v>847.38629469132502</v>
      </c>
      <c r="DT139" s="59">
        <f ca="1">AVERAGE(OFFSET($DS$3,0,0,'Données projet'!$E$14+1,1))-AVERAGE(OFFSET($H$3,0,0,'Données projet'!$E$14+1,1))</f>
        <v>247.92503505485405</v>
      </c>
      <c r="DU139" s="59">
        <f t="shared" si="152"/>
        <v>148.26437652597514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13.655100245984421</v>
      </c>
      <c r="EB139" s="21">
        <f>EXP(-LN(2)/25)*EB138+(1-EXP(-LN(2)/25))/(LN(2)/25)*Calculateur!DW139*Calculateur!DY139*VLOOKUP('Données projet'!$B$14,Paramètres!$A$1:$I$89,3,0)*0.475*44/12</f>
        <v>21.517801960212893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35.172902206197314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4.666666666666667</v>
      </c>
      <c r="EJ139" s="12">
        <f>IF('Données projet'!$A$192&gt;35,EJ138+EI139-ER138,IF(A139&lt;'Données projet'!$A$192,$EG$205^A139,IF(A139='Données projet'!$A$192,'Données projet'!$B$192,EJ138+EI139-ER138)))</f>
        <v>252.66666666666649</v>
      </c>
      <c r="EK139" s="17">
        <f>EJ139*VLOOKUP('Données projet'!$B$15,Paramètres!$A$1:$I$89,3,0)*VLOOKUP('Données projet'!$B$15,Paramètres!$A$1:$I$89,5,0)</f>
        <v>244.37919999999983</v>
      </c>
      <c r="EL139" s="13">
        <f t="shared" si="153"/>
        <v>59.380742842759133</v>
      </c>
      <c r="EM139" s="20">
        <f t="shared" si="127"/>
        <v>529.04856711780519</v>
      </c>
      <c r="EN139" s="59">
        <f t="shared" si="128"/>
        <v>822.38190045113856</v>
      </c>
      <c r="EO139" s="59">
        <f ca="1">AVERAGE(OFFSET($EN$3,0,0,'Données projet'!$E$15+1,1))-AVERAGE(OFFSET($H$3,0,0,'Données projet'!$E$15+1,1))</f>
        <v>232.99870507181964</v>
      </c>
      <c r="EP139" s="59">
        <f t="shared" si="154"/>
        <v>140.07662669226278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13.024864850015911</v>
      </c>
      <c r="EW139" s="21">
        <f>EXP(-LN(2)/25)*EW138+(1-EXP(-LN(2)/25))/(LN(2)/25)*Calculateur!ER139*Calculateur!ET139*VLOOKUP('Données projet'!$B$15,Paramètres!$A$1:$I$89,3,0)*0.475*44/12</f>
        <v>20.524672638972294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33.549537488988207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5.6843418860808015E-14</v>
      </c>
      <c r="FF139" s="17">
        <f>FE139*VLOOKUP('Données projet'!$B$16,Paramètres!$A$1:$I$89,3,0)*VLOOKUP('Données projet'!$B$16,Paramètres!$A$1:$I$89,5,0)</f>
        <v>4.4337866711430253E-14</v>
      </c>
      <c r="FG139" s="13">
        <f t="shared" si="155"/>
        <v>7.3222115536967035E-13</v>
      </c>
      <c r="FH139" s="20">
        <f t="shared" si="130"/>
        <v>1.3525069634579169E-12</v>
      </c>
      <c r="FI139" s="59">
        <f t="shared" si="131"/>
        <v>293.33333333333468</v>
      </c>
      <c r="FJ139" s="59">
        <f ca="1">AVERAGE(OFFSET($FI$3,0,0,'Données projet'!$E$16+1,1))-AVERAGE(OFFSET($H$3,0,0,'Données projet'!$E$16+1,1))</f>
        <v>193.47609744163839</v>
      </c>
      <c r="FK139" s="59">
        <f t="shared" si="156"/>
        <v>170.3221892406973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20.691349871676266</v>
      </c>
      <c r="FR139" s="21">
        <f>EXP(-LN(2)/25)*FR138+(1-EXP(-LN(2)/25))/(LN(2)/25)*Calculateur!FM139*Calculateur!FO139*VLOOKUP('Données projet'!$B$16,Paramètres!$A$1:$I$89,3,0)*0.475*44/12</f>
        <v>4.2536816523233121</v>
      </c>
      <c r="FS139" s="21">
        <f>EXP(-LN(2)/2)*FS138+(1-EXP(-LN(2)/2))/(LN(2)/2)*FM139*FP139*VLOOKUP('Données projet'!$B$16,Paramètres!$A$1:$I$89,3,0)*0.475*44/12</f>
        <v>7.4350935356785727E-8</v>
      </c>
      <c r="FT139" s="22">
        <f t="shared" si="132"/>
        <v>24.945031598350514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>
        <f>FZ139*VLOOKUP('Données projet'!$B$17,Paramètres!$A$1:$I$89,3,0)*VLOOKUP('Données projet'!$B$17,Paramètres!$A$1:$I$89,5,0)</f>
        <v>0</v>
      </c>
      <c r="GB139" s="13" t="e">
        <f t="shared" si="157"/>
        <v>#NUM!</v>
      </c>
      <c r="GC139" s="20" t="e">
        <f t="shared" si="133"/>
        <v>#NUM!</v>
      </c>
      <c r="GD139" s="59" t="e">
        <f t="shared" si="134"/>
        <v>#NUM!</v>
      </c>
      <c r="GE139" s="59">
        <f ca="1">AVERAGE(OFFSET($GD$3,0,0,'Données projet'!$E$17+1,1))-AVERAGE(OFFSET($H$3,0,0,'Données projet'!$E$17+1,1))</f>
        <v>153.43773674911449</v>
      </c>
      <c r="GF139" s="59">
        <f t="shared" si="158"/>
        <v>235.49395036616602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27.198611889155885</v>
      </c>
      <c r="GM139" s="21">
        <f>EXP(-LN(2)/25)*GM138+(1-EXP(-LN(2)/25))/(LN(2)/25)*Calculateur!GH139*Calculateur!GJ139*VLOOKUP('Données projet'!$B$17,Paramètres!$A$1:$I$89,3,0)*0.475*44/12</f>
        <v>10.442030217819529</v>
      </c>
      <c r="GN139" s="21">
        <f>EXP(-LN(2)/2)*GN138+(1-EXP(-LN(2)/2))/(LN(2)/2)*GH139*GK139*VLOOKUP('Données projet'!$B$17,Paramètres!$A$1:$I$89,3,0)*0.475*44/12</f>
        <v>0</v>
      </c>
      <c r="GO139" s="21">
        <f t="shared" si="135"/>
        <v>37.640642106975413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5.6843418860808015E-14</v>
      </c>
      <c r="GV139" s="17">
        <f>GU139*VLOOKUP('Données projet'!$B$18,Paramètres!$A$1:$I$89,3,0)*VLOOKUP('Données projet'!$B$18,Paramètres!$A$1:$I$89,5,0)</f>
        <v>4.5224624045658861E-14</v>
      </c>
      <c r="GW139" s="13">
        <f t="shared" si="159"/>
        <v>7.4514601661523691E-13</v>
      </c>
      <c r="GX139" s="20">
        <f t="shared" si="136"/>
        <v>1.3765621991510601E-12</v>
      </c>
      <c r="GY139" s="59">
        <f t="shared" si="137"/>
        <v>293.33333333333468</v>
      </c>
      <c r="GZ139" s="59">
        <f ca="1">AVERAGE(OFFSET($GY$3,0,0,'Données projet'!$E$18+1,1))-AVERAGE(OFFSET($H$3,0,0,'Données projet'!$E$18+1,1))</f>
        <v>198.11534486400666</v>
      </c>
      <c r="HA139" s="59">
        <f t="shared" si="160"/>
        <v>174.29856796517652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>
        <f>EXP(-LN(2)/35)*HG138+(1-EXP(-LN(2)/35))/(LN(2)/35)*HC139*HD139*VLOOKUP('Données projet'!$B$18,Paramètres!$A$1:$I$89,3,0)*0.475*44/12</f>
        <v>26.013357536344618</v>
      </c>
      <c r="HH139" s="21">
        <f>EXP(-LN(2)/25)*HH138+(1-EXP(-LN(2)/25))/(LN(2)/25)*Calculateur!HC139*Calculateur!HE139*VLOOKUP('Données projet'!$B$18,Paramètres!$A$1:$I$89,3,0)*0.475*44/12</f>
        <v>5.3477681424325256</v>
      </c>
      <c r="HI139" s="21">
        <f>EXP(-LN(2)/2)*HI138+(1-EXP(-LN(2)/2))/(LN(2)/2)*HC139*HF139*VLOOKUP('Données projet'!$B$18,Paramètres!$A$1:$I$89,3,0)*0.475*44/12</f>
        <v>7.5837954063921327E-8</v>
      </c>
      <c r="HJ139" s="22">
        <f t="shared" si="138"/>
        <v>31.361125754615095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1.1368683772161603E-13</v>
      </c>
      <c r="O140" s="13">
        <f>N140*VLOOKUP('Données projet'!$B$9,Paramètres!$A$1:$I$89,3,0)*VLOOKUP('Données projet'!$B$9,Paramètres!$A$1:$I$89,5,0)</f>
        <v>6.7984728957526396E-14</v>
      </c>
      <c r="P140" s="13">
        <f t="shared" si="141"/>
        <v>1.0682447123141398E-12</v>
      </c>
      <c r="Q140" s="20">
        <f t="shared" si="108"/>
        <v>1.978932943548152E-12</v>
      </c>
      <c r="R140" s="59">
        <f t="shared" si="109"/>
        <v>293.3333333333353</v>
      </c>
      <c r="S140" s="59">
        <f ca="1">AVERAGE(OFFSET($R$3,0,0,'Données projet'!$E$9+1,1))-AVERAGE(OFFSET($H$3,0,0,'Données projet'!$E$9+1,1))</f>
        <v>295.19075440119076</v>
      </c>
      <c r="T140" s="59">
        <f t="shared" si="142"/>
        <v>173.0182327988216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64.274719105521228</v>
      </c>
      <c r="AA140" s="21">
        <f>EXP(-LN(2)/25)*AA139+(1-EXP(-LN(2)/25))/(LN(2)/25)*Calculateur!V140*Calculateur!X140*VLOOKUP('Données projet'!$B$9,Paramètres!$A$1:$I$89,3,0)*0.475*44/12</f>
        <v>23.533011028997425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87.80773013451865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294.45857786714919</v>
      </c>
      <c r="AO140" s="59">
        <f t="shared" si="144"/>
        <v>221.9773436301067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59.325612048666017</v>
      </c>
      <c r="AV140" s="21">
        <f>EXP(-LN(2)/25)*AV139+(1-EXP(-LN(2)/25))/(LN(2)/25)*Calculateur!AQ140*Calculateur!AS140*VLOOKUP('Données projet'!$B$10,Paramètres!$A$1:$I$89,3,0)*0.475*44/12</f>
        <v>20.701873241287146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80.027485289953162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179.44051550872138</v>
      </c>
      <c r="BJ140" s="59">
        <f t="shared" si="146"/>
        <v>272.9500808380069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30.47458708517113</v>
      </c>
      <c r="BQ140" s="21">
        <f>EXP(-LN(2)/25)*BQ139+(1-EXP(-LN(2)/25))/(LN(2)/25)*Calculateur!BL140*Calculateur!BN140*VLOOKUP('Données projet'!$B$11,Paramètres!$A$1:$I$89,3,0)*0.475*44/12</f>
        <v>11.607419831303721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42.082006916474853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-1.5961632016114892E-13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259.87681411271632</v>
      </c>
      <c r="CE140" s="59">
        <f t="shared" si="148"/>
        <v>191.8684235641158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105.42683616139854</v>
      </c>
      <c r="CL140" s="21">
        <f>EXP(-LN(2)/25)*CL139+(1-EXP(-LN(2)/25))/(LN(2)/25)*Calculateur!CG140*Calculateur!CI140*VLOOKUP('Données projet'!$B$12,Paramètres!$A$1:$I$89,3,0)*0.475*44/12</f>
        <v>39.330368094242665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144.7572042556412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5.6843418860808015E-14</v>
      </c>
      <c r="CU140" s="17">
        <f>CT140*VLOOKUP('Données projet'!$B$13,Paramètres!$A$1:$I$89,3,0)*VLOOKUP('Données projet'!$B$13,Paramètres!$A$1:$I$89,5,0)</f>
        <v>4.5224624045658861E-14</v>
      </c>
      <c r="CV140" s="13">
        <f t="shared" si="149"/>
        <v>7.4514601661523691E-13</v>
      </c>
      <c r="CW140" s="20">
        <f t="shared" si="121"/>
        <v>1.3765621991510601E-12</v>
      </c>
      <c r="CX140" s="59">
        <f t="shared" si="122"/>
        <v>293.33333333333468</v>
      </c>
      <c r="CY140" s="59">
        <f ca="1">AVERAGE(OFFSET($CX$3,0,0,'Données projet'!$E$13+1,1))-AVERAGE(OFFSET($H$3,0,0,'Données projet'!$E$13+1,1))</f>
        <v>198.11534486400666</v>
      </c>
      <c r="CZ140" s="59">
        <f t="shared" si="150"/>
        <v>174.29856796517652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25.503251461638303</v>
      </c>
      <c r="DG140" s="21">
        <f>EXP(-LN(2)/25)*DG139+(1-EXP(-LN(2)/25))/(LN(2)/25)*Calculateur!DB140*Calculateur!DD140*VLOOKUP('Données projet'!$B$13,Paramètres!$A$1:$I$89,3,0)*0.475*44/12</f>
        <v>5.2015331413508044</v>
      </c>
      <c r="DH140" s="21">
        <f>EXP(-LN(2)/2)*DH139+(1-EXP(-LN(2)/2))/(LN(2)/2)*DB140*DE140*VLOOKUP('Données projet'!$B$13,Paramètres!$A$1:$I$89,3,0)*0.475*44/12</f>
        <v>5.3625531589912661E-8</v>
      </c>
      <c r="DI140" s="22">
        <f t="shared" si="123"/>
        <v>30.704784656614638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4.666666666666667</v>
      </c>
      <c r="DO140" s="12">
        <f>IF('Données projet'!$A$166&gt;35,DO139+DN140-DW139,IF(A140&lt;'Données projet'!$A$166,$DL$205^A140,IF(A140='Données projet'!$A$166,'Données projet'!$B$166,DO139+DN140-DW139)))</f>
        <v>257.33333333333314</v>
      </c>
      <c r="DP140" s="17">
        <f>DO140*VLOOKUP('Données projet'!$B$14,Paramètres!$A$1:$I$89,3,0)*VLOOKUP('Données projet'!$B$14,Paramètres!$A$1:$I$89,5,0)</f>
        <v>260.93599999999981</v>
      </c>
      <c r="DQ140" s="13">
        <f t="shared" si="151"/>
        <v>62.921853584561646</v>
      </c>
      <c r="DR140" s="20">
        <f t="shared" si="124"/>
        <v>564.05242832644456</v>
      </c>
      <c r="DS140" s="59">
        <f t="shared" si="125"/>
        <v>857.38576165977793</v>
      </c>
      <c r="DT140" s="59">
        <f ca="1">AVERAGE(OFFSET($DS$3,0,0,'Données projet'!$E$14+1,1))-AVERAGE(OFFSET($H$3,0,0,'Données projet'!$E$14+1,1))</f>
        <v>247.92503505485405</v>
      </c>
      <c r="DU140" s="59">
        <f t="shared" si="152"/>
        <v>148.26437652597514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13.387332058949417</v>
      </c>
      <c r="EB140" s="21">
        <f>EXP(-LN(2)/25)*EB139+(1-EXP(-LN(2)/25))/(LN(2)/25)*Calculateur!DW140*Calculateur!DY140*VLOOKUP('Données projet'!$B$14,Paramètres!$A$1:$I$89,3,0)*0.475*44/12</f>
        <v>20.929396534038844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34.316728592988262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4.666666666666667</v>
      </c>
      <c r="EJ140" s="12">
        <f>IF('Données projet'!$A$192&gt;35,EJ139+EI140-ER139,IF(A140&lt;'Données projet'!$A$192,$EG$205^A140,IF(A140='Données projet'!$A$192,'Données projet'!$B$192,EJ139+EI140-ER139)))</f>
        <v>257.33333333333314</v>
      </c>
      <c r="EK140" s="17">
        <f>EJ140*VLOOKUP('Données projet'!$B$15,Paramètres!$A$1:$I$89,3,0)*VLOOKUP('Données projet'!$B$15,Paramètres!$A$1:$I$89,5,0)</f>
        <v>248.8927999999998</v>
      </c>
      <c r="EL140" s="13">
        <f t="shared" si="153"/>
        <v>60.348789424007698</v>
      </c>
      <c r="EM140" s="20">
        <f t="shared" si="127"/>
        <v>538.59576824681301</v>
      </c>
      <c r="EN140" s="59">
        <f t="shared" si="128"/>
        <v>831.92910158014638</v>
      </c>
      <c r="EO140" s="59">
        <f ca="1">AVERAGE(OFFSET($EN$3,0,0,'Données projet'!$E$15+1,1))-AVERAGE(OFFSET($H$3,0,0,'Données projet'!$E$15+1,1))</f>
        <v>232.99870507181964</v>
      </c>
      <c r="EP140" s="59">
        <f t="shared" si="154"/>
        <v>140.07662669226278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12.769455194690215</v>
      </c>
      <c r="EW140" s="21">
        <f>EXP(-LN(2)/25)*EW139+(1-EXP(-LN(2)/25))/(LN(2)/25)*Calculateur!ER140*Calculateur!ET140*VLOOKUP('Données projet'!$B$15,Paramètres!$A$1:$I$89,3,0)*0.475*44/12</f>
        <v>19.963424386313974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32.732879581004191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5.6843418860808015E-14</v>
      </c>
      <c r="FF140" s="17">
        <f>FE140*VLOOKUP('Données projet'!$B$16,Paramètres!$A$1:$I$89,3,0)*VLOOKUP('Données projet'!$B$16,Paramètres!$A$1:$I$89,5,0)</f>
        <v>4.4337866711430253E-14</v>
      </c>
      <c r="FG140" s="13">
        <f t="shared" si="155"/>
        <v>7.3222115536967035E-13</v>
      </c>
      <c r="FH140" s="20">
        <f t="shared" si="130"/>
        <v>1.3525069634579169E-12</v>
      </c>
      <c r="FI140" s="59">
        <f t="shared" si="131"/>
        <v>293.33333333333468</v>
      </c>
      <c r="FJ140" s="59">
        <f ca="1">AVERAGE(OFFSET($FI$3,0,0,'Données projet'!$E$16+1,1))-AVERAGE(OFFSET($H$3,0,0,'Données projet'!$E$16+1,1))</f>
        <v>193.47609744163839</v>
      </c>
      <c r="FK140" s="59">
        <f t="shared" si="156"/>
        <v>170.3221892406973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20.285605121169947</v>
      </c>
      <c r="FR140" s="21">
        <f>EXP(-LN(2)/25)*FR139+(1-EXP(-LN(2)/25))/(LN(2)/25)*Calculateur!FM140*Calculateur!FO140*VLOOKUP('Données projet'!$B$16,Paramètres!$A$1:$I$89,3,0)*0.475*44/12</f>
        <v>4.1373645038491347</v>
      </c>
      <c r="FS140" s="21">
        <f>EXP(-LN(2)/2)*FS139+(1-EXP(-LN(2)/2))/(LN(2)/2)*FM140*FP140*VLOOKUP('Données projet'!$B$16,Paramètres!$A$1:$I$89,3,0)*0.475*44/12</f>
        <v>5.2574050578345825E-8</v>
      </c>
      <c r="FT140" s="22">
        <f t="shared" si="132"/>
        <v>24.422969677593134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>
        <f>FZ140*VLOOKUP('Données projet'!$B$17,Paramètres!$A$1:$I$89,3,0)*VLOOKUP('Données projet'!$B$17,Paramètres!$A$1:$I$89,5,0)</f>
        <v>0</v>
      </c>
      <c r="GB140" s="13" t="e">
        <f t="shared" si="157"/>
        <v>#NUM!</v>
      </c>
      <c r="GC140" s="20" t="e">
        <f t="shared" si="133"/>
        <v>#NUM!</v>
      </c>
      <c r="GD140" s="59" t="e">
        <f t="shared" si="134"/>
        <v>#NUM!</v>
      </c>
      <c r="GE140" s="59">
        <f ca="1">AVERAGE(OFFSET($GD$3,0,0,'Données projet'!$E$17+1,1))-AVERAGE(OFFSET($H$3,0,0,'Données projet'!$E$17+1,1))</f>
        <v>153.43773674911449</v>
      </c>
      <c r="GF140" s="59">
        <f t="shared" si="158"/>
        <v>235.49395036616602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26.665263699524711</v>
      </c>
      <c r="GM140" s="21">
        <f>EXP(-LN(2)/25)*GM139+(1-EXP(-LN(2)/25))/(LN(2)/25)*Calculateur!GH140*Calculateur!GJ140*VLOOKUP('Données projet'!$B$17,Paramètres!$A$1:$I$89,3,0)*0.475*44/12</f>
        <v>10.15649235239075</v>
      </c>
      <c r="GN140" s="21">
        <f>EXP(-LN(2)/2)*GN139+(1-EXP(-LN(2)/2))/(LN(2)/2)*GH140*GK140*VLOOKUP('Données projet'!$B$17,Paramètres!$A$1:$I$89,3,0)*0.475*44/12</f>
        <v>0</v>
      </c>
      <c r="GO140" s="21">
        <f t="shared" si="135"/>
        <v>36.821756051915457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5.6843418860808015E-14</v>
      </c>
      <c r="GV140" s="17">
        <f>GU140*VLOOKUP('Données projet'!$B$18,Paramètres!$A$1:$I$89,3,0)*VLOOKUP('Données projet'!$B$18,Paramètres!$A$1:$I$89,5,0)</f>
        <v>4.5224624045658861E-14</v>
      </c>
      <c r="GW140" s="13">
        <f t="shared" si="159"/>
        <v>7.4514601661523691E-13</v>
      </c>
      <c r="GX140" s="20">
        <f t="shared" si="136"/>
        <v>1.3765621991510601E-12</v>
      </c>
      <c r="GY140" s="59">
        <f t="shared" si="137"/>
        <v>293.33333333333468</v>
      </c>
      <c r="GZ140" s="59">
        <f ca="1">AVERAGE(OFFSET($GY$3,0,0,'Données projet'!$E$18+1,1))-AVERAGE(OFFSET($H$3,0,0,'Données projet'!$E$18+1,1))</f>
        <v>198.11534486400666</v>
      </c>
      <c r="HA140" s="59">
        <f t="shared" si="160"/>
        <v>174.29856796517652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>
        <f>EXP(-LN(2)/35)*HG139+(1-EXP(-LN(2)/35))/(LN(2)/35)*HC140*HD140*VLOOKUP('Données projet'!$B$18,Paramètres!$A$1:$I$89,3,0)*0.475*44/12</f>
        <v>25.503251461638303</v>
      </c>
      <c r="HH140" s="21">
        <f>EXP(-LN(2)/25)*HH139+(1-EXP(-LN(2)/25))/(LN(2)/25)*Calculateur!HC140*Calculateur!HE140*VLOOKUP('Données projet'!$B$18,Paramètres!$A$1:$I$89,3,0)*0.475*44/12</f>
        <v>5.2015331413508044</v>
      </c>
      <c r="HI140" s="21">
        <f>EXP(-LN(2)/2)*HI139+(1-EXP(-LN(2)/2))/(LN(2)/2)*HC140*HF140*VLOOKUP('Données projet'!$B$18,Paramètres!$A$1:$I$89,3,0)*0.475*44/12</f>
        <v>5.3625531589912661E-8</v>
      </c>
      <c r="HJ140" s="22">
        <f t="shared" si="138"/>
        <v>30.704784656614638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1.1368683772161603E-13</v>
      </c>
      <c r="O141" s="13">
        <f>N141*VLOOKUP('Données projet'!$B$9,Paramètres!$A$1:$I$89,3,0)*VLOOKUP('Données projet'!$B$9,Paramètres!$A$1:$I$89,5,0)</f>
        <v>6.7984728957526396E-14</v>
      </c>
      <c r="P141" s="13">
        <f t="shared" si="141"/>
        <v>1.0682447123141398E-12</v>
      </c>
      <c r="Q141" s="20">
        <f t="shared" si="108"/>
        <v>1.978932943548152E-12</v>
      </c>
      <c r="R141" s="59">
        <f t="shared" si="109"/>
        <v>293.3333333333353</v>
      </c>
      <c r="S141" s="59">
        <f ca="1">AVERAGE(OFFSET($R$3,0,0,'Données projet'!$E$9+1,1))-AVERAGE(OFFSET($H$3,0,0,'Données projet'!$E$9+1,1))</f>
        <v>295.19075440119076</v>
      </c>
      <c r="T141" s="59">
        <f t="shared" si="142"/>
        <v>173.0182327988216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63.014331067569564</v>
      </c>
      <c r="AA141" s="21">
        <f>EXP(-LN(2)/25)*AA140+(1-EXP(-LN(2)/25))/(LN(2)/25)*Calculateur!V141*Calculateur!X141*VLOOKUP('Données projet'!$B$9,Paramètres!$A$1:$I$89,3,0)*0.475*44/12</f>
        <v>22.889499604862227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85.903830672431795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294.45857786714919</v>
      </c>
      <c r="AO141" s="59">
        <f t="shared" si="144"/>
        <v>221.9773436301067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58.162272981442051</v>
      </c>
      <c r="AV141" s="21">
        <f>EXP(-LN(2)/25)*AV140+(1-EXP(-LN(2)/25))/(LN(2)/25)*Calculateur!AQ141*Calculateur!AS141*VLOOKUP('Données projet'!$B$10,Paramètres!$A$1:$I$89,3,0)*0.475*44/12</f>
        <v>20.13577942883995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78.298052410281997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179.44051550872138</v>
      </c>
      <c r="BJ141" s="59">
        <f t="shared" si="146"/>
        <v>272.9500808380069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29.876999020093667</v>
      </c>
      <c r="BQ141" s="21">
        <f>EXP(-LN(2)/25)*BQ140+(1-EXP(-LN(2)/25))/(LN(2)/25)*Calculateur!BL141*Calculateur!BN141*VLOOKUP('Données projet'!$B$11,Paramètres!$A$1:$I$89,3,0)*0.475*44/12</f>
        <v>11.290014325609041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41.167013345702706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-1.5961632016114892E-13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259.87681411271632</v>
      </c>
      <c r="CE141" s="59">
        <f t="shared" si="148"/>
        <v>191.8684235641158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103.35948020829407</v>
      </c>
      <c r="CL141" s="21">
        <f>EXP(-LN(2)/25)*CL140+(1-EXP(-LN(2)/25))/(LN(2)/25)*Calculateur!CG141*Calculateur!CI141*VLOOKUP('Données projet'!$B$12,Paramètres!$A$1:$I$89,3,0)*0.475*44/12</f>
        <v>38.254877110411435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141.61435731870552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5.6843418860808015E-14</v>
      </c>
      <c r="CU141" s="17">
        <f>CT141*VLOOKUP('Données projet'!$B$13,Paramètres!$A$1:$I$89,3,0)*VLOOKUP('Données projet'!$B$13,Paramètres!$A$1:$I$89,5,0)</f>
        <v>4.5224624045658861E-14</v>
      </c>
      <c r="CV141" s="13">
        <f t="shared" si="149"/>
        <v>7.4514601661523691E-13</v>
      </c>
      <c r="CW141" s="20">
        <f t="shared" si="121"/>
        <v>1.3765621991510601E-12</v>
      </c>
      <c r="CX141" s="59">
        <f t="shared" si="122"/>
        <v>293.33333333333468</v>
      </c>
      <c r="CY141" s="59">
        <f ca="1">AVERAGE(OFFSET($CX$3,0,0,'Données projet'!$E$13+1,1))-AVERAGE(OFFSET($H$3,0,0,'Données projet'!$E$13+1,1))</f>
        <v>198.11534486400666</v>
      </c>
      <c r="CZ141" s="59">
        <f t="shared" si="150"/>
        <v>174.29856796517652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25.003148255922994</v>
      </c>
      <c r="DG141" s="21">
        <f>EXP(-LN(2)/25)*DG140+(1-EXP(-LN(2)/25))/(LN(2)/25)*Calculateur!DB141*Calculateur!DD141*VLOOKUP('Données projet'!$B$13,Paramètres!$A$1:$I$89,3,0)*0.475*44/12</f>
        <v>5.0592969440638269</v>
      </c>
      <c r="DH141" s="21">
        <f>EXP(-LN(2)/2)*DH140+(1-EXP(-LN(2)/2))/(LN(2)/2)*DB141*DE141*VLOOKUP('Données projet'!$B$13,Paramètres!$A$1:$I$89,3,0)*0.475*44/12</f>
        <v>3.7918977031960664E-8</v>
      </c>
      <c r="DI141" s="22">
        <f t="shared" si="123"/>
        <v>30.062445237905798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>
        <f>VLOOKUP(A141,'Données projet'!$A$165:$I$185,2,0)</f>
        <v>262</v>
      </c>
      <c r="DM141" s="12">
        <f>VLOOKUP(A141,'Données projet'!$A$165:$I$185,9,0)</f>
        <v>4.666666666666667</v>
      </c>
      <c r="DN141" s="12">
        <f t="array" ref="DN141">INDEX(DM:DM,MIN(IF(ISNUMBER(DM141:DM337),ROW(DM141:DM337),"")))</f>
        <v>4.666666666666667</v>
      </c>
      <c r="DO141" s="12">
        <f>IF('Données projet'!$A$166&gt;35,DO140+DN141-DW140,IF(A141&lt;'Données projet'!$A$166,$DL$205^A141,IF(A141='Données projet'!$A$166,'Données projet'!$B$166,DO140+DN141-DW140)))</f>
        <v>261.99999999999983</v>
      </c>
      <c r="DP141" s="17">
        <f>DO141*VLOOKUP('Données projet'!$B$14,Paramètres!$A$1:$I$89,3,0)*VLOOKUP('Données projet'!$B$14,Paramètres!$A$1:$I$89,5,0)</f>
        <v>265.66799999999984</v>
      </c>
      <c r="DQ141" s="13">
        <f t="shared" si="151"/>
        <v>63.929045899944349</v>
      </c>
      <c r="DR141" s="20">
        <f t="shared" si="124"/>
        <v>574.04818827573615</v>
      </c>
      <c r="DS141" s="59">
        <f t="shared" si="125"/>
        <v>867.38152160906952</v>
      </c>
      <c r="DT141" s="59">
        <f ca="1">AVERAGE(OFFSET($DS$3,0,0,'Données projet'!$E$14+1,1))-AVERAGE(OFFSET($H$3,0,0,'Données projet'!$E$14+1,1))</f>
        <v>247.92503505485405</v>
      </c>
      <c r="DU141" s="59">
        <f t="shared" si="152"/>
        <v>148.26437652597514</v>
      </c>
      <c r="DV141" s="15">
        <f>IF(ISNA(VLOOKUP(A141,'Données projet'!$A$165:$I$185,3,0)),0,VLOOKUP(A141,'Données projet'!$A$165:$I$185,3,0))</f>
        <v>11</v>
      </c>
      <c r="DW141" s="15">
        <f>IF(ISNA(VLOOKUP(A141,'Données projet'!$A$165:$I$185,4,0)),0,VLOOKUP(A141,'Données projet'!$A$165:$I$185,4,0))</f>
        <v>39</v>
      </c>
      <c r="DX141" s="16">
        <f>IF(ISNA(VLOOKUP(A141,'Données projet'!$A$165:$I$185,5,0)),0%,VLOOKUP(A141,'Données projet'!$A$165:$I$185,5,0)*VLOOKUP('Données projet'!$B$14,Paramètres!$A$1:$I$89,7,0))</f>
        <v>0.25800000000000001</v>
      </c>
      <c r="DY141" s="16">
        <f>IF(ISNA(VLOOKUP(A141,'Données projet'!$A$165:$I$185,6,0)),0%,VLOOKUP(A141,'Données projet'!$A$165:$I$185,6,0)*VLOOKUP('Données projet'!$B$14,Paramètres!$A$1:$I$89,7,0))</f>
        <v>0.129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24.403783003024294</v>
      </c>
      <c r="EB141" s="21">
        <f>EXP(-LN(2)/25)*EB140+(1-EXP(-LN(2)/25))/(LN(2)/25)*Calculateur!DW141*Calculateur!DY141*VLOOKUP('Données projet'!$B$14,Paramètres!$A$1:$I$89,3,0)*0.475*44/12</f>
        <v>25.974360467299562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50.378143470323856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>
        <f>VLOOKUP(A141,'Données projet'!$A$191:$I$211,2,0)</f>
        <v>262</v>
      </c>
      <c r="EH141" s="12">
        <f>VLOOKUP(A141,'Données projet'!$A$191:$I$211,9,0)</f>
        <v>4.666666666666667</v>
      </c>
      <c r="EI141" s="12">
        <f t="array" ref="EI141">INDEX(EH:EH,MIN(IF(ISNUMBER(EH141:EH337),ROW(EH141:EH337),"")))</f>
        <v>4.666666666666667</v>
      </c>
      <c r="EJ141" s="12">
        <f>IF('Données projet'!$A$192&gt;35,EJ140+EI141-ER140,IF(A141&lt;'Données projet'!$A$192,$EG$205^A141,IF(A141='Données projet'!$A$192,'Données projet'!$B$192,EJ140+EI141-ER140)))</f>
        <v>261.99999999999983</v>
      </c>
      <c r="EK141" s="17">
        <f>EJ141*VLOOKUP('Données projet'!$B$15,Paramètres!$A$1:$I$89,3,0)*VLOOKUP('Données projet'!$B$15,Paramètres!$A$1:$I$89,5,0)</f>
        <v>253.40639999999982</v>
      </c>
      <c r="EL141" s="13">
        <f t="shared" si="153"/>
        <v>61.314794611201094</v>
      </c>
      <c r="EM141" s="20">
        <f t="shared" si="127"/>
        <v>548.1394139478416</v>
      </c>
      <c r="EN141" s="59">
        <f t="shared" si="128"/>
        <v>841.47274728117486</v>
      </c>
      <c r="EO141" s="59">
        <f ca="1">AVERAGE(OFFSET($EN$3,0,0,'Données projet'!$E$15+1,1))-AVERAGE(OFFSET($H$3,0,0,'Données projet'!$E$15+1,1))</f>
        <v>232.99870507181964</v>
      </c>
      <c r="EP141" s="59">
        <f t="shared" si="154"/>
        <v>140.07662669226278</v>
      </c>
      <c r="EQ141" s="15">
        <f>IF(ISNA(VLOOKUP(A141,'Données projet'!$A$191:$I$211,3,0)),0,VLOOKUP(A141,'Données projet'!$A$191:$I$211,3,0))</f>
        <v>11</v>
      </c>
      <c r="ER141" s="15">
        <f>IF(ISNA(VLOOKUP(A141,'Données projet'!$A$191:$I$211,4,0)),0,VLOOKUP(A141,'Données projet'!$A$191:$I$211,4,0))</f>
        <v>39</v>
      </c>
      <c r="ES141" s="16">
        <f>IF(ISNA(VLOOKUP(A141,'Données projet'!$A$191:$I$211,5,0)),0%,VLOOKUP(A141,'Données projet'!$A$191:$I$211,5,0)*VLOOKUP('Données projet'!$B$15,Paramètres!$A$1:$I$89,7,0))</f>
        <v>0.25800000000000001</v>
      </c>
      <c r="ET141" s="16">
        <f>IF(ISNA(VLOOKUP(A141,'Données projet'!$A$191:$I$211,6,0)),0%,VLOOKUP(A141,'Données projet'!$A$191:$I$211,6,0)*VLOOKUP('Données projet'!$B$15,Paramètres!$A$1:$I$89,7,0))</f>
        <v>0.129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23.27745455673087</v>
      </c>
      <c r="EW141" s="21">
        <f>EXP(-LN(2)/25)*EW140+(1-EXP(-LN(2)/25))/(LN(2)/25)*Calculateur!ER141*Calculateur!ET141*VLOOKUP('Données projet'!$B$15,Paramètres!$A$1:$I$89,3,0)*0.475*44/12</f>
        <v>24.775543830347274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48.052998387078148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5.6843418860808015E-14</v>
      </c>
      <c r="FF141" s="17">
        <f>FE141*VLOOKUP('Données projet'!$B$16,Paramètres!$A$1:$I$89,3,0)*VLOOKUP('Données projet'!$B$16,Paramètres!$A$1:$I$89,5,0)</f>
        <v>4.4337866711430253E-14</v>
      </c>
      <c r="FG141" s="13">
        <f t="shared" si="155"/>
        <v>7.3222115536967035E-13</v>
      </c>
      <c r="FH141" s="20">
        <f t="shared" si="130"/>
        <v>1.3525069634579169E-12</v>
      </c>
      <c r="FI141" s="59">
        <f t="shared" si="131"/>
        <v>293.33333333333468</v>
      </c>
      <c r="FJ141" s="59">
        <f ca="1">AVERAGE(OFFSET($FI$3,0,0,'Données projet'!$E$16+1,1))-AVERAGE(OFFSET($H$3,0,0,'Données projet'!$E$16+1,1))</f>
        <v>193.47609744163839</v>
      </c>
      <c r="FK141" s="59">
        <f t="shared" si="156"/>
        <v>170.3221892406973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19.887816777741197</v>
      </c>
      <c r="FR141" s="21">
        <f>EXP(-LN(2)/25)*FR140+(1-EXP(-LN(2)/25))/(LN(2)/25)*Calculateur!FM141*Calculateur!FO141*VLOOKUP('Données projet'!$B$16,Paramètres!$A$1:$I$89,3,0)*0.475*44/12</f>
        <v>4.0242280539168371</v>
      </c>
      <c r="FS141" s="21">
        <f>EXP(-LN(2)/2)*FS140+(1-EXP(-LN(2)/2))/(LN(2)/2)*FM141*FP141*VLOOKUP('Données projet'!$B$16,Paramètres!$A$1:$I$89,3,0)*0.475*44/12</f>
        <v>3.7175467678392863E-8</v>
      </c>
      <c r="FT141" s="22">
        <f t="shared" si="132"/>
        <v>23.912044868833501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>
        <f>FZ141*VLOOKUP('Données projet'!$B$17,Paramètres!$A$1:$I$89,3,0)*VLOOKUP('Données projet'!$B$17,Paramètres!$A$1:$I$89,5,0)</f>
        <v>0</v>
      </c>
      <c r="GB141" s="13" t="e">
        <f t="shared" si="157"/>
        <v>#NUM!</v>
      </c>
      <c r="GC141" s="20" t="e">
        <f t="shared" si="133"/>
        <v>#NUM!</v>
      </c>
      <c r="GD141" s="59" t="e">
        <f t="shared" si="134"/>
        <v>#NUM!</v>
      </c>
      <c r="GE141" s="59">
        <f ca="1">AVERAGE(OFFSET($GD$3,0,0,'Données projet'!$E$17+1,1))-AVERAGE(OFFSET($H$3,0,0,'Données projet'!$E$17+1,1))</f>
        <v>153.43773674911449</v>
      </c>
      <c r="GF141" s="59">
        <f t="shared" si="158"/>
        <v>235.49395036616602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26.142374142581932</v>
      </c>
      <c r="GM141" s="21">
        <f>EXP(-LN(2)/25)*GM140+(1-EXP(-LN(2)/25))/(LN(2)/25)*Calculateur!GH141*Calculateur!GJ141*VLOOKUP('Données projet'!$B$17,Paramètres!$A$1:$I$89,3,0)*0.475*44/12</f>
        <v>9.8787625349079047</v>
      </c>
      <c r="GN141" s="21">
        <f>EXP(-LN(2)/2)*GN140+(1-EXP(-LN(2)/2))/(LN(2)/2)*GH141*GK141*VLOOKUP('Données projet'!$B$17,Paramètres!$A$1:$I$89,3,0)*0.475*44/12</f>
        <v>0</v>
      </c>
      <c r="GO141" s="21">
        <f t="shared" si="135"/>
        <v>36.021136677489835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5.6843418860808015E-14</v>
      </c>
      <c r="GV141" s="17">
        <f>GU141*VLOOKUP('Données projet'!$B$18,Paramètres!$A$1:$I$89,3,0)*VLOOKUP('Données projet'!$B$18,Paramètres!$A$1:$I$89,5,0)</f>
        <v>4.5224624045658861E-14</v>
      </c>
      <c r="GW141" s="13">
        <f t="shared" si="159"/>
        <v>7.4514601661523691E-13</v>
      </c>
      <c r="GX141" s="20">
        <f t="shared" si="136"/>
        <v>1.3765621991510601E-12</v>
      </c>
      <c r="GY141" s="59">
        <f t="shared" si="137"/>
        <v>293.33333333333468</v>
      </c>
      <c r="GZ141" s="59">
        <f ca="1">AVERAGE(OFFSET($GY$3,0,0,'Données projet'!$E$18+1,1))-AVERAGE(OFFSET($H$3,0,0,'Données projet'!$E$18+1,1))</f>
        <v>198.11534486400666</v>
      </c>
      <c r="HA141" s="59">
        <f t="shared" si="160"/>
        <v>174.29856796517652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>
        <f>EXP(-LN(2)/35)*HG140+(1-EXP(-LN(2)/35))/(LN(2)/35)*HC141*HD141*VLOOKUP('Données projet'!$B$18,Paramètres!$A$1:$I$89,3,0)*0.475*44/12</f>
        <v>25.003148255922994</v>
      </c>
      <c r="HH141" s="21">
        <f>EXP(-LN(2)/25)*HH140+(1-EXP(-LN(2)/25))/(LN(2)/25)*Calculateur!HC141*Calculateur!HE141*VLOOKUP('Données projet'!$B$18,Paramètres!$A$1:$I$89,3,0)*0.475*44/12</f>
        <v>5.0592969440638269</v>
      </c>
      <c r="HI141" s="21">
        <f>EXP(-LN(2)/2)*HI140+(1-EXP(-LN(2)/2))/(LN(2)/2)*HC141*HF141*VLOOKUP('Données projet'!$B$18,Paramètres!$A$1:$I$89,3,0)*0.475*44/12</f>
        <v>3.7918977031960664E-8</v>
      </c>
      <c r="HJ141" s="22">
        <f t="shared" si="138"/>
        <v>30.062445237905798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1.1368683772161603E-13</v>
      </c>
      <c r="O142" s="13">
        <f>N142*VLOOKUP('Données projet'!$B$9,Paramètres!$A$1:$I$89,3,0)*VLOOKUP('Données projet'!$B$9,Paramètres!$A$1:$I$89,5,0)</f>
        <v>6.7984728957526396E-14</v>
      </c>
      <c r="P142" s="13">
        <f t="shared" si="141"/>
        <v>1.0682447123141398E-12</v>
      </c>
      <c r="Q142" s="20">
        <f t="shared" si="108"/>
        <v>1.978932943548152E-12</v>
      </c>
      <c r="R142" s="59">
        <f t="shared" si="109"/>
        <v>293.3333333333353</v>
      </c>
      <c r="S142" s="59">
        <f ca="1">AVERAGE(OFFSET($R$3,0,0,'Données projet'!$E$9+1,1))-AVERAGE(OFFSET($H$3,0,0,'Données projet'!$E$9+1,1))</f>
        <v>295.19075440119076</v>
      </c>
      <c r="T142" s="59">
        <f t="shared" si="142"/>
        <v>173.0182327988216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61.778658470281343</v>
      </c>
      <c r="AA142" s="21">
        <f>EXP(-LN(2)/25)*AA141+(1-EXP(-LN(2)/25))/(LN(2)/25)*Calculateur!V142*Calculateur!X142*VLOOKUP('Données projet'!$B$9,Paramètres!$A$1:$I$89,3,0)*0.475*44/12</f>
        <v>22.2635850344608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84.042243504742146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294.45857786714919</v>
      </c>
      <c r="AO142" s="59">
        <f t="shared" si="144"/>
        <v>221.9773436301067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57.021746283759576</v>
      </c>
      <c r="AV142" s="21">
        <f>EXP(-LN(2)/25)*AV141+(1-EXP(-LN(2)/25))/(LN(2)/25)*Calculateur!AQ142*Calculateur!AS142*VLOOKUP('Données projet'!$B$10,Paramètres!$A$1:$I$89,3,0)*0.475*44/12</f>
        <v>19.585165481463701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76.606911765223273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179.44051550872138</v>
      </c>
      <c r="BJ142" s="59">
        <f t="shared" si="146"/>
        <v>272.9500808380069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29.291129292479642</v>
      </c>
      <c r="BQ142" s="21">
        <f>EXP(-LN(2)/25)*BQ141+(1-EXP(-LN(2)/25))/(LN(2)/25)*Calculateur!BL142*Calculateur!BN142*VLOOKUP('Données projet'!$B$11,Paramètres!$A$1:$I$89,3,0)*0.475*44/12</f>
        <v>10.981288290159211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40.272417582638852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-1.5961632016114892E-13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259.87681411271632</v>
      </c>
      <c r="CE142" s="59">
        <f t="shared" si="148"/>
        <v>191.8684235641158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101.33266384446736</v>
      </c>
      <c r="CL142" s="21">
        <f>EXP(-LN(2)/25)*CL141+(1-EXP(-LN(2)/25))/(LN(2)/25)*Calculateur!CG142*Calculateur!CI142*VLOOKUP('Données projet'!$B$12,Paramètres!$A$1:$I$89,3,0)*0.475*44/12</f>
        <v>37.208795484090679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138.54145932855803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5.6843418860808015E-14</v>
      </c>
      <c r="CU142" s="17">
        <f>CT142*VLOOKUP('Données projet'!$B$13,Paramètres!$A$1:$I$89,3,0)*VLOOKUP('Données projet'!$B$13,Paramètres!$A$1:$I$89,5,0)</f>
        <v>4.5224624045658861E-14</v>
      </c>
      <c r="CV142" s="13">
        <f t="shared" si="149"/>
        <v>7.4514601661523691E-13</v>
      </c>
      <c r="CW142" s="20">
        <f t="shared" si="121"/>
        <v>1.3765621991510601E-12</v>
      </c>
      <c r="CX142" s="59">
        <f t="shared" si="122"/>
        <v>293.33333333333468</v>
      </c>
      <c r="CY142" s="59">
        <f ca="1">AVERAGE(OFFSET($CX$3,0,0,'Données projet'!$E$13+1,1))-AVERAGE(OFFSET($H$3,0,0,'Données projet'!$E$13+1,1))</f>
        <v>198.11534486400666</v>
      </c>
      <c r="CZ142" s="59">
        <f t="shared" si="150"/>
        <v>174.29856796517652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24.512851769038928</v>
      </c>
      <c r="DG142" s="21">
        <f>EXP(-LN(2)/25)*DG141+(1-EXP(-LN(2)/25))/(LN(2)/25)*Calculateur!DB142*Calculateur!DD142*VLOOKUP('Données projet'!$B$13,Paramètres!$A$1:$I$89,3,0)*0.475*44/12</f>
        <v>4.9209502030715386</v>
      </c>
      <c r="DH142" s="21">
        <f>EXP(-LN(2)/2)*DH141+(1-EXP(-LN(2)/2))/(LN(2)/2)*DB142*DE142*VLOOKUP('Données projet'!$B$13,Paramètres!$A$1:$I$89,3,0)*0.475*44/12</f>
        <v>2.681276579495633E-8</v>
      </c>
      <c r="DI142" s="22">
        <f t="shared" si="123"/>
        <v>29.433801998923233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4.8666666666666663</v>
      </c>
      <c r="DO142" s="12">
        <f>IF('Données projet'!$A$166&gt;35,DO141+DN142-DW141,IF(A142&lt;'Données projet'!$A$166,$DL$205^A142,IF(A142='Données projet'!$A$166,'Données projet'!$B$166,DO141+DN142-DW141)))</f>
        <v>227.8666666666665</v>
      </c>
      <c r="DP142" s="17">
        <f>DO142*VLOOKUP('Données projet'!$B$14,Paramètres!$A$1:$I$89,3,0)*VLOOKUP('Données projet'!$B$14,Paramètres!$A$1:$I$89,5,0)</f>
        <v>231.05679999999984</v>
      </c>
      <c r="DQ142" s="13">
        <f t="shared" si="151"/>
        <v>56.511125397421971</v>
      </c>
      <c r="DR142" s="20">
        <f t="shared" si="124"/>
        <v>500.84747006717635</v>
      </c>
      <c r="DS142" s="59">
        <f t="shared" si="125"/>
        <v>794.1808034005096</v>
      </c>
      <c r="DT142" s="59">
        <f ca="1">AVERAGE(OFFSET($DS$3,0,0,'Données projet'!$E$14+1,1))-AVERAGE(OFFSET($H$3,0,0,'Données projet'!$E$14+1,1))</f>
        <v>247.92503505485405</v>
      </c>
      <c r="DU142" s="59">
        <f t="shared" si="152"/>
        <v>148.26437652597514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23.925239703172863</v>
      </c>
      <c r="EB142" s="21">
        <f>EXP(-LN(2)/25)*EB141+(1-EXP(-LN(2)/25))/(LN(2)/25)*Calculateur!DW142*Calculateur!DY142*VLOOKUP('Données projet'!$B$14,Paramètres!$A$1:$I$89,3,0)*0.475*44/12</f>
        <v>25.264090214389004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49.189329917561864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4.8666666666666663</v>
      </c>
      <c r="EJ142" s="12">
        <f>IF('Données projet'!$A$192&gt;35,EJ141+EI142-ER141,IF(A142&lt;'Données projet'!$A$192,$EG$205^A142,IF(A142='Données projet'!$A$192,'Données projet'!$B$192,EJ141+EI142-ER141)))</f>
        <v>227.8666666666665</v>
      </c>
      <c r="EK142" s="17">
        <f>EJ142*VLOOKUP('Données projet'!$B$15,Paramètres!$A$1:$I$89,3,0)*VLOOKUP('Données projet'!$B$15,Paramètres!$A$1:$I$89,5,0)</f>
        <v>220.39263999999983</v>
      </c>
      <c r="EL142" s="13">
        <f t="shared" si="153"/>
        <v>54.200215226327565</v>
      </c>
      <c r="EM142" s="20">
        <f t="shared" si="127"/>
        <v>478.24922285252023</v>
      </c>
      <c r="EN142" s="59">
        <f t="shared" si="128"/>
        <v>771.58255618585349</v>
      </c>
      <c r="EO142" s="59">
        <f ca="1">AVERAGE(OFFSET($EN$3,0,0,'Données projet'!$E$15+1,1))-AVERAGE(OFFSET($H$3,0,0,'Données projet'!$E$15+1,1))</f>
        <v>232.99870507181964</v>
      </c>
      <c r="EP142" s="59">
        <f t="shared" si="154"/>
        <v>140.07662669226278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22.820997870718735</v>
      </c>
      <c r="EW142" s="21">
        <f>EXP(-LN(2)/25)*EW141+(1-EXP(-LN(2)/25))/(LN(2)/25)*Calculateur!ER142*Calculateur!ET142*VLOOKUP('Données projet'!$B$15,Paramètres!$A$1:$I$89,3,0)*0.475*44/12</f>
        <v>24.098055281417203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46.919053152135938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5.6843418860808015E-14</v>
      </c>
      <c r="FF142" s="17">
        <f>FE142*VLOOKUP('Données projet'!$B$16,Paramètres!$A$1:$I$89,3,0)*VLOOKUP('Données projet'!$B$16,Paramètres!$A$1:$I$89,5,0)</f>
        <v>4.4337866711430253E-14</v>
      </c>
      <c r="FG142" s="13">
        <f t="shared" si="155"/>
        <v>7.3222115536967035E-13</v>
      </c>
      <c r="FH142" s="20">
        <f t="shared" si="130"/>
        <v>1.3525069634579169E-12</v>
      </c>
      <c r="FI142" s="59">
        <f t="shared" si="131"/>
        <v>293.33333333333468</v>
      </c>
      <c r="FJ142" s="59">
        <f ca="1">AVERAGE(OFFSET($FI$3,0,0,'Données projet'!$E$16+1,1))-AVERAGE(OFFSET($H$3,0,0,'Données projet'!$E$16+1,1))</f>
        <v>193.47609744163839</v>
      </c>
      <c r="FK142" s="59">
        <f t="shared" si="156"/>
        <v>170.3221892406973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19.497828821100153</v>
      </c>
      <c r="FR142" s="21">
        <f>EXP(-LN(2)/25)*FR141+(1-EXP(-LN(2)/25))/(LN(2)/25)*Calculateur!FM142*Calculateur!FO142*VLOOKUP('Données projet'!$B$16,Paramètres!$A$1:$I$89,3,0)*0.475*44/12</f>
        <v>3.9141853261575252</v>
      </c>
      <c r="FS142" s="21">
        <f>EXP(-LN(2)/2)*FS141+(1-EXP(-LN(2)/2))/(LN(2)/2)*FM142*FP142*VLOOKUP('Données projet'!$B$16,Paramètres!$A$1:$I$89,3,0)*0.475*44/12</f>
        <v>2.6287025289172913E-8</v>
      </c>
      <c r="FT142" s="22">
        <f t="shared" si="132"/>
        <v>23.412014173544705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>
        <f>FZ142*VLOOKUP('Données projet'!$B$17,Paramètres!$A$1:$I$89,3,0)*VLOOKUP('Données projet'!$B$17,Paramètres!$A$1:$I$89,5,0)</f>
        <v>0</v>
      </c>
      <c r="GB142" s="13" t="e">
        <f t="shared" si="157"/>
        <v>#NUM!</v>
      </c>
      <c r="GC142" s="20" t="e">
        <f t="shared" si="133"/>
        <v>#NUM!</v>
      </c>
      <c r="GD142" s="59" t="e">
        <f t="shared" si="134"/>
        <v>#NUM!</v>
      </c>
      <c r="GE142" s="59">
        <f ca="1">AVERAGE(OFFSET($GD$3,0,0,'Données projet'!$E$17+1,1))-AVERAGE(OFFSET($H$3,0,0,'Données projet'!$E$17+1,1))</f>
        <v>153.43773674911449</v>
      </c>
      <c r="GF142" s="59">
        <f t="shared" si="158"/>
        <v>235.49395036616602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25.629738130919662</v>
      </c>
      <c r="GM142" s="21">
        <f>EXP(-LN(2)/25)*GM141+(1-EXP(-LN(2)/25))/(LN(2)/25)*Calculateur!GH142*Calculateur!GJ142*VLOOKUP('Données projet'!$B$17,Paramètres!$A$1:$I$89,3,0)*0.475*44/12</f>
        <v>9.6086272538893045</v>
      </c>
      <c r="GN142" s="21">
        <f>EXP(-LN(2)/2)*GN141+(1-EXP(-LN(2)/2))/(LN(2)/2)*GH142*GK142*VLOOKUP('Données projet'!$B$17,Paramètres!$A$1:$I$89,3,0)*0.475*44/12</f>
        <v>0</v>
      </c>
      <c r="GO142" s="21">
        <f t="shared" si="135"/>
        <v>35.238365384808965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5.6843418860808015E-14</v>
      </c>
      <c r="GV142" s="17">
        <f>GU142*VLOOKUP('Données projet'!$B$18,Paramètres!$A$1:$I$89,3,0)*VLOOKUP('Données projet'!$B$18,Paramètres!$A$1:$I$89,5,0)</f>
        <v>4.5224624045658861E-14</v>
      </c>
      <c r="GW142" s="13">
        <f t="shared" si="159"/>
        <v>7.4514601661523691E-13</v>
      </c>
      <c r="GX142" s="20">
        <f t="shared" si="136"/>
        <v>1.3765621991510601E-12</v>
      </c>
      <c r="GY142" s="59">
        <f t="shared" si="137"/>
        <v>293.33333333333468</v>
      </c>
      <c r="GZ142" s="59">
        <f ca="1">AVERAGE(OFFSET($GY$3,0,0,'Données projet'!$E$18+1,1))-AVERAGE(OFFSET($H$3,0,0,'Données projet'!$E$18+1,1))</f>
        <v>198.11534486400666</v>
      </c>
      <c r="HA142" s="59">
        <f t="shared" si="160"/>
        <v>174.29856796517652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>
        <f>EXP(-LN(2)/35)*HG141+(1-EXP(-LN(2)/35))/(LN(2)/35)*HC142*HD142*VLOOKUP('Données projet'!$B$18,Paramètres!$A$1:$I$89,3,0)*0.475*44/12</f>
        <v>24.512851769038928</v>
      </c>
      <c r="HH142" s="21">
        <f>EXP(-LN(2)/25)*HH141+(1-EXP(-LN(2)/25))/(LN(2)/25)*Calculateur!HC142*Calculateur!HE142*VLOOKUP('Données projet'!$B$18,Paramètres!$A$1:$I$89,3,0)*0.475*44/12</f>
        <v>4.9209502030715386</v>
      </c>
      <c r="HI142" s="21">
        <f>EXP(-LN(2)/2)*HI141+(1-EXP(-LN(2)/2))/(LN(2)/2)*HC142*HF142*VLOOKUP('Données projet'!$B$18,Paramètres!$A$1:$I$89,3,0)*0.475*44/12</f>
        <v>2.681276579495633E-8</v>
      </c>
      <c r="HJ142" s="22">
        <f t="shared" si="138"/>
        <v>29.433801998923233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1.1368683772161603E-13</v>
      </c>
      <c r="O143" s="13">
        <f>N143*VLOOKUP('Données projet'!$B$9,Paramètres!$A$1:$I$89,3,0)*VLOOKUP('Données projet'!$B$9,Paramètres!$A$1:$I$89,5,0)</f>
        <v>6.7984728957526396E-14</v>
      </c>
      <c r="P143" s="13">
        <f t="shared" si="141"/>
        <v>1.0682447123141398E-12</v>
      </c>
      <c r="Q143" s="20">
        <f t="shared" si="108"/>
        <v>1.978932943548152E-12</v>
      </c>
      <c r="R143" s="59">
        <f t="shared" si="109"/>
        <v>293.3333333333353</v>
      </c>
      <c r="S143" s="59">
        <f ca="1">AVERAGE(OFFSET($R$3,0,0,'Données projet'!$E$9+1,1))-AVERAGE(OFFSET($H$3,0,0,'Données projet'!$E$9+1,1))</f>
        <v>295.19075440119076</v>
      </c>
      <c r="T143" s="59">
        <f t="shared" si="142"/>
        <v>173.0182327988216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60.567216658940076</v>
      </c>
      <c r="AA143" s="21">
        <f>EXP(-LN(2)/25)*AA142+(1-EXP(-LN(2)/25))/(LN(2)/25)*Calculateur!V143*Calculateur!X143*VLOOKUP('Données projet'!$B$9,Paramètres!$A$1:$I$89,3,0)*0.475*44/12</f>
        <v>21.654786130902416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82.222002789842492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294.45857786714919</v>
      </c>
      <c r="AO143" s="59">
        <f t="shared" si="144"/>
        <v>221.9773436301067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55.903584618966057</v>
      </c>
      <c r="AV143" s="21">
        <f>EXP(-LN(2)/25)*AV142+(1-EXP(-LN(2)/25))/(LN(2)/25)*Calculateur!AQ143*Calculateur!AS143*VLOOKUP('Données projet'!$B$10,Paramètres!$A$1:$I$89,3,0)*0.475*44/12</f>
        <v>19.049608101433986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74.95319272040004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179.44051550872138</v>
      </c>
      <c r="BJ143" s="59">
        <f t="shared" si="146"/>
        <v>272.9500808380069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28.716748112878882</v>
      </c>
      <c r="BQ143" s="21">
        <f>EXP(-LN(2)/25)*BQ142+(1-EXP(-LN(2)/25))/(LN(2)/25)*Calculateur!BL143*Calculateur!BN143*VLOOKUP('Données projet'!$B$11,Paramètres!$A$1:$I$89,3,0)*0.475*44/12</f>
        <v>10.681004384383955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39.397752497262836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-1.5961632016114892E-13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259.87681411271632</v>
      </c>
      <c r="CE143" s="59">
        <f t="shared" si="148"/>
        <v>191.8684235641158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99.345592113299389</v>
      </c>
      <c r="CL143" s="21">
        <f>EXP(-LN(2)/25)*CL142+(1-EXP(-LN(2)/25))/(LN(2)/25)*Calculateur!CG143*Calculateur!CI143*VLOOKUP('Données projet'!$B$12,Paramètres!$A$1:$I$89,3,0)*0.475*44/12</f>
        <v>36.191319014852709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135.5369111281521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5.6843418860808015E-14</v>
      </c>
      <c r="CU143" s="17">
        <f>CT143*VLOOKUP('Données projet'!$B$13,Paramètres!$A$1:$I$89,3,0)*VLOOKUP('Données projet'!$B$13,Paramètres!$A$1:$I$89,5,0)</f>
        <v>4.5224624045658861E-14</v>
      </c>
      <c r="CV143" s="13">
        <f t="shared" si="149"/>
        <v>7.4514601661523691E-13</v>
      </c>
      <c r="CW143" s="20">
        <f t="shared" si="121"/>
        <v>1.3765621991510601E-12</v>
      </c>
      <c r="CX143" s="59">
        <f t="shared" si="122"/>
        <v>293.33333333333468</v>
      </c>
      <c r="CY143" s="59">
        <f ca="1">AVERAGE(OFFSET($CX$3,0,0,'Données projet'!$E$13+1,1))-AVERAGE(OFFSET($H$3,0,0,'Données projet'!$E$13+1,1))</f>
        <v>198.11534486400666</v>
      </c>
      <c r="CZ143" s="59">
        <f t="shared" si="150"/>
        <v>174.29856796517652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24.03216969721133</v>
      </c>
      <c r="DG143" s="21">
        <f>EXP(-LN(2)/25)*DG142+(1-EXP(-LN(2)/25))/(LN(2)/25)*Calculateur!DB143*Calculateur!DD143*VLOOKUP('Données projet'!$B$13,Paramètres!$A$1:$I$89,3,0)*0.475*44/12</f>
        <v>4.7863865609870233</v>
      </c>
      <c r="DH143" s="21">
        <f>EXP(-LN(2)/2)*DH142+(1-EXP(-LN(2)/2))/(LN(2)/2)*DB143*DE143*VLOOKUP('Données projet'!$B$13,Paramètres!$A$1:$I$89,3,0)*0.475*44/12</f>
        <v>1.8959488515980332E-8</v>
      </c>
      <c r="DI143" s="22">
        <f t="shared" si="123"/>
        <v>28.818556277157843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4.8666666666666663</v>
      </c>
      <c r="DO143" s="12">
        <f>IF('Données projet'!$A$166&gt;35,DO142+DN143-DW142,IF(A143&lt;'Données projet'!$A$166,$DL$205^A143,IF(A143='Données projet'!$A$166,'Données projet'!$B$166,DO142+DN143-DW142)))</f>
        <v>232.73333333333318</v>
      </c>
      <c r="DP143" s="17">
        <f>DO143*VLOOKUP('Données projet'!$B$14,Paramètres!$A$1:$I$89,3,0)*VLOOKUP('Données projet'!$B$14,Paramètres!$A$1:$I$89,5,0)</f>
        <v>235.99159999999983</v>
      </c>
      <c r="DQ143" s="13">
        <f t="shared" si="151"/>
        <v>57.57626012814459</v>
      </c>
      <c r="DR143" s="20">
        <f t="shared" si="124"/>
        <v>511.29735638985153</v>
      </c>
      <c r="DS143" s="59">
        <f t="shared" si="125"/>
        <v>804.63068972318479</v>
      </c>
      <c r="DT143" s="59">
        <f ca="1">AVERAGE(OFFSET($DS$3,0,0,'Données projet'!$E$14+1,1))-AVERAGE(OFFSET($H$3,0,0,'Données projet'!$E$14+1,1))</f>
        <v>247.92503505485405</v>
      </c>
      <c r="DU143" s="59">
        <f t="shared" si="152"/>
        <v>148.26437652597514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23.456080345548926</v>
      </c>
      <c r="EB143" s="21">
        <f>EXP(-LN(2)/25)*EB142+(1-EXP(-LN(2)/25))/(LN(2)/25)*Calculateur!DW143*Calculateur!DY143*VLOOKUP('Données projet'!$B$14,Paramètres!$A$1:$I$89,3,0)*0.475*44/12</f>
        <v>24.573242338895774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48.029322684444701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4.8666666666666663</v>
      </c>
      <c r="EJ143" s="12">
        <f>IF('Données projet'!$A$192&gt;35,EJ142+EI143-ER142,IF(A143&lt;'Données projet'!$A$192,$EG$205^A143,IF(A143='Données projet'!$A$192,'Données projet'!$B$192,EJ142+EI143-ER142)))</f>
        <v>232.73333333333318</v>
      </c>
      <c r="EK143" s="17">
        <f>EJ143*VLOOKUP('Données projet'!$B$15,Paramètres!$A$1:$I$89,3,0)*VLOOKUP('Données projet'!$B$15,Paramètres!$A$1:$I$89,5,0)</f>
        <v>225.09967999999984</v>
      </c>
      <c r="EL143" s="13">
        <f t="shared" si="153"/>
        <v>55.221793388931971</v>
      </c>
      <c r="EM143" s="20">
        <f t="shared" si="127"/>
        <v>488.22656615238952</v>
      </c>
      <c r="EN143" s="59">
        <f t="shared" si="128"/>
        <v>781.55989948572278</v>
      </c>
      <c r="EO143" s="59">
        <f ca="1">AVERAGE(OFFSET($EN$3,0,0,'Données projet'!$E$15+1,1))-AVERAGE(OFFSET($H$3,0,0,'Données projet'!$E$15+1,1))</f>
        <v>232.99870507181964</v>
      </c>
      <c r="EP143" s="59">
        <f t="shared" si="154"/>
        <v>140.07662669226278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22.373492021908213</v>
      </c>
      <c r="EW143" s="21">
        <f>EXP(-LN(2)/25)*EW142+(1-EXP(-LN(2)/25))/(LN(2)/25)*Calculateur!ER143*Calculateur!ET143*VLOOKUP('Données projet'!$B$15,Paramètres!$A$1:$I$89,3,0)*0.475*44/12</f>
        <v>23.4390926924852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45.81258471439341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5.6843418860808015E-14</v>
      </c>
      <c r="FF143" s="17">
        <f>FE143*VLOOKUP('Données projet'!$B$16,Paramètres!$A$1:$I$89,3,0)*VLOOKUP('Données projet'!$B$16,Paramètres!$A$1:$I$89,5,0)</f>
        <v>4.4337866711430253E-14</v>
      </c>
      <c r="FG143" s="13">
        <f t="shared" si="155"/>
        <v>7.3222115536967035E-13</v>
      </c>
      <c r="FH143" s="20">
        <f t="shared" si="130"/>
        <v>1.3525069634579169E-12</v>
      </c>
      <c r="FI143" s="59">
        <f t="shared" si="131"/>
        <v>293.33333333333468</v>
      </c>
      <c r="FJ143" s="59">
        <f ca="1">AVERAGE(OFFSET($FI$3,0,0,'Données projet'!$E$16+1,1))-AVERAGE(OFFSET($H$3,0,0,'Données projet'!$E$16+1,1))</f>
        <v>193.47609744163839</v>
      </c>
      <c r="FK143" s="59">
        <f t="shared" si="156"/>
        <v>170.3221892406973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19.115488290419673</v>
      </c>
      <c r="FR143" s="21">
        <f>EXP(-LN(2)/25)*FR142+(1-EXP(-LN(2)/25))/(LN(2)/25)*Calculateur!FM143*Calculateur!FO143*VLOOKUP('Données projet'!$B$16,Paramètres!$A$1:$I$89,3,0)*0.475*44/12</f>
        <v>3.8071517225756875</v>
      </c>
      <c r="FS143" s="21">
        <f>EXP(-LN(2)/2)*FS142+(1-EXP(-LN(2)/2))/(LN(2)/2)*FM143*FP143*VLOOKUP('Données projet'!$B$16,Paramètres!$A$1:$I$89,3,0)*0.475*44/12</f>
        <v>1.8587733839196432E-8</v>
      </c>
      <c r="FT143" s="22">
        <f t="shared" si="132"/>
        <v>22.922640031583093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>
        <f>FZ143*VLOOKUP('Données projet'!$B$17,Paramètres!$A$1:$I$89,3,0)*VLOOKUP('Données projet'!$B$17,Paramètres!$A$1:$I$89,5,0)</f>
        <v>0</v>
      </c>
      <c r="GB143" s="13" t="e">
        <f t="shared" si="157"/>
        <v>#NUM!</v>
      </c>
      <c r="GC143" s="20" t="e">
        <f t="shared" si="133"/>
        <v>#NUM!</v>
      </c>
      <c r="GD143" s="59" t="e">
        <f t="shared" si="134"/>
        <v>#NUM!</v>
      </c>
      <c r="GE143" s="59">
        <f ca="1">AVERAGE(OFFSET($GD$3,0,0,'Données projet'!$E$17+1,1))-AVERAGE(OFFSET($H$3,0,0,'Données projet'!$E$17+1,1))</f>
        <v>153.43773674911449</v>
      </c>
      <c r="GF143" s="59">
        <f t="shared" si="158"/>
        <v>235.49395036616602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25.127154598768996</v>
      </c>
      <c r="GM143" s="21">
        <f>EXP(-LN(2)/25)*GM142+(1-EXP(-LN(2)/25))/(LN(2)/25)*Calculateur!GH143*Calculateur!GJ143*VLOOKUP('Données projet'!$B$17,Paramètres!$A$1:$I$89,3,0)*0.475*44/12</f>
        <v>9.3458788363359542</v>
      </c>
      <c r="GN143" s="21">
        <f>EXP(-LN(2)/2)*GN142+(1-EXP(-LN(2)/2))/(LN(2)/2)*GH143*GK143*VLOOKUP('Données projet'!$B$17,Paramètres!$A$1:$I$89,3,0)*0.475*44/12</f>
        <v>0</v>
      </c>
      <c r="GO143" s="21">
        <f t="shared" si="135"/>
        <v>34.473033435104952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5.6843418860808015E-14</v>
      </c>
      <c r="GV143" s="17">
        <f>GU143*VLOOKUP('Données projet'!$B$18,Paramètres!$A$1:$I$89,3,0)*VLOOKUP('Données projet'!$B$18,Paramètres!$A$1:$I$89,5,0)</f>
        <v>4.5224624045658861E-14</v>
      </c>
      <c r="GW143" s="13">
        <f t="shared" si="159"/>
        <v>7.4514601661523691E-13</v>
      </c>
      <c r="GX143" s="20">
        <f t="shared" si="136"/>
        <v>1.3765621991510601E-12</v>
      </c>
      <c r="GY143" s="59">
        <f t="shared" si="137"/>
        <v>293.33333333333468</v>
      </c>
      <c r="GZ143" s="59">
        <f ca="1">AVERAGE(OFFSET($GY$3,0,0,'Données projet'!$E$18+1,1))-AVERAGE(OFFSET($H$3,0,0,'Données projet'!$E$18+1,1))</f>
        <v>198.11534486400666</v>
      </c>
      <c r="HA143" s="59">
        <f t="shared" si="160"/>
        <v>174.29856796517652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>
        <f>EXP(-LN(2)/35)*HG142+(1-EXP(-LN(2)/35))/(LN(2)/35)*HC143*HD143*VLOOKUP('Données projet'!$B$18,Paramètres!$A$1:$I$89,3,0)*0.475*44/12</f>
        <v>24.03216969721133</v>
      </c>
      <c r="HH143" s="21">
        <f>EXP(-LN(2)/25)*HH142+(1-EXP(-LN(2)/25))/(LN(2)/25)*Calculateur!HC143*Calculateur!HE143*VLOOKUP('Données projet'!$B$18,Paramètres!$A$1:$I$89,3,0)*0.475*44/12</f>
        <v>4.7863865609870233</v>
      </c>
      <c r="HI143" s="21">
        <f>EXP(-LN(2)/2)*HI142+(1-EXP(-LN(2)/2))/(LN(2)/2)*HC143*HF143*VLOOKUP('Données projet'!$B$18,Paramètres!$A$1:$I$89,3,0)*0.475*44/12</f>
        <v>1.8959488515980332E-8</v>
      </c>
      <c r="HJ143" s="22">
        <f t="shared" si="138"/>
        <v>28.818556277157843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1.1368683772161603E-13</v>
      </c>
      <c r="O144" s="13">
        <f>N144*VLOOKUP('Données projet'!$B$9,Paramètres!$A$1:$I$89,3,0)*VLOOKUP('Données projet'!$B$9,Paramètres!$A$1:$I$89,5,0)</f>
        <v>6.7984728957526396E-14</v>
      </c>
      <c r="P144" s="13">
        <f t="shared" si="141"/>
        <v>1.0682447123141398E-12</v>
      </c>
      <c r="Q144" s="20">
        <f t="shared" si="108"/>
        <v>1.978932943548152E-12</v>
      </c>
      <c r="R144" s="59">
        <f t="shared" si="109"/>
        <v>293.3333333333353</v>
      </c>
      <c r="S144" s="59">
        <f ca="1">AVERAGE(OFFSET($R$3,0,0,'Données projet'!$E$9+1,1))-AVERAGE(OFFSET($H$3,0,0,'Données projet'!$E$9+1,1))</f>
        <v>295.19075440119076</v>
      </c>
      <c r="T144" s="59">
        <f t="shared" si="142"/>
        <v>173.0182327988216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59.379530482612665</v>
      </c>
      <c r="AA144" s="21">
        <f>EXP(-LN(2)/25)*AA143+(1-EXP(-LN(2)/25))/(LN(2)/25)*Calculateur!V144*Calculateur!X144*VLOOKUP('Données projet'!$B$9,Paramètres!$A$1:$I$89,3,0)*0.475*44/12</f>
        <v>21.062634865377181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80.442165347989842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294.45857786714919</v>
      </c>
      <c r="AO144" s="59">
        <f t="shared" si="144"/>
        <v>221.9773436301067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54.807349422407867</v>
      </c>
      <c r="AV144" s="21">
        <f>EXP(-LN(2)/25)*AV143+(1-EXP(-LN(2)/25))/(LN(2)/25)*Calculateur!AQ144*Calculateur!AS144*VLOOKUP('Données projet'!$B$10,Paramètres!$A$1:$I$89,3,0)*0.475*44/12</f>
        <v>18.52869556612492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73.336044988532791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179.44051550872138</v>
      </c>
      <c r="BJ144" s="59">
        <f t="shared" si="146"/>
        <v>272.9500808380069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28.153630197872165</v>
      </c>
      <c r="BQ144" s="21">
        <f>EXP(-LN(2)/25)*BQ143+(1-EXP(-LN(2)/25))/(LN(2)/25)*Calculateur!BL144*Calculateur!BN144*VLOOKUP('Données projet'!$B$11,Paramètres!$A$1:$I$89,3,0)*0.475*44/12</f>
        <v>10.388931757803368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38.542561955675531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-1.5961632016114892E-13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259.87681411271632</v>
      </c>
      <c r="CE144" s="59">
        <f t="shared" si="148"/>
        <v>191.8684235641158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97.39748564678554</v>
      </c>
      <c r="CL144" s="21">
        <f>EXP(-LN(2)/25)*CL143+(1-EXP(-LN(2)/25))/(LN(2)/25)*Calculateur!CG144*Calculateur!CI144*VLOOKUP('Données projet'!$B$12,Paramètres!$A$1:$I$89,3,0)*0.475*44/12</f>
        <v>35.201665493172811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132.59915113995834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5.6843418860808015E-14</v>
      </c>
      <c r="CU144" s="17">
        <f>CT144*VLOOKUP('Données projet'!$B$13,Paramètres!$A$1:$I$89,3,0)*VLOOKUP('Données projet'!$B$13,Paramètres!$A$1:$I$89,5,0)</f>
        <v>4.5224624045658861E-14</v>
      </c>
      <c r="CV144" s="13">
        <f t="shared" si="149"/>
        <v>7.4514601661523691E-13</v>
      </c>
      <c r="CW144" s="20">
        <f t="shared" si="121"/>
        <v>1.3765621991510601E-12</v>
      </c>
      <c r="CX144" s="59">
        <f t="shared" si="122"/>
        <v>293.33333333333468</v>
      </c>
      <c r="CY144" s="59">
        <f ca="1">AVERAGE(OFFSET($CX$3,0,0,'Données projet'!$E$13+1,1))-AVERAGE(OFFSET($H$3,0,0,'Données projet'!$E$13+1,1))</f>
        <v>198.11534486400666</v>
      </c>
      <c r="CZ144" s="59">
        <f t="shared" si="150"/>
        <v>174.29856796517652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23.560913507625155</v>
      </c>
      <c r="DG144" s="21">
        <f>EXP(-LN(2)/25)*DG143+(1-EXP(-LN(2)/25))/(LN(2)/25)*Calculateur!DB144*Calculateur!DD144*VLOOKUP('Données projet'!$B$13,Paramètres!$A$1:$I$89,3,0)*0.475*44/12</f>
        <v>4.6555025687717038</v>
      </c>
      <c r="DH144" s="21">
        <f>EXP(-LN(2)/2)*DH143+(1-EXP(-LN(2)/2))/(LN(2)/2)*DB144*DE144*VLOOKUP('Données projet'!$B$13,Paramètres!$A$1:$I$89,3,0)*0.475*44/12</f>
        <v>1.3406382897478165E-8</v>
      </c>
      <c r="DI144" s="22">
        <f t="shared" si="123"/>
        <v>28.216416089803243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4.8666666666666663</v>
      </c>
      <c r="DO144" s="12">
        <f>IF('Données projet'!$A$166&gt;35,DO143+DN144-DW143,IF(A144&lt;'Données projet'!$A$166,$DL$205^A144,IF(A144='Données projet'!$A$166,'Données projet'!$B$166,DO143+DN144-DW143)))</f>
        <v>237.59999999999985</v>
      </c>
      <c r="DP144" s="17">
        <f>DO144*VLOOKUP('Données projet'!$B$14,Paramètres!$A$1:$I$89,3,0)*VLOOKUP('Données projet'!$B$14,Paramètres!$A$1:$I$89,5,0)</f>
        <v>240.92639999999986</v>
      </c>
      <c r="DQ144" s="13">
        <f t="shared" si="151"/>
        <v>58.638805241742773</v>
      </c>
      <c r="DR144" s="20">
        <f t="shared" si="124"/>
        <v>521.74273246270184</v>
      </c>
      <c r="DS144" s="59">
        <f t="shared" si="125"/>
        <v>815.07606579603521</v>
      </c>
      <c r="DT144" s="59">
        <f ca="1">AVERAGE(OFFSET($DS$3,0,0,'Données projet'!$E$14+1,1))-AVERAGE(OFFSET($H$3,0,0,'Données projet'!$E$14+1,1))</f>
        <v>247.92503505485405</v>
      </c>
      <c r="DU144" s="59">
        <f t="shared" si="152"/>
        <v>148.26437652597514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22.996120916769044</v>
      </c>
      <c r="EB144" s="21">
        <f>EXP(-LN(2)/25)*EB143+(1-EXP(-LN(2)/25))/(LN(2)/25)*Calculateur!DW144*Calculateur!DY144*VLOOKUP('Données projet'!$B$14,Paramètres!$A$1:$I$89,3,0)*0.475*44/12</f>
        <v>23.901285734888017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46.897406651657064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4.8666666666666663</v>
      </c>
      <c r="EJ144" s="12">
        <f>IF('Données projet'!$A$192&gt;35,EJ143+EI144-ER143,IF(A144&lt;'Données projet'!$A$192,$EG$205^A144,IF(A144='Données projet'!$A$192,'Données projet'!$B$192,EJ143+EI144-ER143)))</f>
        <v>237.59999999999985</v>
      </c>
      <c r="EK144" s="17">
        <f>EJ144*VLOOKUP('Données projet'!$B$15,Paramètres!$A$1:$I$89,3,0)*VLOOKUP('Données projet'!$B$15,Paramètres!$A$1:$I$89,5,0)</f>
        <v>229.80671999999984</v>
      </c>
      <c r="EL144" s="13">
        <f t="shared" si="153"/>
        <v>56.240887831657908</v>
      </c>
      <c r="EM144" s="20">
        <f t="shared" si="127"/>
        <v>498.19958364013718</v>
      </c>
      <c r="EN144" s="59">
        <f t="shared" si="128"/>
        <v>791.53291697347049</v>
      </c>
      <c r="EO144" s="59">
        <f ca="1">AVERAGE(OFFSET($EN$3,0,0,'Données projet'!$E$15+1,1))-AVERAGE(OFFSET($H$3,0,0,'Données projet'!$E$15+1,1))</f>
        <v>232.99870507181964</v>
      </c>
      <c r="EP144" s="59">
        <f t="shared" si="154"/>
        <v>140.07662669226278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21.934761489841247</v>
      </c>
      <c r="EW144" s="21">
        <f>EXP(-LN(2)/25)*EW143+(1-EXP(-LN(2)/25))/(LN(2)/25)*Calculateur!ER144*Calculateur!ET144*VLOOKUP('Données projet'!$B$15,Paramètres!$A$1:$I$89,3,0)*0.475*44/12</f>
        <v>22.79814947020088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44.732910960042126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5.6843418860808015E-14</v>
      </c>
      <c r="FF144" s="17">
        <f>FE144*VLOOKUP('Données projet'!$B$16,Paramètres!$A$1:$I$89,3,0)*VLOOKUP('Données projet'!$B$16,Paramètres!$A$1:$I$89,5,0)</f>
        <v>4.4337866711430253E-14</v>
      </c>
      <c r="FG144" s="13">
        <f t="shared" si="155"/>
        <v>7.3222115536967035E-13</v>
      </c>
      <c r="FH144" s="20">
        <f t="shared" si="130"/>
        <v>1.3525069634579169E-12</v>
      </c>
      <c r="FI144" s="59">
        <f t="shared" si="131"/>
        <v>293.33333333333468</v>
      </c>
      <c r="FJ144" s="59">
        <f ca="1">AVERAGE(OFFSET($FI$3,0,0,'Données projet'!$E$16+1,1))-AVERAGE(OFFSET($H$3,0,0,'Données projet'!$E$16+1,1))</f>
        <v>193.47609744163839</v>
      </c>
      <c r="FK144" s="59">
        <f t="shared" si="156"/>
        <v>170.3221892406973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18.74064522434114</v>
      </c>
      <c r="FR144" s="21">
        <f>EXP(-LN(2)/25)*FR143+(1-EXP(-LN(2)/25))/(LN(2)/25)*Calculateur!FM144*Calculateur!FO144*VLOOKUP('Données projet'!$B$16,Paramètres!$A$1:$I$89,3,0)*0.475*44/12</f>
        <v>3.7030449585124474</v>
      </c>
      <c r="FS144" s="21">
        <f>EXP(-LN(2)/2)*FS143+(1-EXP(-LN(2)/2))/(LN(2)/2)*FM144*FP144*VLOOKUP('Données projet'!$B$16,Paramètres!$A$1:$I$89,3,0)*0.475*44/12</f>
        <v>1.3143512644586456E-8</v>
      </c>
      <c r="FT144" s="22">
        <f t="shared" si="132"/>
        <v>22.4436901959971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>
        <f>FZ144*VLOOKUP('Données projet'!$B$17,Paramètres!$A$1:$I$89,3,0)*VLOOKUP('Données projet'!$B$17,Paramètres!$A$1:$I$89,5,0)</f>
        <v>0</v>
      </c>
      <c r="GB144" s="13" t="e">
        <f t="shared" si="157"/>
        <v>#NUM!</v>
      </c>
      <c r="GC144" s="20" t="e">
        <f t="shared" si="133"/>
        <v>#NUM!</v>
      </c>
      <c r="GD144" s="59" t="e">
        <f t="shared" si="134"/>
        <v>#NUM!</v>
      </c>
      <c r="GE144" s="59">
        <f ca="1">AVERAGE(OFFSET($GD$3,0,0,'Données projet'!$E$17+1,1))-AVERAGE(OFFSET($H$3,0,0,'Données projet'!$E$17+1,1))</f>
        <v>153.43773674911449</v>
      </c>
      <c r="GF144" s="59">
        <f t="shared" si="158"/>
        <v>235.49395036616602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24.63442642313812</v>
      </c>
      <c r="GM144" s="21">
        <f>EXP(-LN(2)/25)*GM143+(1-EXP(-LN(2)/25))/(LN(2)/25)*Calculateur!GH144*Calculateur!GJ144*VLOOKUP('Données projet'!$B$17,Paramètres!$A$1:$I$89,3,0)*0.475*44/12</f>
        <v>9.0903152880779405</v>
      </c>
      <c r="GN144" s="21">
        <f>EXP(-LN(2)/2)*GN143+(1-EXP(-LN(2)/2))/(LN(2)/2)*GH144*GK144*VLOOKUP('Données projet'!$B$17,Paramètres!$A$1:$I$89,3,0)*0.475*44/12</f>
        <v>0</v>
      </c>
      <c r="GO144" s="21">
        <f t="shared" si="135"/>
        <v>33.724741711216062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5.6843418860808015E-14</v>
      </c>
      <c r="GV144" s="17">
        <f>GU144*VLOOKUP('Données projet'!$B$18,Paramètres!$A$1:$I$89,3,0)*VLOOKUP('Données projet'!$B$18,Paramètres!$A$1:$I$89,5,0)</f>
        <v>4.5224624045658861E-14</v>
      </c>
      <c r="GW144" s="13">
        <f t="shared" si="159"/>
        <v>7.4514601661523691E-13</v>
      </c>
      <c r="GX144" s="20">
        <f t="shared" si="136"/>
        <v>1.3765621991510601E-12</v>
      </c>
      <c r="GY144" s="59">
        <f t="shared" si="137"/>
        <v>293.33333333333468</v>
      </c>
      <c r="GZ144" s="59">
        <f ca="1">AVERAGE(OFFSET($GY$3,0,0,'Données projet'!$E$18+1,1))-AVERAGE(OFFSET($H$3,0,0,'Données projet'!$E$18+1,1))</f>
        <v>198.11534486400666</v>
      </c>
      <c r="HA144" s="59">
        <f t="shared" si="160"/>
        <v>174.29856796517652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>
        <f>EXP(-LN(2)/35)*HG143+(1-EXP(-LN(2)/35))/(LN(2)/35)*HC144*HD144*VLOOKUP('Données projet'!$B$18,Paramètres!$A$1:$I$89,3,0)*0.475*44/12</f>
        <v>23.560913507625155</v>
      </c>
      <c r="HH144" s="21">
        <f>EXP(-LN(2)/25)*HH143+(1-EXP(-LN(2)/25))/(LN(2)/25)*Calculateur!HC144*Calculateur!HE144*VLOOKUP('Données projet'!$B$18,Paramètres!$A$1:$I$89,3,0)*0.475*44/12</f>
        <v>4.6555025687717038</v>
      </c>
      <c r="HI144" s="21">
        <f>EXP(-LN(2)/2)*HI143+(1-EXP(-LN(2)/2))/(LN(2)/2)*HC144*HF144*VLOOKUP('Données projet'!$B$18,Paramètres!$A$1:$I$89,3,0)*0.475*44/12</f>
        <v>1.3406382897478165E-8</v>
      </c>
      <c r="HJ144" s="22">
        <f t="shared" si="138"/>
        <v>28.216416089803243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1.1368683772161603E-13</v>
      </c>
      <c r="O145" s="13">
        <f>N145*VLOOKUP('Données projet'!$B$9,Paramètres!$A$1:$I$89,3,0)*VLOOKUP('Données projet'!$B$9,Paramètres!$A$1:$I$89,5,0)</f>
        <v>6.7984728957526396E-14</v>
      </c>
      <c r="P145" s="13">
        <f t="shared" si="141"/>
        <v>1.0682447123141398E-12</v>
      </c>
      <c r="Q145" s="20">
        <f t="shared" si="108"/>
        <v>1.978932943548152E-12</v>
      </c>
      <c r="R145" s="59">
        <f t="shared" si="109"/>
        <v>293.3333333333353</v>
      </c>
      <c r="S145" s="59">
        <f ca="1">AVERAGE(OFFSET($R$3,0,0,'Données projet'!$E$9+1,1))-AVERAGE(OFFSET($H$3,0,0,'Données projet'!$E$9+1,1))</f>
        <v>295.19075440119076</v>
      </c>
      <c r="T145" s="59">
        <f t="shared" si="142"/>
        <v>173.0182327988216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58.215134107786</v>
      </c>
      <c r="AA145" s="21">
        <f>EXP(-LN(2)/25)*AA144+(1-EXP(-LN(2)/25))/(LN(2)/25)*Calculateur!V145*Calculateur!X145*VLOOKUP('Données projet'!$B$9,Paramètres!$A$1:$I$89,3,0)*0.475*44/12</f>
        <v>20.486676007347615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78.701810115133611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294.45857786714919</v>
      </c>
      <c r="AO145" s="59">
        <f t="shared" si="144"/>
        <v>221.9773436301067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53.732610729416741</v>
      </c>
      <c r="AV145" s="21">
        <f>EXP(-LN(2)/25)*AV144+(1-EXP(-LN(2)/25))/(LN(2)/25)*Calculateur!AQ145*Calculateur!AS145*VLOOKUP('Données projet'!$B$10,Paramètres!$A$1:$I$89,3,0)*0.475*44/12</f>
        <v>18.022027411487482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71.75463814090422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179.44051550872138</v>
      </c>
      <c r="BJ145" s="59">
        <f t="shared" si="146"/>
        <v>272.9500808380069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27.601554681710716</v>
      </c>
      <c r="BQ145" s="21">
        <f>EXP(-LN(2)/25)*BQ144+(1-EXP(-LN(2)/25))/(LN(2)/25)*Calculateur!BL145*Calculateur!BN145*VLOOKUP('Données projet'!$B$11,Paramètres!$A$1:$I$89,3,0)*0.475*44/12</f>
        <v>10.104845872556059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37.706400554266779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-1.5961632016114892E-13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259.87681411271632</v>
      </c>
      <c r="CE145" s="59">
        <f t="shared" si="148"/>
        <v>191.8684235641158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95.487580359852402</v>
      </c>
      <c r="CL145" s="21">
        <f>EXP(-LN(2)/25)*CL144+(1-EXP(-LN(2)/25))/(LN(2)/25)*Calculateur!CG145*Calculateur!CI145*VLOOKUP('Données projet'!$B$12,Paramètres!$A$1:$I$89,3,0)*0.475*44/12</f>
        <v>34.239074099086864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129.72665445893927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5.6843418860808015E-14</v>
      </c>
      <c r="CU145" s="17">
        <f>CT145*VLOOKUP('Données projet'!$B$13,Paramètres!$A$1:$I$89,3,0)*VLOOKUP('Données projet'!$B$13,Paramètres!$A$1:$I$89,5,0)</f>
        <v>4.5224624045658861E-14</v>
      </c>
      <c r="CV145" s="13">
        <f t="shared" si="149"/>
        <v>7.4514601661523691E-13</v>
      </c>
      <c r="CW145" s="20">
        <f t="shared" si="121"/>
        <v>1.3765621991510601E-12</v>
      </c>
      <c r="CX145" s="59">
        <f t="shared" si="122"/>
        <v>293.33333333333468</v>
      </c>
      <c r="CY145" s="59">
        <f ca="1">AVERAGE(OFFSET($CX$3,0,0,'Données projet'!$E$13+1,1))-AVERAGE(OFFSET($H$3,0,0,'Données projet'!$E$13+1,1))</f>
        <v>198.11534486400666</v>
      </c>
      <c r="CZ145" s="59">
        <f t="shared" si="150"/>
        <v>174.29856796517652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23.098898364478874</v>
      </c>
      <c r="DG145" s="21">
        <f>EXP(-LN(2)/25)*DG144+(1-EXP(-LN(2)/25))/(LN(2)/25)*Calculateur!DB145*Calculateur!DD145*VLOOKUP('Données projet'!$B$13,Paramètres!$A$1:$I$89,3,0)*0.475*44/12</f>
        <v>4.528197606206402</v>
      </c>
      <c r="DH145" s="21">
        <f>EXP(-LN(2)/2)*DH144+(1-EXP(-LN(2)/2))/(LN(2)/2)*DB145*DE145*VLOOKUP('Données projet'!$B$13,Paramètres!$A$1:$I$89,3,0)*0.475*44/12</f>
        <v>9.4797442579901659E-9</v>
      </c>
      <c r="DI145" s="22">
        <f t="shared" si="123"/>
        <v>27.62709598016502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4.8666666666666663</v>
      </c>
      <c r="DO145" s="12">
        <f>IF('Données projet'!$A$166&gt;35,DO144+DN145-DW144,IF(A145&lt;'Données projet'!$A$166,$DL$205^A145,IF(A145='Données projet'!$A$166,'Données projet'!$B$166,DO144+DN145-DW144)))</f>
        <v>242.46666666666653</v>
      </c>
      <c r="DP145" s="17">
        <f>DO145*VLOOKUP('Données projet'!$B$14,Paramètres!$A$1:$I$89,3,0)*VLOOKUP('Données projet'!$B$14,Paramètres!$A$1:$I$89,5,0)</f>
        <v>245.86119999999985</v>
      </c>
      <c r="DQ145" s="13">
        <f t="shared" si="151"/>
        <v>59.69881989223358</v>
      </c>
      <c r="DR145" s="20">
        <f t="shared" si="124"/>
        <v>532.18370131230654</v>
      </c>
      <c r="DS145" s="59">
        <f t="shared" si="125"/>
        <v>825.5170346456398</v>
      </c>
      <c r="DT145" s="59">
        <f ca="1">AVERAGE(OFFSET($DS$3,0,0,'Données projet'!$E$14+1,1))-AVERAGE(OFFSET($H$3,0,0,'Données projet'!$E$14+1,1))</f>
        <v>247.92503505485405</v>
      </c>
      <c r="DU145" s="59">
        <f t="shared" si="152"/>
        <v>148.26437652597514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22.545181011839986</v>
      </c>
      <c r="EB145" s="21">
        <f>EXP(-LN(2)/25)*EB144+(1-EXP(-LN(2)/25))/(LN(2)/25)*Calculateur!DW145*Calculateur!DY145*VLOOKUP('Données projet'!$B$14,Paramètres!$A$1:$I$89,3,0)*0.475*44/12</f>
        <v>23.247703819553514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45.792884831393501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4.8666666666666663</v>
      </c>
      <c r="EJ145" s="12">
        <f>IF('Données projet'!$A$192&gt;35,EJ144+EI145-ER144,IF(A145&lt;'Données projet'!$A$192,$EG$205^A145,IF(A145='Données projet'!$A$192,'Données projet'!$B$192,EJ144+EI145-ER144)))</f>
        <v>242.46666666666653</v>
      </c>
      <c r="EK145" s="17">
        <f>EJ145*VLOOKUP('Données projet'!$B$15,Paramètres!$A$1:$I$89,3,0)*VLOOKUP('Données projet'!$B$15,Paramètres!$A$1:$I$89,5,0)</f>
        <v>234.51375999999985</v>
      </c>
      <c r="EL145" s="13">
        <f t="shared" si="153"/>
        <v>57.257555289536619</v>
      </c>
      <c r="EM145" s="20">
        <f t="shared" si="127"/>
        <v>508.16837412927606</v>
      </c>
      <c r="EN145" s="59">
        <f t="shared" si="128"/>
        <v>801.50170746260937</v>
      </c>
      <c r="EO145" s="59">
        <f ca="1">AVERAGE(OFFSET($EN$3,0,0,'Données projet'!$E$15+1,1))-AVERAGE(OFFSET($H$3,0,0,'Données projet'!$E$15+1,1))</f>
        <v>232.99870507181964</v>
      </c>
      <c r="EP145" s="59">
        <f t="shared" si="154"/>
        <v>140.07662669226278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21.504634195908913</v>
      </c>
      <c r="EW145" s="21">
        <f>EXP(-LN(2)/25)*EW144+(1-EXP(-LN(2)/25))/(LN(2)/25)*Calculateur!ER145*Calculateur!ET145*VLOOKUP('Données projet'!$B$15,Paramètres!$A$1:$I$89,3,0)*0.475*44/12</f>
        <v>22.174732874035662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43.679367069944576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5.6843418860808015E-14</v>
      </c>
      <c r="FF145" s="17">
        <f>FE145*VLOOKUP('Données projet'!$B$16,Paramètres!$A$1:$I$89,3,0)*VLOOKUP('Données projet'!$B$16,Paramètres!$A$1:$I$89,5,0)</f>
        <v>4.4337866711430253E-14</v>
      </c>
      <c r="FG145" s="13">
        <f t="shared" si="155"/>
        <v>7.3222115536967035E-13</v>
      </c>
      <c r="FH145" s="20">
        <f t="shared" si="130"/>
        <v>1.3525069634579169E-12</v>
      </c>
      <c r="FI145" s="59">
        <f t="shared" si="131"/>
        <v>293.33333333333468</v>
      </c>
      <c r="FJ145" s="59">
        <f ca="1">AVERAGE(OFFSET($FI$3,0,0,'Données projet'!$E$16+1,1))-AVERAGE(OFFSET($H$3,0,0,'Données projet'!$E$16+1,1))</f>
        <v>193.47609744163839</v>
      </c>
      <c r="FK145" s="59">
        <f t="shared" si="156"/>
        <v>170.3221892406973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18.373152602156711</v>
      </c>
      <c r="FR145" s="21">
        <f>EXP(-LN(2)/25)*FR144+(1-EXP(-LN(2)/25))/(LN(2)/25)*Calculateur!FM145*Calculateur!FO145*VLOOKUP('Données projet'!$B$16,Paramètres!$A$1:$I$89,3,0)*0.475*44/12</f>
        <v>3.6017849993872537</v>
      </c>
      <c r="FS145" s="21">
        <f>EXP(-LN(2)/2)*FS144+(1-EXP(-LN(2)/2))/(LN(2)/2)*FM145*FP145*VLOOKUP('Données projet'!$B$16,Paramètres!$A$1:$I$89,3,0)*0.475*44/12</f>
        <v>9.2938669195982158E-9</v>
      </c>
      <c r="FT145" s="22">
        <f t="shared" si="132"/>
        <v>21.974937610837831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>
        <f>FZ145*VLOOKUP('Données projet'!$B$17,Paramètres!$A$1:$I$89,3,0)*VLOOKUP('Données projet'!$B$17,Paramètres!$A$1:$I$89,5,0)</f>
        <v>0</v>
      </c>
      <c r="GB145" s="13" t="e">
        <f t="shared" si="157"/>
        <v>#NUM!</v>
      </c>
      <c r="GC145" s="20" t="e">
        <f t="shared" si="133"/>
        <v>#NUM!</v>
      </c>
      <c r="GD145" s="59" t="e">
        <f t="shared" si="134"/>
        <v>#NUM!</v>
      </c>
      <c r="GE145" s="59">
        <f ca="1">AVERAGE(OFFSET($GD$3,0,0,'Données projet'!$E$17+1,1))-AVERAGE(OFFSET($H$3,0,0,'Données projet'!$E$17+1,1))</f>
        <v>153.43773674911449</v>
      </c>
      <c r="GF145" s="59">
        <f t="shared" si="158"/>
        <v>235.49395036616602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24.151360346496851</v>
      </c>
      <c r="GM145" s="21">
        <f>EXP(-LN(2)/25)*GM144+(1-EXP(-LN(2)/25))/(LN(2)/25)*Calculateur!GH145*Calculateur!GJ145*VLOOKUP('Données projet'!$B$17,Paramètres!$A$1:$I$89,3,0)*0.475*44/12</f>
        <v>8.8417401384865446</v>
      </c>
      <c r="GN145" s="21">
        <f>EXP(-LN(2)/2)*GN144+(1-EXP(-LN(2)/2))/(LN(2)/2)*GH145*GK145*VLOOKUP('Données projet'!$B$17,Paramètres!$A$1:$I$89,3,0)*0.475*44/12</f>
        <v>0</v>
      </c>
      <c r="GO145" s="21">
        <f t="shared" si="135"/>
        <v>32.993100484983394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5.6843418860808015E-14</v>
      </c>
      <c r="GV145" s="17">
        <f>GU145*VLOOKUP('Données projet'!$B$18,Paramètres!$A$1:$I$89,3,0)*VLOOKUP('Données projet'!$B$18,Paramètres!$A$1:$I$89,5,0)</f>
        <v>4.5224624045658861E-14</v>
      </c>
      <c r="GW145" s="13">
        <f t="shared" si="159"/>
        <v>7.4514601661523691E-13</v>
      </c>
      <c r="GX145" s="20">
        <f t="shared" si="136"/>
        <v>1.3765621991510601E-12</v>
      </c>
      <c r="GY145" s="59">
        <f t="shared" si="137"/>
        <v>293.33333333333468</v>
      </c>
      <c r="GZ145" s="59">
        <f ca="1">AVERAGE(OFFSET($GY$3,0,0,'Données projet'!$E$18+1,1))-AVERAGE(OFFSET($H$3,0,0,'Données projet'!$E$18+1,1))</f>
        <v>198.11534486400666</v>
      </c>
      <c r="HA145" s="59">
        <f t="shared" si="160"/>
        <v>174.29856796517652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>
        <f>EXP(-LN(2)/35)*HG144+(1-EXP(-LN(2)/35))/(LN(2)/35)*HC145*HD145*VLOOKUP('Données projet'!$B$18,Paramètres!$A$1:$I$89,3,0)*0.475*44/12</f>
        <v>23.098898364478874</v>
      </c>
      <c r="HH145" s="21">
        <f>EXP(-LN(2)/25)*HH144+(1-EXP(-LN(2)/25))/(LN(2)/25)*Calculateur!HC145*Calculateur!HE145*VLOOKUP('Données projet'!$B$18,Paramètres!$A$1:$I$89,3,0)*0.475*44/12</f>
        <v>4.528197606206402</v>
      </c>
      <c r="HI145" s="21">
        <f>EXP(-LN(2)/2)*HI144+(1-EXP(-LN(2)/2))/(LN(2)/2)*HC145*HF145*VLOOKUP('Données projet'!$B$18,Paramètres!$A$1:$I$89,3,0)*0.475*44/12</f>
        <v>9.4797442579901659E-9</v>
      </c>
      <c r="HJ145" s="22">
        <f t="shared" si="138"/>
        <v>27.62709598016502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1.1368683772161603E-13</v>
      </c>
      <c r="O146" s="13">
        <f>N146*VLOOKUP('Données projet'!$B$9,Paramètres!$A$1:$I$89,3,0)*VLOOKUP('Données projet'!$B$9,Paramètres!$A$1:$I$89,5,0)</f>
        <v>6.7984728957526396E-14</v>
      </c>
      <c r="P146" s="13">
        <f t="shared" si="141"/>
        <v>1.0682447123141398E-12</v>
      </c>
      <c r="Q146" s="20">
        <f t="shared" si="108"/>
        <v>1.978932943548152E-12</v>
      </c>
      <c r="R146" s="59">
        <f t="shared" si="109"/>
        <v>293.3333333333353</v>
      </c>
      <c r="S146" s="59">
        <f ca="1">AVERAGE(OFFSET($R$3,0,0,'Données projet'!$E$9+1,1))-AVERAGE(OFFSET($H$3,0,0,'Données projet'!$E$9+1,1))</f>
        <v>295.19075440119076</v>
      </c>
      <c r="T146" s="59">
        <f t="shared" si="142"/>
        <v>173.0182327988216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57.073570835658025</v>
      </c>
      <c r="AA146" s="21">
        <f>EXP(-LN(2)/25)*AA145+(1-EXP(-LN(2)/25))/(LN(2)/25)*Calculateur!V146*Calculateur!X146*VLOOKUP('Données projet'!$B$9,Paramètres!$A$1:$I$89,3,0)*0.475*44/12</f>
        <v>19.926466774579225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77.000037610237257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294.45857786714919</v>
      </c>
      <c r="AO146" s="59">
        <f t="shared" si="144"/>
        <v>221.9773436301067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52.678947006669297</v>
      </c>
      <c r="AV146" s="21">
        <f>EXP(-LN(2)/25)*AV145+(1-EXP(-LN(2)/25))/(LN(2)/25)*Calculateur!AQ146*Calculateur!AS146*VLOOKUP('Données projet'!$B$10,Paramètres!$A$1:$I$89,3,0)*0.475*44/12</f>
        <v>17.529214124183124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70.208161130852417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179.44051550872138</v>
      </c>
      <c r="BJ146" s="59">
        <f t="shared" si="146"/>
        <v>272.9500808380069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27.060305029688379</v>
      </c>
      <c r="BQ146" s="21">
        <f>EXP(-LN(2)/25)*BQ145+(1-EXP(-LN(2)/25))/(LN(2)/25)*Calculateur!BL146*Calculateur!BN146*VLOOKUP('Données projet'!$B$11,Paramètres!$A$1:$I$89,3,0)*0.475*44/12</f>
        <v>9.828528330780264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36.888833360468645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-1.5961632016114892E-13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259.87681411271632</v>
      </c>
      <c r="CE146" s="59">
        <f t="shared" si="148"/>
        <v>191.8684235641158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93.615127150668826</v>
      </c>
      <c r="CL146" s="21">
        <f>EXP(-LN(2)/25)*CL145+(1-EXP(-LN(2)/25))/(LN(2)/25)*Calculateur!CG146*Calculateur!CI146*VLOOKUP('Données projet'!$B$12,Paramètres!$A$1:$I$89,3,0)*0.475*44/12</f>
        <v>33.302804817292682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126.91793196796151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5.6843418860808015E-14</v>
      </c>
      <c r="CU146" s="17">
        <f>CT146*VLOOKUP('Données projet'!$B$13,Paramètres!$A$1:$I$89,3,0)*VLOOKUP('Données projet'!$B$13,Paramètres!$A$1:$I$89,5,0)</f>
        <v>4.5224624045658861E-14</v>
      </c>
      <c r="CV146" s="13">
        <f t="shared" si="149"/>
        <v>7.4514601661523691E-13</v>
      </c>
      <c r="CW146" s="20">
        <f t="shared" si="121"/>
        <v>1.3765621991510601E-12</v>
      </c>
      <c r="CX146" s="59">
        <f t="shared" si="122"/>
        <v>293.33333333333468</v>
      </c>
      <c r="CY146" s="59">
        <f ca="1">AVERAGE(OFFSET($CX$3,0,0,'Données projet'!$E$13+1,1))-AVERAGE(OFFSET($H$3,0,0,'Données projet'!$E$13+1,1))</f>
        <v>198.11534486400666</v>
      </c>
      <c r="CZ146" s="59">
        <f t="shared" si="150"/>
        <v>174.29856796517652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22.645943056488278</v>
      </c>
      <c r="DG146" s="21">
        <f>EXP(-LN(2)/25)*DG145+(1-EXP(-LN(2)/25))/(LN(2)/25)*Calculateur!DB146*Calculateur!DD146*VLOOKUP('Données projet'!$B$13,Paramètres!$A$1:$I$89,3,0)*0.475*44/12</f>
        <v>4.4043738045371255</v>
      </c>
      <c r="DH146" s="21">
        <f>EXP(-LN(2)/2)*DH145+(1-EXP(-LN(2)/2))/(LN(2)/2)*DB146*DE146*VLOOKUP('Données projet'!$B$13,Paramètres!$A$1:$I$89,3,0)*0.475*44/12</f>
        <v>6.7031914487390826E-9</v>
      </c>
      <c r="DI146" s="22">
        <f t="shared" si="123"/>
        <v>27.050316867728597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4.8666666666666663</v>
      </c>
      <c r="DO146" s="12">
        <f>IF('Données projet'!$A$166&gt;35,DO145+DN146-DW145,IF(A146&lt;'Données projet'!$A$166,$DL$205^A146,IF(A146='Données projet'!$A$166,'Données projet'!$B$166,DO145+DN146-DW145)))</f>
        <v>247.3333333333332</v>
      </c>
      <c r="DP146" s="17">
        <f>DO146*VLOOKUP('Données projet'!$B$14,Paramètres!$A$1:$I$89,3,0)*VLOOKUP('Données projet'!$B$14,Paramètres!$A$1:$I$89,5,0)</f>
        <v>250.79599999999991</v>
      </c>
      <c r="DQ146" s="13">
        <f t="shared" si="151"/>
        <v>60.756360723240782</v>
      </c>
      <c r="DR146" s="20">
        <f t="shared" si="124"/>
        <v>542.62036159297747</v>
      </c>
      <c r="DS146" s="59">
        <f t="shared" si="125"/>
        <v>835.95369492631085</v>
      </c>
      <c r="DT146" s="59">
        <f ca="1">AVERAGE(OFFSET($DS$3,0,0,'Données projet'!$E$14+1,1))-AVERAGE(OFFSET($H$3,0,0,'Données projet'!$E$14+1,1))</f>
        <v>247.92503505485405</v>
      </c>
      <c r="DU146" s="59">
        <f t="shared" si="152"/>
        <v>148.26437652597514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22.103083763400402</v>
      </c>
      <c r="EB146" s="21">
        <f>EXP(-LN(2)/25)*EB145+(1-EXP(-LN(2)/25))/(LN(2)/25)*Calculateur!DW146*Calculateur!DY146*VLOOKUP('Données projet'!$B$14,Paramètres!$A$1:$I$89,3,0)*0.475*44/12</f>
        <v>22.611994136064212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44.715077899464617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4.8666666666666663</v>
      </c>
      <c r="EJ146" s="12">
        <f>IF('Données projet'!$A$192&gt;35,EJ145+EI146-ER145,IF(A146&lt;'Données projet'!$A$192,$EG$205^A146,IF(A146='Données projet'!$A$192,'Données projet'!$B$192,EJ145+EI146-ER145)))</f>
        <v>247.3333333333332</v>
      </c>
      <c r="EK146" s="17">
        <f>EJ146*VLOOKUP('Données projet'!$B$15,Paramètres!$A$1:$I$89,3,0)*VLOOKUP('Données projet'!$B$15,Paramètres!$A$1:$I$89,5,0)</f>
        <v>239.22079999999988</v>
      </c>
      <c r="EL146" s="13">
        <f t="shared" si="153"/>
        <v>58.271850089863392</v>
      </c>
      <c r="EM146" s="20">
        <f t="shared" si="127"/>
        <v>518.13303223984519</v>
      </c>
      <c r="EN146" s="59">
        <f t="shared" si="128"/>
        <v>811.46636557317856</v>
      </c>
      <c r="EO146" s="59">
        <f ca="1">AVERAGE(OFFSET($EN$3,0,0,'Données projet'!$E$15+1,1))-AVERAGE(OFFSET($H$3,0,0,'Données projet'!$E$15+1,1))</f>
        <v>232.99870507181964</v>
      </c>
      <c r="EP146" s="59">
        <f t="shared" si="154"/>
        <v>140.07662669226278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21.082941435858849</v>
      </c>
      <c r="EW146" s="21">
        <f>EXP(-LN(2)/25)*EW145+(1-EXP(-LN(2)/25))/(LN(2)/25)*Calculateur!ER146*Calculateur!ET146*VLOOKUP('Données projet'!$B$15,Paramètres!$A$1:$I$89,3,0)*0.475*44/12</f>
        <v>21.568363637476637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42.651305073335486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5.6843418860808015E-14</v>
      </c>
      <c r="FF146" s="17">
        <f>FE146*VLOOKUP('Données projet'!$B$16,Paramètres!$A$1:$I$89,3,0)*VLOOKUP('Données projet'!$B$16,Paramètres!$A$1:$I$89,5,0)</f>
        <v>4.4337866711430253E-14</v>
      </c>
      <c r="FG146" s="13">
        <f t="shared" si="155"/>
        <v>7.3222115536967035E-13</v>
      </c>
      <c r="FH146" s="20">
        <f t="shared" si="130"/>
        <v>1.3525069634579169E-12</v>
      </c>
      <c r="FI146" s="59">
        <f t="shared" si="131"/>
        <v>293.33333333333468</v>
      </c>
      <c r="FJ146" s="59">
        <f ca="1">AVERAGE(OFFSET($FI$3,0,0,'Données projet'!$E$16+1,1))-AVERAGE(OFFSET($H$3,0,0,'Données projet'!$E$16+1,1))</f>
        <v>193.47609744163839</v>
      </c>
      <c r="FK146" s="59">
        <f t="shared" si="156"/>
        <v>170.3221892406973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18.012866286144956</v>
      </c>
      <c r="FR146" s="21">
        <f>EXP(-LN(2)/25)*FR145+(1-EXP(-LN(2)/25))/(LN(2)/25)*Calculateur!FM146*Calculateur!FO146*VLOOKUP('Données projet'!$B$16,Paramètres!$A$1:$I$89,3,0)*0.475*44/12</f>
        <v>3.5032939991693683</v>
      </c>
      <c r="FS146" s="21">
        <f>EXP(-LN(2)/2)*FS145+(1-EXP(-LN(2)/2))/(LN(2)/2)*FM146*FP146*VLOOKUP('Données projet'!$B$16,Paramètres!$A$1:$I$89,3,0)*0.475*44/12</f>
        <v>6.5717563222932282E-9</v>
      </c>
      <c r="FT146" s="22">
        <f t="shared" si="132"/>
        <v>21.516160291886081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>
        <f>FZ146*VLOOKUP('Données projet'!$B$17,Paramètres!$A$1:$I$89,3,0)*VLOOKUP('Données projet'!$B$17,Paramètres!$A$1:$I$89,5,0)</f>
        <v>0</v>
      </c>
      <c r="GB146" s="13" t="e">
        <f t="shared" si="157"/>
        <v>#NUM!</v>
      </c>
      <c r="GC146" s="20" t="e">
        <f t="shared" si="133"/>
        <v>#NUM!</v>
      </c>
      <c r="GD146" s="59" t="e">
        <f t="shared" si="134"/>
        <v>#NUM!</v>
      </c>
      <c r="GE146" s="59">
        <f ca="1">AVERAGE(OFFSET($GD$3,0,0,'Données projet'!$E$17+1,1))-AVERAGE(OFFSET($H$3,0,0,'Données projet'!$E$17+1,1))</f>
        <v>153.43773674911449</v>
      </c>
      <c r="GF146" s="59">
        <f t="shared" si="158"/>
        <v>235.49395036616602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23.677766900977307</v>
      </c>
      <c r="GM146" s="21">
        <f>EXP(-LN(2)/25)*GM145+(1-EXP(-LN(2)/25))/(LN(2)/25)*Calculateur!GH146*Calculateur!GJ146*VLOOKUP('Données projet'!$B$17,Paramètres!$A$1:$I$89,3,0)*0.475*44/12</f>
        <v>8.5999622894327246</v>
      </c>
      <c r="GN146" s="21">
        <f>EXP(-LN(2)/2)*GN145+(1-EXP(-LN(2)/2))/(LN(2)/2)*GH146*GK146*VLOOKUP('Données projet'!$B$17,Paramètres!$A$1:$I$89,3,0)*0.475*44/12</f>
        <v>0</v>
      </c>
      <c r="GO146" s="21">
        <f t="shared" si="135"/>
        <v>32.277729190410028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5.6843418860808015E-14</v>
      </c>
      <c r="GV146" s="17">
        <f>GU146*VLOOKUP('Données projet'!$B$18,Paramètres!$A$1:$I$89,3,0)*VLOOKUP('Données projet'!$B$18,Paramètres!$A$1:$I$89,5,0)</f>
        <v>4.5224624045658861E-14</v>
      </c>
      <c r="GW146" s="13">
        <f t="shared" si="159"/>
        <v>7.4514601661523691E-13</v>
      </c>
      <c r="GX146" s="20">
        <f t="shared" si="136"/>
        <v>1.3765621991510601E-12</v>
      </c>
      <c r="GY146" s="59">
        <f t="shared" si="137"/>
        <v>293.33333333333468</v>
      </c>
      <c r="GZ146" s="59">
        <f ca="1">AVERAGE(OFFSET($GY$3,0,0,'Données projet'!$E$18+1,1))-AVERAGE(OFFSET($H$3,0,0,'Données projet'!$E$18+1,1))</f>
        <v>198.11534486400666</v>
      </c>
      <c r="HA146" s="59">
        <f t="shared" si="160"/>
        <v>174.29856796517652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>
        <f>EXP(-LN(2)/35)*HG145+(1-EXP(-LN(2)/35))/(LN(2)/35)*HC146*HD146*VLOOKUP('Données projet'!$B$18,Paramètres!$A$1:$I$89,3,0)*0.475*44/12</f>
        <v>22.645943056488278</v>
      </c>
      <c r="HH146" s="21">
        <f>EXP(-LN(2)/25)*HH145+(1-EXP(-LN(2)/25))/(LN(2)/25)*Calculateur!HC146*Calculateur!HE146*VLOOKUP('Données projet'!$B$18,Paramètres!$A$1:$I$89,3,0)*0.475*44/12</f>
        <v>4.4043738045371255</v>
      </c>
      <c r="HI146" s="21">
        <f>EXP(-LN(2)/2)*HI145+(1-EXP(-LN(2)/2))/(LN(2)/2)*HC146*HF146*VLOOKUP('Données projet'!$B$18,Paramètres!$A$1:$I$89,3,0)*0.475*44/12</f>
        <v>6.7031914487390826E-9</v>
      </c>
      <c r="HJ146" s="22">
        <f t="shared" si="138"/>
        <v>27.050316867728597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1.1368683772161603E-13</v>
      </c>
      <c r="O147" s="13">
        <f>N147*VLOOKUP('Données projet'!$B$9,Paramètres!$A$1:$I$89,3,0)*VLOOKUP('Données projet'!$B$9,Paramètres!$A$1:$I$89,5,0)</f>
        <v>6.7984728957526396E-14</v>
      </c>
      <c r="P147" s="13">
        <f t="shared" si="141"/>
        <v>1.0682447123141398E-12</v>
      </c>
      <c r="Q147" s="20">
        <f t="shared" si="108"/>
        <v>1.978932943548152E-12</v>
      </c>
      <c r="R147" s="59">
        <f t="shared" si="109"/>
        <v>293.3333333333353</v>
      </c>
      <c r="S147" s="59">
        <f ca="1">AVERAGE(OFFSET($R$3,0,0,'Données projet'!$E$9+1,1))-AVERAGE(OFFSET($H$3,0,0,'Données projet'!$E$9+1,1))</f>
        <v>295.19075440119076</v>
      </c>
      <c r="T147" s="59">
        <f t="shared" si="142"/>
        <v>173.0182327988216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55.954392923011639</v>
      </c>
      <c r="AA147" s="21">
        <f>EXP(-LN(2)/25)*AA146+(1-EXP(-LN(2)/25))/(LN(2)/25)*Calculateur!V147*Calculateur!X147*VLOOKUP('Données projet'!$B$9,Paramètres!$A$1:$I$89,3,0)*0.475*44/12</f>
        <v>19.381576492741011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75.335969415752658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294.45857786714919</v>
      </c>
      <c r="AO147" s="59">
        <f t="shared" si="144"/>
        <v>221.9773436301067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51.645944986853515</v>
      </c>
      <c r="AV147" s="21">
        <f>EXP(-LN(2)/25)*AV146+(1-EXP(-LN(2)/25))/(LN(2)/25)*Calculateur!AQ147*Calculateur!AS147*VLOOKUP('Données projet'!$B$10,Paramètres!$A$1:$I$89,3,0)*0.475*44/12</f>
        <v>17.04987684213603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68.695821828989551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179.44051550872138</v>
      </c>
      <c r="BJ147" s="59">
        <f t="shared" si="146"/>
        <v>272.9500808380069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26.529668953212511</v>
      </c>
      <c r="BQ147" s="21">
        <f>EXP(-LN(2)/25)*BQ146+(1-EXP(-LN(2)/25))/(LN(2)/25)*Calculateur!BL147*Calculateur!BN147*VLOOKUP('Données projet'!$B$11,Paramètres!$A$1:$I$89,3,0)*0.475*44/12</f>
        <v>9.5597667067152354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36.089435659927744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-1.5961632016114892E-13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259.87681411271632</v>
      </c>
      <c r="CE147" s="59">
        <f t="shared" si="148"/>
        <v>191.8684235641158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91.779391606833656</v>
      </c>
      <c r="CL147" s="21">
        <f>EXP(-LN(2)/25)*CL146+(1-EXP(-LN(2)/25))/(LN(2)/25)*Calculateur!CG147*Calculateur!CI147*VLOOKUP('Données projet'!$B$12,Paramètres!$A$1:$I$89,3,0)*0.475*44/12</f>
        <v>32.39213786824542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124.17152947507907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5.6843418860808015E-14</v>
      </c>
      <c r="CU147" s="17">
        <f>CT147*VLOOKUP('Données projet'!$B$13,Paramètres!$A$1:$I$89,3,0)*VLOOKUP('Données projet'!$B$13,Paramètres!$A$1:$I$89,5,0)</f>
        <v>4.5224624045658861E-14</v>
      </c>
      <c r="CV147" s="13">
        <f t="shared" si="149"/>
        <v>7.4514601661523691E-13</v>
      </c>
      <c r="CW147" s="20">
        <f t="shared" si="121"/>
        <v>1.3765621991510601E-12</v>
      </c>
      <c r="CX147" s="59">
        <f t="shared" si="122"/>
        <v>293.33333333333468</v>
      </c>
      <c r="CY147" s="59">
        <f ca="1">AVERAGE(OFFSET($CX$3,0,0,'Données projet'!$E$13+1,1))-AVERAGE(OFFSET($H$3,0,0,'Données projet'!$E$13+1,1))</f>
        <v>198.11534486400666</v>
      </c>
      <c r="CZ147" s="59">
        <f t="shared" si="150"/>
        <v>174.29856796517652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22.20186992581192</v>
      </c>
      <c r="DG147" s="21">
        <f>EXP(-LN(2)/25)*DG146+(1-EXP(-LN(2)/25))/(LN(2)/25)*Calculateur!DB147*Calculateur!DD147*VLOOKUP('Données projet'!$B$13,Paramètres!$A$1:$I$89,3,0)*0.475*44/12</f>
        <v>4.2839359712361054</v>
      </c>
      <c r="DH147" s="21">
        <f>EXP(-LN(2)/2)*DH146+(1-EXP(-LN(2)/2))/(LN(2)/2)*DB147*DE147*VLOOKUP('Données projet'!$B$13,Paramètres!$A$1:$I$89,3,0)*0.475*44/12</f>
        <v>4.739872128995083E-9</v>
      </c>
      <c r="DI147" s="22">
        <f t="shared" si="123"/>
        <v>26.485805901787895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4.8666666666666663</v>
      </c>
      <c r="DO147" s="12">
        <f>IF('Données projet'!$A$166&gt;35,DO146+DN147-DW146,IF(A147&lt;'Données projet'!$A$166,$DL$205^A147,IF(A147='Données projet'!$A$166,'Données projet'!$B$166,DO146+DN147-DW146)))</f>
        <v>252.19999999999987</v>
      </c>
      <c r="DP147" s="17">
        <f>DO147*VLOOKUP('Données projet'!$B$14,Paramètres!$A$1:$I$89,3,0)*VLOOKUP('Données projet'!$B$14,Paramètres!$A$1:$I$89,5,0)</f>
        <v>255.73079999999987</v>
      </c>
      <c r="DQ147" s="13">
        <f t="shared" si="151"/>
        <v>61.811482021795229</v>
      </c>
      <c r="DR147" s="20">
        <f t="shared" si="124"/>
        <v>553.05280785462651</v>
      </c>
      <c r="DS147" s="59">
        <f t="shared" si="125"/>
        <v>846.38614118795977</v>
      </c>
      <c r="DT147" s="59">
        <f ca="1">AVERAGE(OFFSET($DS$3,0,0,'Données projet'!$E$14+1,1))-AVERAGE(OFFSET($H$3,0,0,'Données projet'!$E$14+1,1))</f>
        <v>247.92503505485405</v>
      </c>
      <c r="DU147" s="59">
        <f t="shared" si="152"/>
        <v>148.26437652597514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21.669655772350023</v>
      </c>
      <c r="EB147" s="21">
        <f>EXP(-LN(2)/25)*EB146+(1-EXP(-LN(2)/25))/(LN(2)/25)*Calculateur!DW147*Calculateur!DY147*VLOOKUP('Données projet'!$B$14,Paramètres!$A$1:$I$89,3,0)*0.475*44/12</f>
        <v>21.993667967300446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43.663323739650465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4.8666666666666663</v>
      </c>
      <c r="EJ147" s="12">
        <f>IF('Données projet'!$A$192&gt;35,EJ146+EI147-ER146,IF(A147&lt;'Données projet'!$A$192,$EG$205^A147,IF(A147='Données projet'!$A$192,'Données projet'!$B$192,EJ146+EI147-ER146)))</f>
        <v>252.19999999999987</v>
      </c>
      <c r="EK147" s="17">
        <f>EJ147*VLOOKUP('Données projet'!$B$15,Paramètres!$A$1:$I$89,3,0)*VLOOKUP('Données projet'!$B$15,Paramètres!$A$1:$I$89,5,0)</f>
        <v>243.92783999999989</v>
      </c>
      <c r="EL147" s="13">
        <f t="shared" si="153"/>
        <v>59.283824299708847</v>
      </c>
      <c r="EM147" s="20">
        <f t="shared" si="127"/>
        <v>528.09364865532609</v>
      </c>
      <c r="EN147" s="59">
        <f t="shared" si="128"/>
        <v>821.42698198865946</v>
      </c>
      <c r="EO147" s="59">
        <f ca="1">AVERAGE(OFFSET($EN$3,0,0,'Données projet'!$E$15+1,1))-AVERAGE(OFFSET($H$3,0,0,'Données projet'!$E$15+1,1))</f>
        <v>232.99870507181964</v>
      </c>
      <c r="EP147" s="59">
        <f t="shared" si="154"/>
        <v>140.07662669226278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20.669517813626179</v>
      </c>
      <c r="EW147" s="21">
        <f>EXP(-LN(2)/25)*EW146+(1-EXP(-LN(2)/25))/(LN(2)/25)*Calculateur!ER147*Calculateur!ET147*VLOOKUP('Données projet'!$B$15,Paramètres!$A$1:$I$89,3,0)*0.475*44/12</f>
        <v>20.978575599578889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41.648093413205068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5.6843418860808015E-14</v>
      </c>
      <c r="FF147" s="17">
        <f>FE147*VLOOKUP('Données projet'!$B$16,Paramètres!$A$1:$I$89,3,0)*VLOOKUP('Données projet'!$B$16,Paramètres!$A$1:$I$89,5,0)</f>
        <v>4.4337866711430253E-14</v>
      </c>
      <c r="FG147" s="13">
        <f t="shared" si="155"/>
        <v>7.3222115536967035E-13</v>
      </c>
      <c r="FH147" s="20">
        <f t="shared" si="130"/>
        <v>1.3525069634579169E-12</v>
      </c>
      <c r="FI147" s="59">
        <f t="shared" si="131"/>
        <v>293.33333333333468</v>
      </c>
      <c r="FJ147" s="59">
        <f ca="1">AVERAGE(OFFSET($FI$3,0,0,'Données projet'!$E$16+1,1))-AVERAGE(OFFSET($H$3,0,0,'Données projet'!$E$16+1,1))</f>
        <v>193.47609744163839</v>
      </c>
      <c r="FK147" s="59">
        <f t="shared" si="156"/>
        <v>170.3221892406973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17.659644965037234</v>
      </c>
      <c r="FR147" s="21">
        <f>EXP(-LN(2)/25)*FR146+(1-EXP(-LN(2)/25))/(LN(2)/25)*Calculateur!FM147*Calculateur!FO147*VLOOKUP('Données projet'!$B$16,Paramètres!$A$1:$I$89,3,0)*0.475*44/12</f>
        <v>3.4074962405318576</v>
      </c>
      <c r="FS147" s="21">
        <f>EXP(-LN(2)/2)*FS146+(1-EXP(-LN(2)/2))/(LN(2)/2)*FM147*FP147*VLOOKUP('Données projet'!$B$16,Paramètres!$A$1:$I$89,3,0)*0.475*44/12</f>
        <v>4.6469334597991079E-9</v>
      </c>
      <c r="FT147" s="22">
        <f t="shared" si="132"/>
        <v>21.067141210216025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>
        <f>FZ147*VLOOKUP('Données projet'!$B$17,Paramètres!$A$1:$I$89,3,0)*VLOOKUP('Données projet'!$B$17,Paramètres!$A$1:$I$89,5,0)</f>
        <v>0</v>
      </c>
      <c r="GB147" s="13" t="e">
        <f t="shared" si="157"/>
        <v>#NUM!</v>
      </c>
      <c r="GC147" s="20" t="e">
        <f t="shared" si="133"/>
        <v>#NUM!</v>
      </c>
      <c r="GD147" s="59" t="e">
        <f t="shared" si="134"/>
        <v>#NUM!</v>
      </c>
      <c r="GE147" s="59">
        <f ca="1">AVERAGE(OFFSET($GD$3,0,0,'Données projet'!$E$17+1,1))-AVERAGE(OFFSET($H$3,0,0,'Données projet'!$E$17+1,1))</f>
        <v>153.43773674911449</v>
      </c>
      <c r="GF147" s="59">
        <f t="shared" si="158"/>
        <v>235.49395036616602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23.213460334060922</v>
      </c>
      <c r="GM147" s="21">
        <f>EXP(-LN(2)/25)*GM146+(1-EXP(-LN(2)/25))/(LN(2)/25)*Calculateur!GH147*Calculateur!GJ147*VLOOKUP('Données projet'!$B$17,Paramètres!$A$1:$I$89,3,0)*0.475*44/12</f>
        <v>8.3647958683758254</v>
      </c>
      <c r="GN147" s="21">
        <f>EXP(-LN(2)/2)*GN146+(1-EXP(-LN(2)/2))/(LN(2)/2)*GH147*GK147*VLOOKUP('Données projet'!$B$17,Paramètres!$A$1:$I$89,3,0)*0.475*44/12</f>
        <v>0</v>
      </c>
      <c r="GO147" s="21">
        <f t="shared" si="135"/>
        <v>31.578256202436748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5.6843418860808015E-14</v>
      </c>
      <c r="GV147" s="17">
        <f>GU147*VLOOKUP('Données projet'!$B$18,Paramètres!$A$1:$I$89,3,0)*VLOOKUP('Données projet'!$B$18,Paramètres!$A$1:$I$89,5,0)</f>
        <v>4.5224624045658861E-14</v>
      </c>
      <c r="GW147" s="13">
        <f t="shared" si="159"/>
        <v>7.4514601661523691E-13</v>
      </c>
      <c r="GX147" s="20">
        <f t="shared" si="136"/>
        <v>1.3765621991510601E-12</v>
      </c>
      <c r="GY147" s="59">
        <f t="shared" si="137"/>
        <v>293.33333333333468</v>
      </c>
      <c r="GZ147" s="59">
        <f ca="1">AVERAGE(OFFSET($GY$3,0,0,'Données projet'!$E$18+1,1))-AVERAGE(OFFSET($H$3,0,0,'Données projet'!$E$18+1,1))</f>
        <v>198.11534486400666</v>
      </c>
      <c r="HA147" s="59">
        <f t="shared" si="160"/>
        <v>174.29856796517652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>
        <f>EXP(-LN(2)/35)*HG146+(1-EXP(-LN(2)/35))/(LN(2)/35)*HC147*HD147*VLOOKUP('Données projet'!$B$18,Paramètres!$A$1:$I$89,3,0)*0.475*44/12</f>
        <v>22.20186992581192</v>
      </c>
      <c r="HH147" s="21">
        <f>EXP(-LN(2)/25)*HH146+(1-EXP(-LN(2)/25))/(LN(2)/25)*Calculateur!HC147*Calculateur!HE147*VLOOKUP('Données projet'!$B$18,Paramètres!$A$1:$I$89,3,0)*0.475*44/12</f>
        <v>4.2839359712361054</v>
      </c>
      <c r="HI147" s="21">
        <f>EXP(-LN(2)/2)*HI146+(1-EXP(-LN(2)/2))/(LN(2)/2)*HC147*HF147*VLOOKUP('Données projet'!$B$18,Paramètres!$A$1:$I$89,3,0)*0.475*44/12</f>
        <v>4.739872128995083E-9</v>
      </c>
      <c r="HJ147" s="22">
        <f t="shared" si="138"/>
        <v>26.485805901787895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1.1368683772161603E-13</v>
      </c>
      <c r="O148" s="13">
        <f>N148*VLOOKUP('Données projet'!$B$9,Paramètres!$A$1:$I$89,3,0)*VLOOKUP('Données projet'!$B$9,Paramètres!$A$1:$I$89,5,0)</f>
        <v>6.7984728957526396E-14</v>
      </c>
      <c r="P148" s="13">
        <f t="shared" si="141"/>
        <v>1.0682447123141398E-12</v>
      </c>
      <c r="Q148" s="20">
        <f t="shared" si="108"/>
        <v>1.978932943548152E-12</v>
      </c>
      <c r="R148" s="59">
        <f t="shared" si="109"/>
        <v>293.3333333333353</v>
      </c>
      <c r="S148" s="59">
        <f ca="1">AVERAGE(OFFSET($R$3,0,0,'Données projet'!$E$9+1,1))-AVERAGE(OFFSET($H$3,0,0,'Données projet'!$E$9+1,1))</f>
        <v>295.19075440119076</v>
      </c>
      <c r="T148" s="59">
        <f t="shared" si="142"/>
        <v>173.0182327988216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54.857161406601122</v>
      </c>
      <c r="AA148" s="21">
        <f>EXP(-LN(2)/25)*AA147+(1-EXP(-LN(2)/25))/(LN(2)/25)*Calculateur!V148*Calculateur!X148*VLOOKUP('Données projet'!$B$9,Paramètres!$A$1:$I$89,3,0)*0.475*44/12</f>
        <v>18.851586264314196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73.708747670915315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294.45857786714919</v>
      </c>
      <c r="AO148" s="59">
        <f t="shared" si="144"/>
        <v>221.9773436301067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50.633199506577299</v>
      </c>
      <c r="AV148" s="21">
        <f>EXP(-LN(2)/25)*AV147+(1-EXP(-LN(2)/25))/(LN(2)/25)*Calculateur!AQ148*Calculateur!AS148*VLOOKUP('Données projet'!$B$10,Paramètres!$A$1:$I$89,3,0)*0.475*44/12</f>
        <v>16.583647063273766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67.216846569851072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179.44051550872138</v>
      </c>
      <c r="BJ148" s="59">
        <f t="shared" si="146"/>
        <v>272.9500808380069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26.009438326540284</v>
      </c>
      <c r="BQ148" s="21">
        <f>EXP(-LN(2)/25)*BQ147+(1-EXP(-LN(2)/25))/(LN(2)/25)*Calculateur!BL148*Calculateur!BN148*VLOOKUP('Données projet'!$B$11,Paramètres!$A$1:$I$89,3,0)*0.475*44/12</f>
        <v>9.2983543833938249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35.307792709934105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-1.5961632016114892E-13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259.87681411271632</v>
      </c>
      <c r="CE148" s="59">
        <f t="shared" si="148"/>
        <v>191.8684235641158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89.979653717324965</v>
      </c>
      <c r="CL148" s="21">
        <f>EXP(-LN(2)/25)*CL147+(1-EXP(-LN(2)/25))/(LN(2)/25)*Calculateur!CG148*Calculateur!CI148*VLOOKUP('Données projet'!$B$12,Paramètres!$A$1:$I$89,3,0)*0.475*44/12</f>
        <v>31.506373154809751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121.48602687213472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5.6843418860808015E-14</v>
      </c>
      <c r="CU148" s="17">
        <f>CT148*VLOOKUP('Données projet'!$B$13,Paramètres!$A$1:$I$89,3,0)*VLOOKUP('Données projet'!$B$13,Paramètres!$A$1:$I$89,5,0)</f>
        <v>4.5224624045658861E-14</v>
      </c>
      <c r="CV148" s="13">
        <f t="shared" si="149"/>
        <v>7.4514601661523691E-13</v>
      </c>
      <c r="CW148" s="20">
        <f t="shared" si="121"/>
        <v>1.3765621991510601E-12</v>
      </c>
      <c r="CX148" s="59">
        <f t="shared" si="122"/>
        <v>293.33333333333468</v>
      </c>
      <c r="CY148" s="59">
        <f ca="1">AVERAGE(OFFSET($CX$3,0,0,'Données projet'!$E$13+1,1))-AVERAGE(OFFSET($H$3,0,0,'Données projet'!$E$13+1,1))</f>
        <v>198.11534486400666</v>
      </c>
      <c r="CZ148" s="59">
        <f t="shared" si="150"/>
        <v>174.29856796517652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21.76650479837026</v>
      </c>
      <c r="DG148" s="21">
        <f>EXP(-LN(2)/25)*DG147+(1-EXP(-LN(2)/25))/(LN(2)/25)*Calculateur!DB148*Calculateur!DD148*VLOOKUP('Données projet'!$B$13,Paramètres!$A$1:$I$89,3,0)*0.475*44/12</f>
        <v>4.1667915168202523</v>
      </c>
      <c r="DH148" s="21">
        <f>EXP(-LN(2)/2)*DH147+(1-EXP(-LN(2)/2))/(LN(2)/2)*DB148*DE148*VLOOKUP('Données projet'!$B$13,Paramètres!$A$1:$I$89,3,0)*0.475*44/12</f>
        <v>3.3515957243695413E-9</v>
      </c>
      <c r="DI148" s="22">
        <f t="shared" si="123"/>
        <v>25.933296318542105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4.8666666666666663</v>
      </c>
      <c r="DO148" s="12">
        <f>IF('Données projet'!$A$166&gt;35,DO147+DN148-DW147,IF(A148&lt;'Données projet'!$A$166,$DL$205^A148,IF(A148='Données projet'!$A$166,'Données projet'!$B$166,DO147+DN148-DW147)))</f>
        <v>257.06666666666655</v>
      </c>
      <c r="DP148" s="17">
        <f>DO148*VLOOKUP('Données projet'!$B$14,Paramètres!$A$1:$I$89,3,0)*VLOOKUP('Données projet'!$B$14,Paramètres!$A$1:$I$89,5,0)</f>
        <v>260.66559999999993</v>
      </c>
      <c r="DQ148" s="13">
        <f t="shared" si="151"/>
        <v>62.864235859929153</v>
      </c>
      <c r="DR148" s="20">
        <f t="shared" si="124"/>
        <v>563.48113078937661</v>
      </c>
      <c r="DS148" s="59">
        <f t="shared" si="125"/>
        <v>856.81446412270998</v>
      </c>
      <c r="DT148" s="59">
        <f ca="1">AVERAGE(OFFSET($DS$3,0,0,'Données projet'!$E$14+1,1))-AVERAGE(OFFSET($H$3,0,0,'Données projet'!$E$14+1,1))</f>
        <v>247.92503505485405</v>
      </c>
      <c r="DU148" s="59">
        <f t="shared" si="152"/>
        <v>148.26437652597514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21.244727039839173</v>
      </c>
      <c r="EB148" s="21">
        <f>EXP(-LN(2)/25)*EB147+(1-EXP(-LN(2)/25))/(LN(2)/25)*Calculateur!DW148*Calculateur!DY148*VLOOKUP('Données projet'!$B$14,Paramètres!$A$1:$I$89,3,0)*0.475*44/12</f>
        <v>21.392249960137885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42.636976999977058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4.8666666666666663</v>
      </c>
      <c r="EJ148" s="12">
        <f>IF('Données projet'!$A$192&gt;35,EJ147+EI148-ER147,IF(A148&lt;'Données projet'!$A$192,$EG$205^A148,IF(A148='Données projet'!$A$192,'Données projet'!$B$192,EJ147+EI148-ER147)))</f>
        <v>257.06666666666655</v>
      </c>
      <c r="EK148" s="17">
        <f>EJ148*VLOOKUP('Données projet'!$B$15,Paramètres!$A$1:$I$89,3,0)*VLOOKUP('Données projet'!$B$15,Paramètres!$A$1:$I$89,5,0)</f>
        <v>248.6348799999999</v>
      </c>
      <c r="EL148" s="13">
        <f t="shared" si="153"/>
        <v>60.293527861722922</v>
      </c>
      <c r="EM148" s="20">
        <f t="shared" si="127"/>
        <v>538.05031035916716</v>
      </c>
      <c r="EN148" s="59">
        <f t="shared" si="128"/>
        <v>831.38364369250053</v>
      </c>
      <c r="EO148" s="59">
        <f ca="1">AVERAGE(OFFSET($EN$3,0,0,'Données projet'!$E$15+1,1))-AVERAGE(OFFSET($H$3,0,0,'Données projet'!$E$15+1,1))</f>
        <v>232.99870507181964</v>
      </c>
      <c r="EP148" s="59">
        <f t="shared" si="154"/>
        <v>140.07662669226278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20.264201176461981</v>
      </c>
      <c r="EW148" s="21">
        <f>EXP(-LN(2)/25)*EW147+(1-EXP(-LN(2)/25))/(LN(2)/25)*Calculateur!ER148*Calculateur!ET148*VLOOKUP('Données projet'!$B$15,Paramètres!$A$1:$I$89,3,0)*0.475*44/12</f>
        <v>20.404915346593061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40.669116523055038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5.6843418860808015E-14</v>
      </c>
      <c r="FF148" s="17">
        <f>FE148*VLOOKUP('Données projet'!$B$16,Paramètres!$A$1:$I$89,3,0)*VLOOKUP('Données projet'!$B$16,Paramètres!$A$1:$I$89,5,0)</f>
        <v>4.4337866711430253E-14</v>
      </c>
      <c r="FG148" s="13">
        <f t="shared" si="155"/>
        <v>7.3222115536967035E-13</v>
      </c>
      <c r="FH148" s="20">
        <f t="shared" si="130"/>
        <v>1.3525069634579169E-12</v>
      </c>
      <c r="FI148" s="59">
        <f t="shared" si="131"/>
        <v>293.33333333333468</v>
      </c>
      <c r="FJ148" s="59">
        <f ca="1">AVERAGE(OFFSET($FI$3,0,0,'Données projet'!$E$16+1,1))-AVERAGE(OFFSET($H$3,0,0,'Données projet'!$E$16+1,1))</f>
        <v>193.47609744163839</v>
      </c>
      <c r="FK148" s="59">
        <f t="shared" si="156"/>
        <v>170.3221892406973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17.313350098592704</v>
      </c>
      <c r="FR148" s="21">
        <f>EXP(-LN(2)/25)*FR147+(1-EXP(-LN(2)/25))/(LN(2)/25)*Calculateur!FM148*Calculateur!FO148*VLOOKUP('Données projet'!$B$16,Paramètres!$A$1:$I$89,3,0)*0.475*44/12</f>
        <v>3.3143180766420746</v>
      </c>
      <c r="FS148" s="21">
        <f>EXP(-LN(2)/2)*FS147+(1-EXP(-LN(2)/2))/(LN(2)/2)*FM148*FP148*VLOOKUP('Données projet'!$B$16,Paramètres!$A$1:$I$89,3,0)*0.475*44/12</f>
        <v>3.2858781611466141E-9</v>
      </c>
      <c r="FT148" s="22">
        <f t="shared" si="132"/>
        <v>20.627668178520654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>
        <f>FZ148*VLOOKUP('Données projet'!$B$17,Paramètres!$A$1:$I$89,3,0)*VLOOKUP('Données projet'!$B$17,Paramètres!$A$1:$I$89,5,0)</f>
        <v>0</v>
      </c>
      <c r="GB148" s="13" t="e">
        <f t="shared" si="157"/>
        <v>#NUM!</v>
      </c>
      <c r="GC148" s="20" t="e">
        <f t="shared" si="133"/>
        <v>#NUM!</v>
      </c>
      <c r="GD148" s="59" t="e">
        <f t="shared" si="134"/>
        <v>#NUM!</v>
      </c>
      <c r="GE148" s="59">
        <f ca="1">AVERAGE(OFFSET($GD$3,0,0,'Données projet'!$E$17+1,1))-AVERAGE(OFFSET($H$3,0,0,'Données projet'!$E$17+1,1))</f>
        <v>153.43773674911449</v>
      </c>
      <c r="GF148" s="59">
        <f t="shared" si="158"/>
        <v>235.49395036616602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22.758258535722725</v>
      </c>
      <c r="GM148" s="21">
        <f>EXP(-LN(2)/25)*GM147+(1-EXP(-LN(2)/25))/(LN(2)/25)*Calculateur!GH148*Calculateur!GJ148*VLOOKUP('Données projet'!$B$17,Paramètres!$A$1:$I$89,3,0)*0.475*44/12</f>
        <v>8.136060085469591</v>
      </c>
      <c r="GN148" s="21">
        <f>EXP(-LN(2)/2)*GN147+(1-EXP(-LN(2)/2))/(LN(2)/2)*GH148*GK148*VLOOKUP('Données projet'!$B$17,Paramètres!$A$1:$I$89,3,0)*0.475*44/12</f>
        <v>0</v>
      </c>
      <c r="GO148" s="21">
        <f t="shared" si="135"/>
        <v>30.894318621192316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5.6843418860808015E-14</v>
      </c>
      <c r="GV148" s="17">
        <f>GU148*VLOOKUP('Données projet'!$B$18,Paramètres!$A$1:$I$89,3,0)*VLOOKUP('Données projet'!$B$18,Paramètres!$A$1:$I$89,5,0)</f>
        <v>4.5224624045658861E-14</v>
      </c>
      <c r="GW148" s="13">
        <f t="shared" si="159"/>
        <v>7.4514601661523691E-13</v>
      </c>
      <c r="GX148" s="20">
        <f t="shared" si="136"/>
        <v>1.3765621991510601E-12</v>
      </c>
      <c r="GY148" s="59">
        <f t="shared" si="137"/>
        <v>293.33333333333468</v>
      </c>
      <c r="GZ148" s="59">
        <f ca="1">AVERAGE(OFFSET($GY$3,0,0,'Données projet'!$E$18+1,1))-AVERAGE(OFFSET($H$3,0,0,'Données projet'!$E$18+1,1))</f>
        <v>198.11534486400666</v>
      </c>
      <c r="HA148" s="59">
        <f t="shared" si="160"/>
        <v>174.29856796517652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>
        <f>EXP(-LN(2)/35)*HG147+(1-EXP(-LN(2)/35))/(LN(2)/35)*HC148*HD148*VLOOKUP('Données projet'!$B$18,Paramètres!$A$1:$I$89,3,0)*0.475*44/12</f>
        <v>21.76650479837026</v>
      </c>
      <c r="HH148" s="21">
        <f>EXP(-LN(2)/25)*HH147+(1-EXP(-LN(2)/25))/(LN(2)/25)*Calculateur!HC148*Calculateur!HE148*VLOOKUP('Données projet'!$B$18,Paramètres!$A$1:$I$89,3,0)*0.475*44/12</f>
        <v>4.1667915168202523</v>
      </c>
      <c r="HI148" s="21">
        <f>EXP(-LN(2)/2)*HI147+(1-EXP(-LN(2)/2))/(LN(2)/2)*HC148*HF148*VLOOKUP('Données projet'!$B$18,Paramètres!$A$1:$I$89,3,0)*0.475*44/12</f>
        <v>3.3515957243695413E-9</v>
      </c>
      <c r="HJ148" s="22">
        <f t="shared" si="138"/>
        <v>25.933296318542105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1.1368683772161603E-13</v>
      </c>
      <c r="O149" s="13">
        <f>N149*VLOOKUP('Données projet'!$B$9,Paramètres!$A$1:$I$89,3,0)*VLOOKUP('Données projet'!$B$9,Paramètres!$A$1:$I$89,5,0)</f>
        <v>6.7984728957526396E-14</v>
      </c>
      <c r="P149" s="13">
        <f t="shared" si="141"/>
        <v>1.0682447123141398E-12</v>
      </c>
      <c r="Q149" s="20">
        <f t="shared" si="108"/>
        <v>1.978932943548152E-12</v>
      </c>
      <c r="R149" s="59">
        <f t="shared" si="109"/>
        <v>293.3333333333353</v>
      </c>
      <c r="S149" s="59">
        <f ca="1">AVERAGE(OFFSET($R$3,0,0,'Données projet'!$E$9+1,1))-AVERAGE(OFFSET($H$3,0,0,'Données projet'!$E$9+1,1))</f>
        <v>295.19075440119076</v>
      </c>
      <c r="T149" s="59">
        <f t="shared" si="142"/>
        <v>173.0182327988216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53.781445930982272</v>
      </c>
      <c r="AA149" s="21">
        <f>EXP(-LN(2)/25)*AA148+(1-EXP(-LN(2)/25))/(LN(2)/25)*Calculateur!V149*Calculateur!X149*VLOOKUP('Données projet'!$B$9,Paramètres!$A$1:$I$89,3,0)*0.475*44/12</f>
        <v>18.336088646554689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72.117534577536958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294.45857786714919</v>
      </c>
      <c r="AO149" s="59">
        <f t="shared" si="144"/>
        <v>221.9773436301067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49.640313347455553</v>
      </c>
      <c r="AV149" s="21">
        <f>EXP(-LN(2)/25)*AV148+(1-EXP(-LN(2)/25))/(LN(2)/25)*Calculateur!AQ149*Calculateur!AS149*VLOOKUP('Données projet'!$B$10,Paramètres!$A$1:$I$89,3,0)*0.475*44/12</f>
        <v>16.130166362232448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65.770479709688004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179.44051550872138</v>
      </c>
      <c r="BJ149" s="59">
        <f t="shared" si="146"/>
        <v>272.9500808380069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25.499409105147748</v>
      </c>
      <c r="BQ149" s="21">
        <f>EXP(-LN(2)/25)*BQ148+(1-EXP(-LN(2)/25))/(LN(2)/25)*Calculateur!BL149*Calculateur!BN149*VLOOKUP('Données projet'!$B$11,Paramètres!$A$1:$I$89,3,0)*0.475*44/12</f>
        <v>9.0440903938007153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34.543499498948464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-1.5961632016114892E-13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259.87681411271632</v>
      </c>
      <c r="CE149" s="59">
        <f t="shared" si="148"/>
        <v>191.8684235641158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88.215207590097819</v>
      </c>
      <c r="CL149" s="21">
        <f>EXP(-LN(2)/25)*CL148+(1-EXP(-LN(2)/25))/(LN(2)/25)*Calculateur!CG149*Calculateur!CI149*VLOOKUP('Données projet'!$B$12,Paramètres!$A$1:$I$89,3,0)*0.475*44/12</f>
        <v>30.644829724043323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118.86003731414114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5.6843418860808015E-14</v>
      </c>
      <c r="CU149" s="17">
        <f>CT149*VLOOKUP('Données projet'!$B$13,Paramètres!$A$1:$I$89,3,0)*VLOOKUP('Données projet'!$B$13,Paramètres!$A$1:$I$89,5,0)</f>
        <v>4.5224624045658861E-14</v>
      </c>
      <c r="CV149" s="13">
        <f t="shared" si="149"/>
        <v>7.4514601661523691E-13</v>
      </c>
      <c r="CW149" s="20">
        <f t="shared" si="121"/>
        <v>1.3765621991510601E-12</v>
      </c>
      <c r="CX149" s="59">
        <f t="shared" si="122"/>
        <v>293.33333333333468</v>
      </c>
      <c r="CY149" s="59">
        <f ca="1">AVERAGE(OFFSET($CX$3,0,0,'Données projet'!$E$13+1,1))-AVERAGE(OFFSET($H$3,0,0,'Données projet'!$E$13+1,1))</f>
        <v>198.11534486400666</v>
      </c>
      <c r="CZ149" s="59">
        <f t="shared" si="150"/>
        <v>174.29856796517652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21.339676915531225</v>
      </c>
      <c r="DG149" s="21">
        <f>EXP(-LN(2)/25)*DG148+(1-EXP(-LN(2)/25))/(LN(2)/25)*Calculateur!DB149*Calculateur!DD149*VLOOKUP('Données projet'!$B$13,Paramètres!$A$1:$I$89,3,0)*0.475*44/12</f>
        <v>4.0528503836707603</v>
      </c>
      <c r="DH149" s="21">
        <f>EXP(-LN(2)/2)*DH148+(1-EXP(-LN(2)/2))/(LN(2)/2)*DB149*DE149*VLOOKUP('Données projet'!$B$13,Paramètres!$A$1:$I$89,3,0)*0.475*44/12</f>
        <v>2.3699360644975415E-9</v>
      </c>
      <c r="DI149" s="22">
        <f t="shared" si="123"/>
        <v>25.392527301571924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4.8666666666666663</v>
      </c>
      <c r="DO149" s="12">
        <f>IF('Données projet'!$A$166&gt;35,DO148+DN149-DW148,IF(A149&lt;'Données projet'!$A$166,$DL$205^A149,IF(A149='Données projet'!$A$166,'Données projet'!$B$166,DO148+DN149-DW148)))</f>
        <v>261.93333333333322</v>
      </c>
      <c r="DP149" s="17">
        <f>DO149*VLOOKUP('Données projet'!$B$14,Paramètres!$A$1:$I$89,3,0)*VLOOKUP('Données projet'!$B$14,Paramètres!$A$1:$I$89,5,0)</f>
        <v>265.60039999999992</v>
      </c>
      <c r="DQ149" s="13">
        <f t="shared" si="151"/>
        <v>63.914672225244153</v>
      </c>
      <c r="DR149" s="20">
        <f t="shared" si="124"/>
        <v>573.90541745896667</v>
      </c>
      <c r="DS149" s="59">
        <f t="shared" si="125"/>
        <v>867.23875079229992</v>
      </c>
      <c r="DT149" s="59">
        <f ca="1">AVERAGE(OFFSET($DS$3,0,0,'Données projet'!$E$14+1,1))-AVERAGE(OFFSET($H$3,0,0,'Données projet'!$E$14+1,1))</f>
        <v>247.92503505485405</v>
      </c>
      <c r="DU149" s="59">
        <f t="shared" si="152"/>
        <v>148.26437652597514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20.828130900591926</v>
      </c>
      <c r="EB149" s="21">
        <f>EXP(-LN(2)/25)*EB148+(1-EXP(-LN(2)/25))/(LN(2)/25)*Calculateur!DW149*Calculateur!DY149*VLOOKUP('Données projet'!$B$14,Paramètres!$A$1:$I$89,3,0)*0.475*44/12</f>
        <v>20.807277760008382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41.635408660600305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4.8666666666666663</v>
      </c>
      <c r="EJ149" s="12">
        <f>IF('Données projet'!$A$192&gt;35,EJ148+EI149-ER148,IF(A149&lt;'Données projet'!$A$192,$EG$205^A149,IF(A149='Données projet'!$A$192,'Données projet'!$B$192,EJ148+EI149-ER148)))</f>
        <v>261.93333333333322</v>
      </c>
      <c r="EK149" s="17">
        <f>EJ149*VLOOKUP('Données projet'!$B$15,Paramètres!$A$1:$I$89,3,0)*VLOOKUP('Données projet'!$B$15,Paramètres!$A$1:$I$89,5,0)</f>
        <v>253.3419199999999</v>
      </c>
      <c r="EL149" s="13">
        <f t="shared" si="153"/>
        <v>61.301008719363537</v>
      </c>
      <c r="EM149" s="20">
        <f t="shared" si="127"/>
        <v>548.00310085289141</v>
      </c>
      <c r="EN149" s="59">
        <f t="shared" si="128"/>
        <v>841.33643418622478</v>
      </c>
      <c r="EO149" s="59">
        <f ca="1">AVERAGE(OFFSET($EN$3,0,0,'Données projet'!$E$15+1,1))-AVERAGE(OFFSET($H$3,0,0,'Données projet'!$E$15+1,1))</f>
        <v>232.99870507181964</v>
      </c>
      <c r="EP149" s="59">
        <f t="shared" si="154"/>
        <v>140.07662669226278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19.866832551333836</v>
      </c>
      <c r="EW149" s="21">
        <f>EXP(-LN(2)/25)*EW148+(1-EXP(-LN(2)/25))/(LN(2)/25)*Calculateur!ER149*Calculateur!ET149*VLOOKUP('Données projet'!$B$15,Paramètres!$A$1:$I$89,3,0)*0.475*44/12</f>
        <v>19.846941863392612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39.713774414726444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5.6843418860808015E-14</v>
      </c>
      <c r="FF149" s="17">
        <f>FE149*VLOOKUP('Données projet'!$B$16,Paramètres!$A$1:$I$89,3,0)*VLOOKUP('Données projet'!$B$16,Paramètres!$A$1:$I$89,5,0)</f>
        <v>4.4337866711430253E-14</v>
      </c>
      <c r="FG149" s="13">
        <f t="shared" si="155"/>
        <v>7.3222115536967035E-13</v>
      </c>
      <c r="FH149" s="20">
        <f t="shared" si="130"/>
        <v>1.3525069634579169E-12</v>
      </c>
      <c r="FI149" s="59">
        <f t="shared" si="131"/>
        <v>293.33333333333468</v>
      </c>
      <c r="FJ149" s="59">
        <f ca="1">AVERAGE(OFFSET($FI$3,0,0,'Données projet'!$E$16+1,1))-AVERAGE(OFFSET($H$3,0,0,'Données projet'!$E$16+1,1))</f>
        <v>193.47609744163839</v>
      </c>
      <c r="FK149" s="59">
        <f t="shared" si="156"/>
        <v>170.3221892406973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16.973845863260138</v>
      </c>
      <c r="FR149" s="21">
        <f>EXP(-LN(2)/25)*FR148+(1-EXP(-LN(2)/25))/(LN(2)/25)*Calculateur!FM149*Calculateur!FO149*VLOOKUP('Données projet'!$B$16,Paramètres!$A$1:$I$89,3,0)*0.475*44/12</f>
        <v>3.2236878745438844</v>
      </c>
      <c r="FS149" s="21">
        <f>EXP(-LN(2)/2)*FS148+(1-EXP(-LN(2)/2))/(LN(2)/2)*FM149*FP149*VLOOKUP('Données projet'!$B$16,Paramètres!$A$1:$I$89,3,0)*0.475*44/12</f>
        <v>2.323466729899554E-9</v>
      </c>
      <c r="FT149" s="22">
        <f t="shared" si="132"/>
        <v>20.19753374012749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>
        <f>FZ149*VLOOKUP('Données projet'!$B$17,Paramètres!$A$1:$I$89,3,0)*VLOOKUP('Données projet'!$B$17,Paramètres!$A$1:$I$89,5,0)</f>
        <v>0</v>
      </c>
      <c r="GB149" s="13" t="e">
        <f t="shared" si="157"/>
        <v>#NUM!</v>
      </c>
      <c r="GC149" s="20" t="e">
        <f t="shared" si="133"/>
        <v>#NUM!</v>
      </c>
      <c r="GD149" s="59" t="e">
        <f t="shared" si="134"/>
        <v>#NUM!</v>
      </c>
      <c r="GE149" s="59">
        <f ca="1">AVERAGE(OFFSET($GD$3,0,0,'Données projet'!$E$17+1,1))-AVERAGE(OFFSET($H$3,0,0,'Données projet'!$E$17+1,1))</f>
        <v>153.43773674911449</v>
      </c>
      <c r="GF149" s="59">
        <f t="shared" si="158"/>
        <v>235.49395036616602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22.311982967004258</v>
      </c>
      <c r="GM149" s="21">
        <f>EXP(-LN(2)/25)*GM148+(1-EXP(-LN(2)/25))/(LN(2)/25)*Calculateur!GH149*Calculateur!GJ149*VLOOKUP('Données projet'!$B$17,Paramètres!$A$1:$I$89,3,0)*0.475*44/12</f>
        <v>7.9135790945756206</v>
      </c>
      <c r="GN149" s="21">
        <f>EXP(-LN(2)/2)*GN148+(1-EXP(-LN(2)/2))/(LN(2)/2)*GH149*GK149*VLOOKUP('Données projet'!$B$17,Paramètres!$A$1:$I$89,3,0)*0.475*44/12</f>
        <v>0</v>
      </c>
      <c r="GO149" s="21">
        <f t="shared" si="135"/>
        <v>30.225562061579879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5.6843418860808015E-14</v>
      </c>
      <c r="GV149" s="17">
        <f>GU149*VLOOKUP('Données projet'!$B$18,Paramètres!$A$1:$I$89,3,0)*VLOOKUP('Données projet'!$B$18,Paramètres!$A$1:$I$89,5,0)</f>
        <v>4.5224624045658861E-14</v>
      </c>
      <c r="GW149" s="13">
        <f t="shared" si="159"/>
        <v>7.4514601661523691E-13</v>
      </c>
      <c r="GX149" s="20">
        <f t="shared" si="136"/>
        <v>1.3765621991510601E-12</v>
      </c>
      <c r="GY149" s="59">
        <f t="shared" si="137"/>
        <v>293.33333333333468</v>
      </c>
      <c r="GZ149" s="59">
        <f ca="1">AVERAGE(OFFSET($GY$3,0,0,'Données projet'!$E$18+1,1))-AVERAGE(OFFSET($H$3,0,0,'Données projet'!$E$18+1,1))</f>
        <v>198.11534486400666</v>
      </c>
      <c r="HA149" s="59">
        <f t="shared" si="160"/>
        <v>174.29856796517652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>
        <f>EXP(-LN(2)/35)*HG148+(1-EXP(-LN(2)/35))/(LN(2)/35)*HC149*HD149*VLOOKUP('Données projet'!$B$18,Paramètres!$A$1:$I$89,3,0)*0.475*44/12</f>
        <v>21.339676915531225</v>
      </c>
      <c r="HH149" s="21">
        <f>EXP(-LN(2)/25)*HH148+(1-EXP(-LN(2)/25))/(LN(2)/25)*Calculateur!HC149*Calculateur!HE149*VLOOKUP('Données projet'!$B$18,Paramètres!$A$1:$I$89,3,0)*0.475*44/12</f>
        <v>4.0528503836707603</v>
      </c>
      <c r="HI149" s="21">
        <f>EXP(-LN(2)/2)*HI148+(1-EXP(-LN(2)/2))/(LN(2)/2)*HC149*HF149*VLOOKUP('Données projet'!$B$18,Paramètres!$A$1:$I$89,3,0)*0.475*44/12</f>
        <v>2.3699360644975415E-9</v>
      </c>
      <c r="HJ149" s="22">
        <f t="shared" si="138"/>
        <v>25.392527301571924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1.1368683772161603E-13</v>
      </c>
      <c r="O150" s="13">
        <f>N150*VLOOKUP('Données projet'!$B$9,Paramètres!$A$1:$I$89,3,0)*VLOOKUP('Données projet'!$B$9,Paramètres!$A$1:$I$89,5,0)</f>
        <v>6.7984728957526396E-14</v>
      </c>
      <c r="P150" s="13">
        <f t="shared" si="141"/>
        <v>1.0682447123141398E-12</v>
      </c>
      <c r="Q150" s="20">
        <f t="shared" si="108"/>
        <v>1.978932943548152E-12</v>
      </c>
      <c r="R150" s="59">
        <f t="shared" si="109"/>
        <v>293.3333333333353</v>
      </c>
      <c r="S150" s="59">
        <f ca="1">AVERAGE(OFFSET($R$3,0,0,'Données projet'!$E$9+1,1))-AVERAGE(OFFSET($H$3,0,0,'Données projet'!$E$9+1,1))</f>
        <v>295.19075440119076</v>
      </c>
      <c r="T150" s="59">
        <f t="shared" si="142"/>
        <v>173.0182327988216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52.726824579718659</v>
      </c>
      <c r="AA150" s="21">
        <f>EXP(-LN(2)/25)*AA149+(1-EXP(-LN(2)/25))/(LN(2)/25)*Calculateur!V150*Calculateur!X150*VLOOKUP('Données projet'!$B$9,Paramètres!$A$1:$I$89,3,0)*0.475*44/12</f>
        <v>17.834687338261656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70.561511917980312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294.45857786714919</v>
      </c>
      <c r="AO150" s="59">
        <f t="shared" si="144"/>
        <v>221.9773436301067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48.666897080313426</v>
      </c>
      <c r="AV150" s="21">
        <f>EXP(-LN(2)/25)*AV149+(1-EXP(-LN(2)/25))/(LN(2)/25)*Calculateur!AQ150*Calculateur!AS150*VLOOKUP('Données projet'!$B$10,Paramètres!$A$1:$I$89,3,0)*0.475*44/12</f>
        <v>15.689086114808619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64.35598319512205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179.44051550872138</v>
      </c>
      <c r="BJ150" s="59">
        <f t="shared" si="146"/>
        <v>272.9500808380069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24.999381245699613</v>
      </c>
      <c r="BQ150" s="21">
        <f>EXP(-LN(2)/25)*BQ149+(1-EXP(-LN(2)/25))/(LN(2)/25)*Calculateur!BL150*Calculateur!BN150*VLOOKUP('Données projet'!$B$11,Paramètres!$A$1:$I$89,3,0)*0.475*44/12</f>
        <v>8.7967792663741911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33.796160512073804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-1.5961632016114892E-13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259.87681411271632</v>
      </c>
      <c r="CE150" s="59">
        <f t="shared" si="148"/>
        <v>191.8684235641158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86.485361175219737</v>
      </c>
      <c r="CL150" s="21">
        <f>EXP(-LN(2)/25)*CL149+(1-EXP(-LN(2)/25))/(LN(2)/25)*Calculateur!CG150*Calculateur!CI150*VLOOKUP('Données projet'!$B$12,Paramètres!$A$1:$I$89,3,0)*0.475*44/12</f>
        <v>29.806845243697804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116.29220641891754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5.6843418860808015E-14</v>
      </c>
      <c r="CU150" s="17">
        <f>CT150*VLOOKUP('Données projet'!$B$13,Paramètres!$A$1:$I$89,3,0)*VLOOKUP('Données projet'!$B$13,Paramètres!$A$1:$I$89,5,0)</f>
        <v>4.5224624045658861E-14</v>
      </c>
      <c r="CV150" s="13">
        <f t="shared" si="149"/>
        <v>7.4514601661523691E-13</v>
      </c>
      <c r="CW150" s="20">
        <f t="shared" si="121"/>
        <v>1.3765621991510601E-12</v>
      </c>
      <c r="CX150" s="59">
        <f t="shared" si="122"/>
        <v>293.33333333333468</v>
      </c>
      <c r="CY150" s="59">
        <f ca="1">AVERAGE(OFFSET($CX$3,0,0,'Données projet'!$E$13+1,1))-AVERAGE(OFFSET($H$3,0,0,'Données projet'!$E$13+1,1))</f>
        <v>198.11534486400666</v>
      </c>
      <c r="CZ150" s="59">
        <f t="shared" si="150"/>
        <v>174.29856796517652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20.921218867135362</v>
      </c>
      <c r="DG150" s="21">
        <f>EXP(-LN(2)/25)*DG149+(1-EXP(-LN(2)/25))/(LN(2)/25)*Calculateur!DB150*Calculateur!DD150*VLOOKUP('Données projet'!$B$13,Paramètres!$A$1:$I$89,3,0)*0.475*44/12</f>
        <v>3.9420249767991447</v>
      </c>
      <c r="DH150" s="21">
        <f>EXP(-LN(2)/2)*DH149+(1-EXP(-LN(2)/2))/(LN(2)/2)*DB150*DE150*VLOOKUP('Données projet'!$B$13,Paramètres!$A$1:$I$89,3,0)*0.475*44/12</f>
        <v>1.6757978621847707E-9</v>
      </c>
      <c r="DI150" s="22">
        <f t="shared" si="123"/>
        <v>24.863243845610302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4.8666666666666663</v>
      </c>
      <c r="DO150" s="12">
        <f>IF('Données projet'!$A$166&gt;35,DO149+DN150-DW149,IF(A150&lt;'Données projet'!$A$166,$DL$205^A150,IF(A150='Données projet'!$A$166,'Données projet'!$B$166,DO149+DN150-DW149)))</f>
        <v>266.7999999999999</v>
      </c>
      <c r="DP150" s="17">
        <f>DO150*VLOOKUP('Données projet'!$B$14,Paramètres!$A$1:$I$89,3,0)*VLOOKUP('Données projet'!$B$14,Paramètres!$A$1:$I$89,5,0)</f>
        <v>270.53519999999992</v>
      </c>
      <c r="DQ150" s="13">
        <f t="shared" si="151"/>
        <v>64.962839141501405</v>
      </c>
      <c r="DR150" s="20">
        <f t="shared" si="124"/>
        <v>584.32575150478135</v>
      </c>
      <c r="DS150" s="59">
        <f t="shared" si="125"/>
        <v>877.65908483811472</v>
      </c>
      <c r="DT150" s="59">
        <f ca="1">AVERAGE(OFFSET($DS$3,0,0,'Données projet'!$E$14+1,1))-AVERAGE(OFFSET($H$3,0,0,'Données projet'!$E$14+1,1))</f>
        <v>247.92503505485405</v>
      </c>
      <c r="DU150" s="59">
        <f t="shared" si="152"/>
        <v>148.26437652597514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20.419703957536761</v>
      </c>
      <c r="EB150" s="21">
        <f>EXP(-LN(2)/25)*EB149+(1-EXP(-LN(2)/25))/(LN(2)/25)*Calculateur!DW150*Calculateur!DY150*VLOOKUP('Données projet'!$B$14,Paramètres!$A$1:$I$89,3,0)*0.475*44/12</f>
        <v>20.238301655453771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40.658005612990536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4.8666666666666663</v>
      </c>
      <c r="EJ150" s="12">
        <f>IF('Données projet'!$A$192&gt;35,EJ149+EI150-ER149,IF(A150&lt;'Données projet'!$A$192,$EG$205^A150,IF(A150='Données projet'!$A$192,'Données projet'!$B$192,EJ149+EI150-ER149)))</f>
        <v>266.7999999999999</v>
      </c>
      <c r="EK150" s="17">
        <f>EJ150*VLOOKUP('Données projet'!$B$15,Paramètres!$A$1:$I$89,3,0)*VLOOKUP('Données projet'!$B$15,Paramètres!$A$1:$I$89,5,0)</f>
        <v>258.04895999999991</v>
      </c>
      <c r="EL150" s="13">
        <f t="shared" si="153"/>
        <v>62.306312932555763</v>
      </c>
      <c r="EM150" s="20">
        <f t="shared" si="127"/>
        <v>557.95210035753439</v>
      </c>
      <c r="EN150" s="59">
        <f t="shared" si="128"/>
        <v>851.28543369086765</v>
      </c>
      <c r="EO150" s="59">
        <f ca="1">AVERAGE(OFFSET($EN$3,0,0,'Données projet'!$E$15+1,1))-AVERAGE(OFFSET($H$3,0,0,'Données projet'!$E$15+1,1))</f>
        <v>232.99870507181964</v>
      </c>
      <c r="EP150" s="59">
        <f t="shared" si="154"/>
        <v>140.07662669226278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19.477256082573525</v>
      </c>
      <c r="EW150" s="21">
        <f>EXP(-LN(2)/25)*EW149+(1-EXP(-LN(2)/25))/(LN(2)/25)*Calculateur!ER150*Calculateur!ET150*VLOOKUP('Données projet'!$B$15,Paramètres!$A$1:$I$89,3,0)*0.475*44/12</f>
        <v>19.304226194432829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38.781482277006354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5.6843418860808015E-14</v>
      </c>
      <c r="FF150" s="17">
        <f>FE150*VLOOKUP('Données projet'!$B$16,Paramètres!$A$1:$I$89,3,0)*VLOOKUP('Données projet'!$B$16,Paramètres!$A$1:$I$89,5,0)</f>
        <v>4.4337866711430253E-14</v>
      </c>
      <c r="FG150" s="13">
        <f t="shared" si="155"/>
        <v>7.3222115536967035E-13</v>
      </c>
      <c r="FH150" s="20">
        <f t="shared" si="130"/>
        <v>1.3525069634579169E-12</v>
      </c>
      <c r="FI150" s="59">
        <f t="shared" si="131"/>
        <v>293.33333333333468</v>
      </c>
      <c r="FJ150" s="59">
        <f ca="1">AVERAGE(OFFSET($FI$3,0,0,'Données projet'!$E$16+1,1))-AVERAGE(OFFSET($H$3,0,0,'Données projet'!$E$16+1,1))</f>
        <v>193.47609744163839</v>
      </c>
      <c r="FK150" s="59">
        <f t="shared" si="156"/>
        <v>170.3221892406973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16.640999098905308</v>
      </c>
      <c r="FR150" s="21">
        <f>EXP(-LN(2)/25)*FR149+(1-EXP(-LN(2)/25))/(LN(2)/25)*Calculateur!FM150*Calculateur!FO150*VLOOKUP('Données projet'!$B$16,Paramètres!$A$1:$I$89,3,0)*0.475*44/12</f>
        <v>3.1355359600881045</v>
      </c>
      <c r="FS150" s="21">
        <f>EXP(-LN(2)/2)*FS149+(1-EXP(-LN(2)/2))/(LN(2)/2)*FM150*FP150*VLOOKUP('Données projet'!$B$16,Paramètres!$A$1:$I$89,3,0)*0.475*44/12</f>
        <v>1.642939080573307E-9</v>
      </c>
      <c r="FT150" s="22">
        <f t="shared" si="132"/>
        <v>19.776535060636352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>
        <f>FZ150*VLOOKUP('Données projet'!$B$17,Paramètres!$A$1:$I$89,3,0)*VLOOKUP('Données projet'!$B$17,Paramètres!$A$1:$I$89,5,0)</f>
        <v>0</v>
      </c>
      <c r="GB150" s="13" t="e">
        <f t="shared" si="157"/>
        <v>#NUM!</v>
      </c>
      <c r="GC150" s="20" t="e">
        <f t="shared" si="133"/>
        <v>#NUM!</v>
      </c>
      <c r="GD150" s="59" t="e">
        <f t="shared" si="134"/>
        <v>#NUM!</v>
      </c>
      <c r="GE150" s="59">
        <f ca="1">AVERAGE(OFFSET($GD$3,0,0,'Données projet'!$E$17+1,1))-AVERAGE(OFFSET($H$3,0,0,'Données projet'!$E$17+1,1))</f>
        <v>153.43773674911449</v>
      </c>
      <c r="GF150" s="59">
        <f t="shared" si="158"/>
        <v>235.49395036616602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21.874458589987142</v>
      </c>
      <c r="GM150" s="21">
        <f>EXP(-LN(2)/25)*GM149+(1-EXP(-LN(2)/25))/(LN(2)/25)*Calculateur!GH150*Calculateur!GJ150*VLOOKUP('Données projet'!$B$17,Paramètres!$A$1:$I$89,3,0)*0.475*44/12</f>
        <v>7.6971818580774123</v>
      </c>
      <c r="GN150" s="21">
        <f>EXP(-LN(2)/2)*GN149+(1-EXP(-LN(2)/2))/(LN(2)/2)*GH150*GK150*VLOOKUP('Données projet'!$B$17,Paramètres!$A$1:$I$89,3,0)*0.475*44/12</f>
        <v>0</v>
      </c>
      <c r="GO150" s="21">
        <f t="shared" si="135"/>
        <v>29.571640448064556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5.6843418860808015E-14</v>
      </c>
      <c r="GV150" s="17">
        <f>GU150*VLOOKUP('Données projet'!$B$18,Paramètres!$A$1:$I$89,3,0)*VLOOKUP('Données projet'!$B$18,Paramètres!$A$1:$I$89,5,0)</f>
        <v>4.5224624045658861E-14</v>
      </c>
      <c r="GW150" s="13">
        <f t="shared" si="159"/>
        <v>7.4514601661523691E-13</v>
      </c>
      <c r="GX150" s="20">
        <f t="shared" si="136"/>
        <v>1.3765621991510601E-12</v>
      </c>
      <c r="GY150" s="59">
        <f t="shared" si="137"/>
        <v>293.33333333333468</v>
      </c>
      <c r="GZ150" s="59">
        <f ca="1">AVERAGE(OFFSET($GY$3,0,0,'Données projet'!$E$18+1,1))-AVERAGE(OFFSET($H$3,0,0,'Données projet'!$E$18+1,1))</f>
        <v>198.11534486400666</v>
      </c>
      <c r="HA150" s="59">
        <f t="shared" si="160"/>
        <v>174.29856796517652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>
        <f>EXP(-LN(2)/35)*HG149+(1-EXP(-LN(2)/35))/(LN(2)/35)*HC150*HD150*VLOOKUP('Données projet'!$B$18,Paramètres!$A$1:$I$89,3,0)*0.475*44/12</f>
        <v>20.921218867135362</v>
      </c>
      <c r="HH150" s="21">
        <f>EXP(-LN(2)/25)*HH149+(1-EXP(-LN(2)/25))/(LN(2)/25)*Calculateur!HC150*Calculateur!HE150*VLOOKUP('Données projet'!$B$18,Paramètres!$A$1:$I$89,3,0)*0.475*44/12</f>
        <v>3.9420249767991447</v>
      </c>
      <c r="HI150" s="21">
        <f>EXP(-LN(2)/2)*HI149+(1-EXP(-LN(2)/2))/(LN(2)/2)*HC150*HF150*VLOOKUP('Données projet'!$B$18,Paramètres!$A$1:$I$89,3,0)*0.475*44/12</f>
        <v>1.6757978621847707E-9</v>
      </c>
      <c r="HJ150" s="22">
        <f t="shared" si="138"/>
        <v>24.863243845610302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1.1368683772161603E-13</v>
      </c>
      <c r="O151" s="13">
        <f>N151*VLOOKUP('Données projet'!$B$9,Paramètres!$A$1:$I$89,3,0)*VLOOKUP('Données projet'!$B$9,Paramètres!$A$1:$I$89,5,0)</f>
        <v>6.7984728957526396E-14</v>
      </c>
      <c r="P151" s="13">
        <f t="shared" si="141"/>
        <v>1.0682447123141398E-12</v>
      </c>
      <c r="Q151" s="20">
        <f t="shared" si="108"/>
        <v>1.978932943548152E-12</v>
      </c>
      <c r="R151" s="59">
        <f t="shared" si="109"/>
        <v>293.3333333333353</v>
      </c>
      <c r="S151" s="59">
        <f ca="1">AVERAGE(OFFSET($R$3,0,0,'Données projet'!$E$9+1,1))-AVERAGE(OFFSET($H$3,0,0,'Données projet'!$E$9+1,1))</f>
        <v>295.19075440119076</v>
      </c>
      <c r="T151" s="59">
        <f t="shared" si="142"/>
        <v>173.0182327988216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51.692883709897814</v>
      </c>
      <c r="AA151" s="21">
        <f>EXP(-LN(2)/25)*AA150+(1-EXP(-LN(2)/25))/(LN(2)/25)*Calculateur!V151*Calculateur!X151*VLOOKUP('Données projet'!$B$9,Paramètres!$A$1:$I$89,3,0)*0.475*44/12</f>
        <v>17.346996875111444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69.039880585009257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294.45857786714919</v>
      </c>
      <c r="AO151" s="59">
        <f t="shared" si="144"/>
        <v>221.9773436301067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47.712568912444659</v>
      </c>
      <c r="AV151" s="21">
        <f>EXP(-LN(2)/25)*AV150+(1-EXP(-LN(2)/25))/(LN(2)/25)*Calculateur!AQ151*Calculateur!AS151*VLOOKUP('Données projet'!$B$10,Paramètres!$A$1:$I$89,3,0)*0.475*44/12</f>
        <v>15.260067229945996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62.972636142390655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179.44051550872138</v>
      </c>
      <c r="BJ151" s="59">
        <f t="shared" si="146"/>
        <v>272.9500808380069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24.509158627588377</v>
      </c>
      <c r="BQ151" s="21">
        <f>EXP(-LN(2)/25)*BQ150+(1-EXP(-LN(2)/25))/(LN(2)/25)*Calculateur!BL151*Calculateur!BN151*VLOOKUP('Données projet'!$B$11,Paramètres!$A$1:$I$89,3,0)*0.475*44/12</f>
        <v>8.5562308747326732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33.065389502321054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-1.5961632016114892E-13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259.87681411271632</v>
      </c>
      <c r="CE151" s="59">
        <f t="shared" si="148"/>
        <v>191.8684235641158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84.789435993435276</v>
      </c>
      <c r="CL151" s="21">
        <f>EXP(-LN(2)/25)*CL150+(1-EXP(-LN(2)/25))/(LN(2)/25)*Calculateur!CG151*Calculateur!CI151*VLOOKUP('Données projet'!$B$12,Paramètres!$A$1:$I$89,3,0)*0.475*44/12</f>
        <v>28.991775493035021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113.7812114864703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5.6843418860808015E-14</v>
      </c>
      <c r="CU151" s="17">
        <f>CT151*VLOOKUP('Données projet'!$B$13,Paramètres!$A$1:$I$89,3,0)*VLOOKUP('Données projet'!$B$13,Paramètres!$A$1:$I$89,5,0)</f>
        <v>4.5224624045658861E-14</v>
      </c>
      <c r="CV151" s="13">
        <f t="shared" si="149"/>
        <v>7.4514601661523691E-13</v>
      </c>
      <c r="CW151" s="20">
        <f t="shared" si="121"/>
        <v>1.3765621991510601E-12</v>
      </c>
      <c r="CX151" s="59">
        <f t="shared" si="122"/>
        <v>293.33333333333468</v>
      </c>
      <c r="CY151" s="59">
        <f ca="1">AVERAGE(OFFSET($CX$3,0,0,'Données projet'!$E$13+1,1))-AVERAGE(OFFSET($H$3,0,0,'Données projet'!$E$13+1,1))</f>
        <v>198.11534486400666</v>
      </c>
      <c r="CZ151" s="59">
        <f t="shared" si="150"/>
        <v>174.29856796517652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20.510966525834334</v>
      </c>
      <c r="DG151" s="21">
        <f>EXP(-LN(2)/25)*DG150+(1-EXP(-LN(2)/25))/(LN(2)/25)*Calculateur!DB151*Calculateur!DD151*VLOOKUP('Données projet'!$B$13,Paramètres!$A$1:$I$89,3,0)*0.475*44/12</f>
        <v>3.8342300965064879</v>
      </c>
      <c r="DH151" s="21">
        <f>EXP(-LN(2)/2)*DH150+(1-EXP(-LN(2)/2))/(LN(2)/2)*DB151*DE151*VLOOKUP('Données projet'!$B$13,Paramètres!$A$1:$I$89,3,0)*0.475*44/12</f>
        <v>1.1849680322487707E-9</v>
      </c>
      <c r="DI151" s="22">
        <f t="shared" si="123"/>
        <v>24.345196623525791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4.8666666666666663</v>
      </c>
      <c r="DO151" s="12">
        <f>IF('Données projet'!$A$166&gt;35,DO150+DN151-DW150,IF(A151&lt;'Données projet'!$A$166,$DL$205^A151,IF(A151='Données projet'!$A$166,'Données projet'!$B$166,DO150+DN151-DW150)))</f>
        <v>271.66666666666657</v>
      </c>
      <c r="DP151" s="17">
        <f>DO151*VLOOKUP('Données projet'!$B$14,Paramètres!$A$1:$I$89,3,0)*VLOOKUP('Données projet'!$B$14,Paramètres!$A$1:$I$89,5,0)</f>
        <v>275.46999999999991</v>
      </c>
      <c r="DQ151" s="13">
        <f t="shared" si="151"/>
        <v>66.008782780164168</v>
      </c>
      <c r="DR151" s="20">
        <f t="shared" si="124"/>
        <v>594.74221334211904</v>
      </c>
      <c r="DS151" s="59">
        <f t="shared" si="125"/>
        <v>888.07554667545242</v>
      </c>
      <c r="DT151" s="59">
        <f ca="1">AVERAGE(OFFSET($DS$3,0,0,'Données projet'!$E$14+1,1))-AVERAGE(OFFSET($H$3,0,0,'Données projet'!$E$14+1,1))</f>
        <v>247.92503505485405</v>
      </c>
      <c r="DU151" s="59">
        <f t="shared" si="152"/>
        <v>148.26437652597514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20.019286017719072</v>
      </c>
      <c r="EB151" s="21">
        <f>EXP(-LN(2)/25)*EB150+(1-EXP(-LN(2)/25))/(LN(2)/25)*Calculateur!DW151*Calculateur!DY151*VLOOKUP('Données projet'!$B$14,Paramètres!$A$1:$I$89,3,0)*0.475*44/12</f>
        <v>19.684884232399359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39.70417025011843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4.8666666666666663</v>
      </c>
      <c r="EJ151" s="12">
        <f>IF('Données projet'!$A$192&gt;35,EJ150+EI151-ER150,IF(A151&lt;'Données projet'!$A$192,$EG$205^A151,IF(A151='Données projet'!$A$192,'Données projet'!$B$192,EJ150+EI151-ER150)))</f>
        <v>271.66666666666657</v>
      </c>
      <c r="EK151" s="17">
        <f>EJ151*VLOOKUP('Données projet'!$B$15,Paramètres!$A$1:$I$89,3,0)*VLOOKUP('Données projet'!$B$15,Paramètres!$A$1:$I$89,5,0)</f>
        <v>262.75599999999991</v>
      </c>
      <c r="EL151" s="13">
        <f t="shared" si="153"/>
        <v>63.309484784672449</v>
      </c>
      <c r="EM151" s="20">
        <f t="shared" si="127"/>
        <v>567.89738599997099</v>
      </c>
      <c r="EN151" s="59">
        <f t="shared" si="128"/>
        <v>861.23071933330425</v>
      </c>
      <c r="EO151" s="59">
        <f ca="1">AVERAGE(OFFSET($EN$3,0,0,'Données projet'!$E$15+1,1))-AVERAGE(OFFSET($H$3,0,0,'Données projet'!$E$15+1,1))</f>
        <v>232.99870507181964</v>
      </c>
      <c r="EP151" s="59">
        <f t="shared" si="154"/>
        <v>140.07662669226278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19.095318970747421</v>
      </c>
      <c r="EW151" s="21">
        <f>EXP(-LN(2)/25)*EW150+(1-EXP(-LN(2)/25))/(LN(2)/25)*Calculateur!ER151*Calculateur!ET151*VLOOKUP('Données projet'!$B$15,Paramètres!$A$1:$I$89,3,0)*0.475*44/12</f>
        <v>18.77635111398093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37.871670084728351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5.6843418860808015E-14</v>
      </c>
      <c r="FF151" s="17">
        <f>FE151*VLOOKUP('Données projet'!$B$16,Paramètres!$A$1:$I$89,3,0)*VLOOKUP('Données projet'!$B$16,Paramètres!$A$1:$I$89,5,0)</f>
        <v>4.4337866711430253E-14</v>
      </c>
      <c r="FG151" s="13">
        <f t="shared" si="155"/>
        <v>7.3222115536967035E-13</v>
      </c>
      <c r="FH151" s="20">
        <f t="shared" si="130"/>
        <v>1.3525069634579169E-12</v>
      </c>
      <c r="FI151" s="59">
        <f t="shared" si="131"/>
        <v>293.33333333333468</v>
      </c>
      <c r="FJ151" s="59">
        <f ca="1">AVERAGE(OFFSET($FI$3,0,0,'Données projet'!$E$16+1,1))-AVERAGE(OFFSET($H$3,0,0,'Données projet'!$E$16+1,1))</f>
        <v>193.47609744163839</v>
      </c>
      <c r="FK151" s="59">
        <f t="shared" si="156"/>
        <v>170.3221892406973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16.314679256582995</v>
      </c>
      <c r="FR151" s="21">
        <f>EXP(-LN(2)/25)*FR150+(1-EXP(-LN(2)/25))/(LN(2)/25)*Calculateur!FM151*Calculateur!FO151*VLOOKUP('Données projet'!$B$16,Paramètres!$A$1:$I$89,3,0)*0.475*44/12</f>
        <v>3.0497945643688253</v>
      </c>
      <c r="FS151" s="21">
        <f>EXP(-LN(2)/2)*FS150+(1-EXP(-LN(2)/2))/(LN(2)/2)*FM151*FP151*VLOOKUP('Données projet'!$B$16,Paramètres!$A$1:$I$89,3,0)*0.475*44/12</f>
        <v>1.161733364949777E-9</v>
      </c>
      <c r="FT151" s="22">
        <f t="shared" si="132"/>
        <v>19.364473822113553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>
        <f>FZ151*VLOOKUP('Données projet'!$B$17,Paramètres!$A$1:$I$89,3,0)*VLOOKUP('Données projet'!$B$17,Paramètres!$A$1:$I$89,5,0)</f>
        <v>0</v>
      </c>
      <c r="GB151" s="13" t="e">
        <f t="shared" si="157"/>
        <v>#NUM!</v>
      </c>
      <c r="GC151" s="20" t="e">
        <f t="shared" si="133"/>
        <v>#NUM!</v>
      </c>
      <c r="GD151" s="59" t="e">
        <f t="shared" si="134"/>
        <v>#NUM!</v>
      </c>
      <c r="GE151" s="59">
        <f ca="1">AVERAGE(OFFSET($GD$3,0,0,'Données projet'!$E$17+1,1))-AVERAGE(OFFSET($H$3,0,0,'Données projet'!$E$17+1,1))</f>
        <v>153.43773674911449</v>
      </c>
      <c r="GF151" s="59">
        <f t="shared" si="158"/>
        <v>235.49395036616602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21.44551379913981</v>
      </c>
      <c r="GM151" s="21">
        <f>EXP(-LN(2)/25)*GM150+(1-EXP(-LN(2)/25))/(LN(2)/25)*Calculateur!GH151*Calculateur!GJ151*VLOOKUP('Données projet'!$B$17,Paramètres!$A$1:$I$89,3,0)*0.475*44/12</f>
        <v>7.4867020153910833</v>
      </c>
      <c r="GN151" s="21">
        <f>EXP(-LN(2)/2)*GN150+(1-EXP(-LN(2)/2))/(LN(2)/2)*GH151*GK151*VLOOKUP('Données projet'!$B$17,Paramètres!$A$1:$I$89,3,0)*0.475*44/12</f>
        <v>0</v>
      </c>
      <c r="GO151" s="21">
        <f t="shared" si="135"/>
        <v>28.932215814530892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5.6843418860808015E-14</v>
      </c>
      <c r="GV151" s="17">
        <f>GU151*VLOOKUP('Données projet'!$B$18,Paramètres!$A$1:$I$89,3,0)*VLOOKUP('Données projet'!$B$18,Paramètres!$A$1:$I$89,5,0)</f>
        <v>4.5224624045658861E-14</v>
      </c>
      <c r="GW151" s="13">
        <f t="shared" si="159"/>
        <v>7.4514601661523691E-13</v>
      </c>
      <c r="GX151" s="20">
        <f t="shared" si="136"/>
        <v>1.3765621991510601E-12</v>
      </c>
      <c r="GY151" s="59">
        <f t="shared" si="137"/>
        <v>293.33333333333468</v>
      </c>
      <c r="GZ151" s="59">
        <f ca="1">AVERAGE(OFFSET($GY$3,0,0,'Données projet'!$E$18+1,1))-AVERAGE(OFFSET($H$3,0,0,'Données projet'!$E$18+1,1))</f>
        <v>198.11534486400666</v>
      </c>
      <c r="HA151" s="59">
        <f t="shared" si="160"/>
        <v>174.29856796517652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>
        <f>EXP(-LN(2)/35)*HG150+(1-EXP(-LN(2)/35))/(LN(2)/35)*HC151*HD151*VLOOKUP('Données projet'!$B$18,Paramètres!$A$1:$I$89,3,0)*0.475*44/12</f>
        <v>20.510966525834334</v>
      </c>
      <c r="HH151" s="21">
        <f>EXP(-LN(2)/25)*HH150+(1-EXP(-LN(2)/25))/(LN(2)/25)*Calculateur!HC151*Calculateur!HE151*VLOOKUP('Données projet'!$B$18,Paramètres!$A$1:$I$89,3,0)*0.475*44/12</f>
        <v>3.8342300965064879</v>
      </c>
      <c r="HI151" s="21">
        <f>EXP(-LN(2)/2)*HI150+(1-EXP(-LN(2)/2))/(LN(2)/2)*HC151*HF151*VLOOKUP('Données projet'!$B$18,Paramètres!$A$1:$I$89,3,0)*0.475*44/12</f>
        <v>1.1849680322487707E-9</v>
      </c>
      <c r="HJ151" s="22">
        <f t="shared" si="138"/>
        <v>24.345196623525791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1.1368683772161603E-13</v>
      </c>
      <c r="O152" s="13">
        <f>N152*VLOOKUP('Données projet'!$B$9,Paramètres!$A$1:$I$89,3,0)*VLOOKUP('Données projet'!$B$9,Paramètres!$A$1:$I$89,5,0)</f>
        <v>6.7984728957526396E-14</v>
      </c>
      <c r="P152" s="13">
        <f t="shared" si="141"/>
        <v>1.0682447123141398E-12</v>
      </c>
      <c r="Q152" s="20">
        <f t="shared" si="108"/>
        <v>1.978932943548152E-12</v>
      </c>
      <c r="R152" s="59">
        <f t="shared" si="109"/>
        <v>293.3333333333353</v>
      </c>
      <c r="S152" s="59">
        <f ca="1">AVERAGE(OFFSET($R$3,0,0,'Données projet'!$E$9+1,1))-AVERAGE(OFFSET($H$3,0,0,'Données projet'!$E$9+1,1))</f>
        <v>295.19075440119076</v>
      </c>
      <c r="T152" s="59">
        <f t="shared" si="142"/>
        <v>173.0182327988216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50.679217789892498</v>
      </c>
      <c r="AA152" s="21">
        <f>EXP(-LN(2)/25)*AA151+(1-EXP(-LN(2)/25))/(LN(2)/25)*Calculateur!V152*Calculateur!X152*VLOOKUP('Données projet'!$B$9,Paramètres!$A$1:$I$89,3,0)*0.475*44/12</f>
        <v>16.872642333322602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67.551860123215107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294.45857786714919</v>
      </c>
      <c r="AO152" s="59">
        <f t="shared" si="144"/>
        <v>221.9773436301067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46.776954537865095</v>
      </c>
      <c r="AV152" s="21">
        <f>EXP(-LN(2)/25)*AV151+(1-EXP(-LN(2)/25))/(LN(2)/25)*Calculateur!AQ152*Calculateur!AS152*VLOOKUP('Données projet'!$B$10,Paramètres!$A$1:$I$89,3,0)*0.475*44/12</f>
        <v>14.842779889051064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61.61973442691616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179.44051550872138</v>
      </c>
      <c r="BJ152" s="59">
        <f t="shared" si="146"/>
        <v>272.9500808380069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24.028548976012029</v>
      </c>
      <c r="BQ152" s="21">
        <f>EXP(-LN(2)/25)*BQ151+(1-EXP(-LN(2)/25))/(LN(2)/25)*Calculateur!BL152*Calculateur!BN152*VLOOKUP('Données projet'!$B$11,Paramètres!$A$1:$I$89,3,0)*0.475*44/12</f>
        <v>8.3222602915104815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32.350809267522507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-1.5961632016114892E-13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259.87681411271632</v>
      </c>
      <c r="CE152" s="59">
        <f t="shared" si="148"/>
        <v>191.8684235641158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83.126766870053387</v>
      </c>
      <c r="CL152" s="21">
        <f>EXP(-LN(2)/25)*CL151+(1-EXP(-LN(2)/25))/(LN(2)/25)*Calculateur!CG152*Calculateur!CI152*VLOOKUP('Données projet'!$B$12,Paramètres!$A$1:$I$89,3,0)*0.475*44/12</f>
        <v>28.198993867566767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111.32576073762016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5.6843418860808015E-14</v>
      </c>
      <c r="CU152" s="17">
        <f>CT152*VLOOKUP('Données projet'!$B$13,Paramètres!$A$1:$I$89,3,0)*VLOOKUP('Données projet'!$B$13,Paramètres!$A$1:$I$89,5,0)</f>
        <v>4.5224624045658861E-14</v>
      </c>
      <c r="CV152" s="13">
        <f t="shared" si="149"/>
        <v>7.4514601661523691E-13</v>
      </c>
      <c r="CW152" s="20">
        <f t="shared" si="121"/>
        <v>1.3765621991510601E-12</v>
      </c>
      <c r="CX152" s="59">
        <f t="shared" si="122"/>
        <v>293.33333333333468</v>
      </c>
      <c r="CY152" s="59">
        <f ca="1">AVERAGE(OFFSET($CX$3,0,0,'Données projet'!$E$13+1,1))-AVERAGE(OFFSET($H$3,0,0,'Données projet'!$E$13+1,1))</f>
        <v>198.11534486400666</v>
      </c>
      <c r="CZ152" s="59">
        <f t="shared" si="150"/>
        <v>174.29856796517652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20.108758982716999</v>
      </c>
      <c r="DG152" s="21">
        <f>EXP(-LN(2)/25)*DG151+(1-EXP(-LN(2)/25))/(LN(2)/25)*Calculateur!DB152*Calculateur!DD152*VLOOKUP('Données projet'!$B$13,Paramètres!$A$1:$I$89,3,0)*0.475*44/12</f>
        <v>3.7293828728841203</v>
      </c>
      <c r="DH152" s="21">
        <f>EXP(-LN(2)/2)*DH151+(1-EXP(-LN(2)/2))/(LN(2)/2)*DB152*DE152*VLOOKUP('Données projet'!$B$13,Paramètres!$A$1:$I$89,3,0)*0.475*44/12</f>
        <v>8.3789893109238533E-10</v>
      </c>
      <c r="DI152" s="22">
        <f t="shared" si="123"/>
        <v>23.83814185643902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4.8666666666666663</v>
      </c>
      <c r="DO152" s="12">
        <f>IF('Données projet'!$A$166&gt;35,DO151+DN152-DW151,IF(A152&lt;'Données projet'!$A$166,$DL$205^A152,IF(A152='Données projet'!$A$166,'Données projet'!$B$166,DO151+DN152-DW151)))</f>
        <v>276.53333333333325</v>
      </c>
      <c r="DP152" s="17">
        <f>DO152*VLOOKUP('Données projet'!$B$14,Paramètres!$A$1:$I$89,3,0)*VLOOKUP('Données projet'!$B$14,Paramètres!$A$1:$I$89,5,0)</f>
        <v>280.40479999999991</v>
      </c>
      <c r="DQ152" s="13">
        <f t="shared" si="151"/>
        <v>67.052547563721262</v>
      </c>
      <c r="DR152" s="20">
        <f t="shared" si="124"/>
        <v>605.15488034014766</v>
      </c>
      <c r="DS152" s="59">
        <f t="shared" si="125"/>
        <v>898.48821367348091</v>
      </c>
      <c r="DT152" s="59">
        <f ca="1">AVERAGE(OFFSET($DS$3,0,0,'Données projet'!$E$14+1,1))-AVERAGE(OFFSET($H$3,0,0,'Données projet'!$E$14+1,1))</f>
        <v>247.92503505485405</v>
      </c>
      <c r="DU152" s="59">
        <f t="shared" si="152"/>
        <v>148.26437652597514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19.626720029470381</v>
      </c>
      <c r="EB152" s="21">
        <f>EXP(-LN(2)/25)*EB151+(1-EXP(-LN(2)/25))/(LN(2)/25)*Calculateur!DW152*Calculateur!DY152*VLOOKUP('Données projet'!$B$14,Paramètres!$A$1:$I$89,3,0)*0.475*44/12</f>
        <v>19.146600037881328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38.773320067351705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4.8666666666666663</v>
      </c>
      <c r="EJ152" s="12">
        <f>IF('Données projet'!$A$192&gt;35,EJ151+EI152-ER151,IF(A152&lt;'Données projet'!$A$192,$EG$205^A152,IF(A152='Données projet'!$A$192,'Données projet'!$B$192,EJ151+EI152-ER151)))</f>
        <v>276.53333333333325</v>
      </c>
      <c r="EK152" s="17">
        <f>EJ152*VLOOKUP('Données projet'!$B$15,Paramètres!$A$1:$I$89,3,0)*VLOOKUP('Données projet'!$B$15,Paramètres!$A$1:$I$89,5,0)</f>
        <v>267.46303999999992</v>
      </c>
      <c r="EL152" s="13">
        <f t="shared" si="153"/>
        <v>64.310566881633065</v>
      </c>
      <c r="EM152" s="20">
        <f t="shared" si="127"/>
        <v>577.83903198551081</v>
      </c>
      <c r="EN152" s="59">
        <f t="shared" si="128"/>
        <v>871.17236531884419</v>
      </c>
      <c r="EO152" s="59">
        <f ca="1">AVERAGE(OFFSET($EN$3,0,0,'Données projet'!$E$15+1,1))-AVERAGE(OFFSET($H$3,0,0,'Données projet'!$E$15+1,1))</f>
        <v>232.99870507181964</v>
      </c>
      <c r="EP152" s="59">
        <f t="shared" si="154"/>
        <v>140.07662669226278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18.72087141272559</v>
      </c>
      <c r="EW152" s="21">
        <f>EXP(-LN(2)/25)*EW151+(1-EXP(-LN(2)/25))/(LN(2)/25)*Calculateur!ER152*Calculateur!ET152*VLOOKUP('Données projet'!$B$15,Paramètres!$A$1:$I$89,3,0)*0.475*44/12</f>
        <v>18.262910805363731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36.983782218089317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5.6843418860808015E-14</v>
      </c>
      <c r="FF152" s="17">
        <f>FE152*VLOOKUP('Données projet'!$B$16,Paramètres!$A$1:$I$89,3,0)*VLOOKUP('Données projet'!$B$16,Paramètres!$A$1:$I$89,5,0)</f>
        <v>4.4337866711430253E-14</v>
      </c>
      <c r="FG152" s="13">
        <f t="shared" si="155"/>
        <v>7.3222115536967035E-13</v>
      </c>
      <c r="FH152" s="20">
        <f t="shared" si="130"/>
        <v>1.3525069634579169E-12</v>
      </c>
      <c r="FI152" s="59">
        <f t="shared" si="131"/>
        <v>293.33333333333468</v>
      </c>
      <c r="FJ152" s="59">
        <f ca="1">AVERAGE(OFFSET($FI$3,0,0,'Données projet'!$E$16+1,1))-AVERAGE(OFFSET($H$3,0,0,'Données projet'!$E$16+1,1))</f>
        <v>193.47609744163839</v>
      </c>
      <c r="FK152" s="59">
        <f t="shared" si="156"/>
        <v>170.3221892406973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15.994758347333171</v>
      </c>
      <c r="FR152" s="21">
        <f>EXP(-LN(2)/25)*FR151+(1-EXP(-LN(2)/25))/(LN(2)/25)*Calculateur!FM152*Calculateur!FO152*VLOOKUP('Données projet'!$B$16,Paramètres!$A$1:$I$89,3,0)*0.475*44/12</f>
        <v>2.9663977716244339</v>
      </c>
      <c r="FS152" s="21">
        <f>EXP(-LN(2)/2)*FS151+(1-EXP(-LN(2)/2))/(LN(2)/2)*FM152*FP152*VLOOKUP('Données projet'!$B$16,Paramètres!$A$1:$I$89,3,0)*0.475*44/12</f>
        <v>8.2146954028665352E-10</v>
      </c>
      <c r="FT152" s="22">
        <f t="shared" si="132"/>
        <v>18.961156119779073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>
        <f>FZ152*VLOOKUP('Données projet'!$B$17,Paramètres!$A$1:$I$89,3,0)*VLOOKUP('Données projet'!$B$17,Paramètres!$A$1:$I$89,5,0)</f>
        <v>0</v>
      </c>
      <c r="GB152" s="13" t="e">
        <f t="shared" si="157"/>
        <v>#NUM!</v>
      </c>
      <c r="GC152" s="20" t="e">
        <f t="shared" si="133"/>
        <v>#NUM!</v>
      </c>
      <c r="GD152" s="59" t="e">
        <f t="shared" si="134"/>
        <v>#NUM!</v>
      </c>
      <c r="GE152" s="59">
        <f ca="1">AVERAGE(OFFSET($GD$3,0,0,'Données projet'!$E$17+1,1))-AVERAGE(OFFSET($H$3,0,0,'Données projet'!$E$17+1,1))</f>
        <v>153.43773674911449</v>
      </c>
      <c r="GF152" s="59">
        <f t="shared" si="158"/>
        <v>235.49395036616602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21.024980354010506</v>
      </c>
      <c r="GM152" s="21">
        <f>EXP(-LN(2)/25)*GM151+(1-EXP(-LN(2)/25))/(LN(2)/25)*Calculateur!GH152*Calculateur!GJ152*VLOOKUP('Données projet'!$B$17,Paramètres!$A$1:$I$89,3,0)*0.475*44/12</f>
        <v>7.281977755071666</v>
      </c>
      <c r="GN152" s="21">
        <f>EXP(-LN(2)/2)*GN151+(1-EXP(-LN(2)/2))/(LN(2)/2)*GH152*GK152*VLOOKUP('Données projet'!$B$17,Paramètres!$A$1:$I$89,3,0)*0.475*44/12</f>
        <v>0</v>
      </c>
      <c r="GO152" s="21">
        <f t="shared" si="135"/>
        <v>28.306958109082171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5.6843418860808015E-14</v>
      </c>
      <c r="GV152" s="17">
        <f>GU152*VLOOKUP('Données projet'!$B$18,Paramètres!$A$1:$I$89,3,0)*VLOOKUP('Données projet'!$B$18,Paramètres!$A$1:$I$89,5,0)</f>
        <v>4.5224624045658861E-14</v>
      </c>
      <c r="GW152" s="13">
        <f t="shared" si="159"/>
        <v>7.4514601661523691E-13</v>
      </c>
      <c r="GX152" s="20">
        <f t="shared" si="136"/>
        <v>1.3765621991510601E-12</v>
      </c>
      <c r="GY152" s="59">
        <f t="shared" si="137"/>
        <v>293.33333333333468</v>
      </c>
      <c r="GZ152" s="59">
        <f ca="1">AVERAGE(OFFSET($GY$3,0,0,'Données projet'!$E$18+1,1))-AVERAGE(OFFSET($H$3,0,0,'Données projet'!$E$18+1,1))</f>
        <v>198.11534486400666</v>
      </c>
      <c r="HA152" s="59">
        <f t="shared" si="160"/>
        <v>174.29856796517652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>
        <f>EXP(-LN(2)/35)*HG151+(1-EXP(-LN(2)/35))/(LN(2)/35)*HC152*HD152*VLOOKUP('Données projet'!$B$18,Paramètres!$A$1:$I$89,3,0)*0.475*44/12</f>
        <v>20.108758982716999</v>
      </c>
      <c r="HH152" s="21">
        <f>EXP(-LN(2)/25)*HH151+(1-EXP(-LN(2)/25))/(LN(2)/25)*Calculateur!HC152*Calculateur!HE152*VLOOKUP('Données projet'!$B$18,Paramètres!$A$1:$I$89,3,0)*0.475*44/12</f>
        <v>3.7293828728841203</v>
      </c>
      <c r="HI152" s="21">
        <f>EXP(-LN(2)/2)*HI151+(1-EXP(-LN(2)/2))/(LN(2)/2)*HC152*HF152*VLOOKUP('Données projet'!$B$18,Paramètres!$A$1:$I$89,3,0)*0.475*44/12</f>
        <v>8.3789893109238533E-10</v>
      </c>
      <c r="HJ152" s="22">
        <f t="shared" si="138"/>
        <v>23.83814185643902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1.1368683772161603E-13</v>
      </c>
      <c r="O153" s="13">
        <f>N153*VLOOKUP('Données projet'!$B$9,Paramètres!$A$1:$I$89,3,0)*VLOOKUP('Données projet'!$B$9,Paramètres!$A$1:$I$89,5,0)</f>
        <v>6.7984728957526396E-14</v>
      </c>
      <c r="P153" s="13">
        <f t="shared" si="141"/>
        <v>1.0682447123141398E-12</v>
      </c>
      <c r="Q153" s="20">
        <f t="shared" si="108"/>
        <v>1.978932943548152E-12</v>
      </c>
      <c r="R153" s="59">
        <f t="shared" si="109"/>
        <v>293.3333333333353</v>
      </c>
      <c r="S153" s="59">
        <f ca="1">AVERAGE(OFFSET($R$3,0,0,'Données projet'!$E$9+1,1))-AVERAGE(OFFSET($H$3,0,0,'Données projet'!$E$9+1,1))</f>
        <v>295.19075440119076</v>
      </c>
      <c r="T153" s="59">
        <f t="shared" si="142"/>
        <v>173.0182327988216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49.685429240303321</v>
      </c>
      <c r="AA153" s="21">
        <f>EXP(-LN(2)/25)*AA152+(1-EXP(-LN(2)/25))/(LN(2)/25)*Calculateur!V153*Calculateur!X153*VLOOKUP('Données projet'!$B$9,Paramètres!$A$1:$I$89,3,0)*0.475*44/12</f>
        <v>16.411259041424199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66.096688281727523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294.45857786714919</v>
      </c>
      <c r="AO153" s="59">
        <f t="shared" si="144"/>
        <v>221.9773436301067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45.859686990502617</v>
      </c>
      <c r="AV153" s="21">
        <f>EXP(-LN(2)/25)*AV152+(1-EXP(-LN(2)/25))/(LN(2)/25)*Calculateur!AQ153*Calculateur!AS153*VLOOKUP('Données projet'!$B$10,Paramètres!$A$1:$I$89,3,0)*0.475*44/12</f>
        <v>14.436903292437092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60.296590282939711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179.44051550872138</v>
      </c>
      <c r="BJ153" s="59">
        <f t="shared" si="146"/>
        <v>272.9500808380069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23.557363786560153</v>
      </c>
      <c r="BQ153" s="21">
        <f>EXP(-LN(2)/25)*BQ152+(1-EXP(-LN(2)/25))/(LN(2)/25)*Calculateur!BL153*Calculateur!BN153*VLOOKUP('Données projet'!$B$11,Paramètres!$A$1:$I$89,3,0)*0.475*44/12</f>
        <v>8.0946876461904793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31.652051432750632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-1.5961632016114892E-13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259.87681411271632</v>
      </c>
      <c r="CE153" s="59">
        <f t="shared" si="148"/>
        <v>191.8684235641158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81.496701674053</v>
      </c>
      <c r="CL153" s="21">
        <f>EXP(-LN(2)/25)*CL152+(1-EXP(-LN(2)/25))/(LN(2)/25)*Calculateur!CG153*Calculateur!CI153*VLOOKUP('Données projet'!$B$12,Paramètres!$A$1:$I$89,3,0)*0.475*44/12</f>
        <v>27.427890897337516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108.92459257139052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5.6843418860808015E-14</v>
      </c>
      <c r="CU153" s="17">
        <f>CT153*VLOOKUP('Données projet'!$B$13,Paramètres!$A$1:$I$89,3,0)*VLOOKUP('Données projet'!$B$13,Paramètres!$A$1:$I$89,5,0)</f>
        <v>4.5224624045658861E-14</v>
      </c>
      <c r="CV153" s="13">
        <f t="shared" si="149"/>
        <v>7.4514601661523691E-13</v>
      </c>
      <c r="CW153" s="20">
        <f t="shared" si="121"/>
        <v>1.3765621991510601E-12</v>
      </c>
      <c r="CX153" s="59">
        <f t="shared" si="122"/>
        <v>293.33333333333468</v>
      </c>
      <c r="CY153" s="59">
        <f ca="1">AVERAGE(OFFSET($CX$3,0,0,'Données projet'!$E$13+1,1))-AVERAGE(OFFSET($H$3,0,0,'Données projet'!$E$13+1,1))</f>
        <v>198.11534486400666</v>
      </c>
      <c r="CZ153" s="59">
        <f t="shared" si="150"/>
        <v>174.29856796517652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19.714438484197817</v>
      </c>
      <c r="DG153" s="21">
        <f>EXP(-LN(2)/25)*DG152+(1-EXP(-LN(2)/25))/(LN(2)/25)*Calculateur!DB153*Calculateur!DD153*VLOOKUP('Données projet'!$B$13,Paramètres!$A$1:$I$89,3,0)*0.475*44/12</f>
        <v>3.6274027021053823</v>
      </c>
      <c r="DH153" s="21">
        <f>EXP(-LN(2)/2)*DH152+(1-EXP(-LN(2)/2))/(LN(2)/2)*DB153*DE153*VLOOKUP('Données projet'!$B$13,Paramètres!$A$1:$I$89,3,0)*0.475*44/12</f>
        <v>5.9248401612438537E-10</v>
      </c>
      <c r="DI153" s="22">
        <f t="shared" si="123"/>
        <v>23.341841186895682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4.8666666666666663</v>
      </c>
      <c r="DO153" s="12">
        <f>IF('Données projet'!$A$166&gt;35,DO152+DN153-DW152,IF(A153&lt;'Données projet'!$A$166,$DL$205^A153,IF(A153='Données projet'!$A$166,'Données projet'!$B$166,DO152+DN153-DW152)))</f>
        <v>281.39999999999992</v>
      </c>
      <c r="DP153" s="17">
        <f>DO153*VLOOKUP('Données projet'!$B$14,Paramètres!$A$1:$I$89,3,0)*VLOOKUP('Données projet'!$B$14,Paramètres!$A$1:$I$89,5,0)</f>
        <v>285.33959999999996</v>
      </c>
      <c r="DQ153" s="13">
        <f t="shared" si="151"/>
        <v>68.094176261531288</v>
      </c>
      <c r="DR153" s="20">
        <f t="shared" si="124"/>
        <v>615.56382698883351</v>
      </c>
      <c r="DS153" s="59">
        <f t="shared" si="125"/>
        <v>908.89716032216688</v>
      </c>
      <c r="DT153" s="59">
        <f ca="1">AVERAGE(OFFSET($DS$3,0,0,'Données projet'!$E$14+1,1))-AVERAGE(OFFSET($H$3,0,0,'Données projet'!$E$14+1,1))</f>
        <v>247.92503505485405</v>
      </c>
      <c r="DU153" s="59">
        <f t="shared" si="152"/>
        <v>148.26437652597514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19.241852020809635</v>
      </c>
      <c r="EB153" s="21">
        <f>EXP(-LN(2)/25)*EB152+(1-EXP(-LN(2)/25))/(LN(2)/25)*Calculateur!DW153*Calculateur!DY153*VLOOKUP('Données projet'!$B$14,Paramètres!$A$1:$I$89,3,0)*0.475*44/12</f>
        <v>18.623035252969526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37.864887273779161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4.8666666666666663</v>
      </c>
      <c r="EJ153" s="12">
        <f>IF('Données projet'!$A$192&gt;35,EJ152+EI153-ER152,IF(A153&lt;'Données projet'!$A$192,$EG$205^A153,IF(A153='Données projet'!$A$192,'Données projet'!$B$192,EJ152+EI153-ER152)))</f>
        <v>281.39999999999992</v>
      </c>
      <c r="EK153" s="17">
        <f>EJ153*VLOOKUP('Données projet'!$B$15,Paramètres!$A$1:$I$89,3,0)*VLOOKUP('Données projet'!$B$15,Paramètres!$A$1:$I$89,5,0)</f>
        <v>272.17007999999993</v>
      </c>
      <c r="EL153" s="13">
        <f t="shared" si="153"/>
        <v>65.309600243828299</v>
      </c>
      <c r="EM153" s="20">
        <f t="shared" si="127"/>
        <v>587.77710975800073</v>
      </c>
      <c r="EN153" s="59">
        <f t="shared" si="128"/>
        <v>881.11044309133399</v>
      </c>
      <c r="EO153" s="59">
        <f ca="1">AVERAGE(OFFSET($EN$3,0,0,'Données projet'!$E$15+1,1))-AVERAGE(OFFSET($H$3,0,0,'Données projet'!$E$15+1,1))</f>
        <v>232.99870507181964</v>
      </c>
      <c r="EP153" s="59">
        <f t="shared" si="154"/>
        <v>140.07662669226278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18.35376654292611</v>
      </c>
      <c r="EW153" s="21">
        <f>EXP(-LN(2)/25)*EW152+(1-EXP(-LN(2)/25))/(LN(2)/25)*Calculateur!ER153*Calculateur!ET153*VLOOKUP('Données projet'!$B$15,Paramètres!$A$1:$I$89,3,0)*0.475*44/12</f>
        <v>17.763510548986321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36.117277091912428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5.6843418860808015E-14</v>
      </c>
      <c r="FF153" s="17">
        <f>FE153*VLOOKUP('Données projet'!$B$16,Paramètres!$A$1:$I$89,3,0)*VLOOKUP('Données projet'!$B$16,Paramètres!$A$1:$I$89,5,0)</f>
        <v>4.4337866711430253E-14</v>
      </c>
      <c r="FG153" s="13">
        <f t="shared" si="155"/>
        <v>7.3222115536967035E-13</v>
      </c>
      <c r="FH153" s="20">
        <f t="shared" si="130"/>
        <v>1.3525069634579169E-12</v>
      </c>
      <c r="FI153" s="59">
        <f t="shared" si="131"/>
        <v>293.33333333333468</v>
      </c>
      <c r="FJ153" s="59">
        <f ca="1">AVERAGE(OFFSET($FI$3,0,0,'Données projet'!$E$16+1,1))-AVERAGE(OFFSET($H$3,0,0,'Données projet'!$E$16+1,1))</f>
        <v>193.47609744163839</v>
      </c>
      <c r="FK153" s="59">
        <f t="shared" si="156"/>
        <v>170.3221892406973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15.68111089198125</v>
      </c>
      <c r="FR153" s="21">
        <f>EXP(-LN(2)/25)*FR152+(1-EXP(-LN(2)/25))/(LN(2)/25)*Calculateur!FM153*Calculateur!FO153*VLOOKUP('Données projet'!$B$16,Paramètres!$A$1:$I$89,3,0)*0.475*44/12</f>
        <v>2.8852814685632846</v>
      </c>
      <c r="FS153" s="21">
        <f>EXP(-LN(2)/2)*FS152+(1-EXP(-LN(2)/2))/(LN(2)/2)*FM153*FP153*VLOOKUP('Données projet'!$B$16,Paramètres!$A$1:$I$89,3,0)*0.475*44/12</f>
        <v>5.8086668247488849E-10</v>
      </c>
      <c r="FT153" s="22">
        <f t="shared" si="132"/>
        <v>18.566392361125398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>
        <f>FZ153*VLOOKUP('Données projet'!$B$17,Paramètres!$A$1:$I$89,3,0)*VLOOKUP('Données projet'!$B$17,Paramètres!$A$1:$I$89,5,0)</f>
        <v>0</v>
      </c>
      <c r="GB153" s="13" t="e">
        <f t="shared" si="157"/>
        <v>#NUM!</v>
      </c>
      <c r="GC153" s="20" t="e">
        <f t="shared" si="133"/>
        <v>#NUM!</v>
      </c>
      <c r="GD153" s="59" t="e">
        <f t="shared" si="134"/>
        <v>#NUM!</v>
      </c>
      <c r="GE153" s="59">
        <f ca="1">AVERAGE(OFFSET($GD$3,0,0,'Données projet'!$E$17+1,1))-AVERAGE(OFFSET($H$3,0,0,'Données projet'!$E$17+1,1))</f>
        <v>153.43773674911449</v>
      </c>
      <c r="GF153" s="59">
        <f t="shared" si="158"/>
        <v>235.49395036616602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20.612693313240115</v>
      </c>
      <c r="GM153" s="21">
        <f>EXP(-LN(2)/25)*GM152+(1-EXP(-LN(2)/25))/(LN(2)/25)*Calculateur!GH153*Calculateur!GJ153*VLOOKUP('Données projet'!$B$17,Paramètres!$A$1:$I$89,3,0)*0.475*44/12</f>
        <v>7.0828516904166641</v>
      </c>
      <c r="GN153" s="21">
        <f>EXP(-LN(2)/2)*GN152+(1-EXP(-LN(2)/2))/(LN(2)/2)*GH153*GK153*VLOOKUP('Données projet'!$B$17,Paramètres!$A$1:$I$89,3,0)*0.475*44/12</f>
        <v>0</v>
      </c>
      <c r="GO153" s="21">
        <f t="shared" si="135"/>
        <v>27.695545003656779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5.6843418860808015E-14</v>
      </c>
      <c r="GV153" s="17">
        <f>GU153*VLOOKUP('Données projet'!$B$18,Paramètres!$A$1:$I$89,3,0)*VLOOKUP('Données projet'!$B$18,Paramètres!$A$1:$I$89,5,0)</f>
        <v>4.5224624045658861E-14</v>
      </c>
      <c r="GW153" s="13">
        <f t="shared" si="159"/>
        <v>7.4514601661523691E-13</v>
      </c>
      <c r="GX153" s="20">
        <f t="shared" si="136"/>
        <v>1.3765621991510601E-12</v>
      </c>
      <c r="GY153" s="59">
        <f t="shared" si="137"/>
        <v>293.33333333333468</v>
      </c>
      <c r="GZ153" s="59">
        <f ca="1">AVERAGE(OFFSET($GY$3,0,0,'Données projet'!$E$18+1,1))-AVERAGE(OFFSET($H$3,0,0,'Données projet'!$E$18+1,1))</f>
        <v>198.11534486400666</v>
      </c>
      <c r="HA153" s="59">
        <f t="shared" si="160"/>
        <v>174.29856796517652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>
        <f>EXP(-LN(2)/35)*HG152+(1-EXP(-LN(2)/35))/(LN(2)/35)*HC153*HD153*VLOOKUP('Données projet'!$B$18,Paramètres!$A$1:$I$89,3,0)*0.475*44/12</f>
        <v>19.714438484197817</v>
      </c>
      <c r="HH153" s="21">
        <f>EXP(-LN(2)/25)*HH152+(1-EXP(-LN(2)/25))/(LN(2)/25)*Calculateur!HC153*Calculateur!HE153*VLOOKUP('Données projet'!$B$18,Paramètres!$A$1:$I$89,3,0)*0.475*44/12</f>
        <v>3.6274027021053823</v>
      </c>
      <c r="HI153" s="21">
        <f>EXP(-LN(2)/2)*HI152+(1-EXP(-LN(2)/2))/(LN(2)/2)*HC153*HF153*VLOOKUP('Données projet'!$B$18,Paramètres!$A$1:$I$89,3,0)*0.475*44/12</f>
        <v>5.9248401612438537E-10</v>
      </c>
      <c r="HJ153" s="22">
        <f t="shared" si="138"/>
        <v>23.341841186895682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1.1368683772161603E-13</v>
      </c>
      <c r="O154" s="13">
        <f>N154*VLOOKUP('Données projet'!$B$9,Paramètres!$A$1:$I$89,3,0)*VLOOKUP('Données projet'!$B$9,Paramètres!$A$1:$I$89,5,0)</f>
        <v>6.7984728957526396E-14</v>
      </c>
      <c r="P154" s="13">
        <f t="shared" si="141"/>
        <v>1.0682447123141398E-12</v>
      </c>
      <c r="Q154" s="20">
        <f t="shared" ref="Q154:Q203" si="162">(O154+P154)*0.475*44/12</f>
        <v>1.978932943548152E-12</v>
      </c>
      <c r="R154" s="59">
        <f t="shared" si="109"/>
        <v>293.3333333333353</v>
      </c>
      <c r="S154" s="59">
        <f ca="1">AVERAGE(OFFSET($R$3,0,0,'Données projet'!$E$9+1,1))-AVERAGE(OFFSET($H$3,0,0,'Données projet'!$E$9+1,1))</f>
        <v>295.19075440119076</v>
      </c>
      <c r="T154" s="59">
        <f t="shared" si="142"/>
        <v>173.0182327988216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48.711128278020425</v>
      </c>
      <c r="AA154" s="21">
        <f>EXP(-LN(2)/25)*AA153+(1-EXP(-LN(2)/25))/(LN(2)/25)*Calculateur!V154*Calculateur!X154*VLOOKUP('Données projet'!$B$9,Paramètres!$A$1:$I$89,3,0)*0.475*44/12</f>
        <v>15.962492299905849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64.673620577926272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294.45857786714919</v>
      </c>
      <c r="AO154" s="59">
        <f t="shared" si="144"/>
        <v>221.9773436301067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44.960406500265954</v>
      </c>
      <c r="AV154" s="21">
        <f>EXP(-LN(2)/25)*AV153+(1-EXP(-LN(2)/25))/(LN(2)/25)*Calculateur!AQ154*Calculateur!AS154*VLOOKUP('Données projet'!$B$10,Paramètres!$A$1:$I$89,3,0)*0.475*44/12</f>
        <v>14.042125412701651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59.002531912967605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179.44051550872138</v>
      </c>
      <c r="BJ154" s="59">
        <f t="shared" si="146"/>
        <v>272.9500808380069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23.09541825127884</v>
      </c>
      <c r="BQ154" s="21">
        <f>EXP(-LN(2)/25)*BQ153+(1-EXP(-LN(2)/25))/(LN(2)/25)*Calculateur!BL154*Calculateur!BN154*VLOOKUP('Données projet'!$B$11,Paramètres!$A$1:$I$89,3,0)*0.475*44/12</f>
        <v>7.8733379868242777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30.968756238103119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-1.5961632016114892E-13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259.87681411271632</v>
      </c>
      <c r="CE154" s="59">
        <f t="shared" si="148"/>
        <v>191.8684235641158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79.898601062304579</v>
      </c>
      <c r="CL154" s="21">
        <f>EXP(-LN(2)/25)*CL153+(1-EXP(-LN(2)/25))/(LN(2)/25)*Calculateur!CG154*Calculateur!CI154*VLOOKUP('Données projet'!$B$12,Paramètres!$A$1:$I$89,3,0)*0.475*44/12</f>
        <v>26.677873778379727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106.57647484068431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5.6843418860808015E-14</v>
      </c>
      <c r="CU154" s="17">
        <f>CT154*VLOOKUP('Données projet'!$B$13,Paramètres!$A$1:$I$89,3,0)*VLOOKUP('Données projet'!$B$13,Paramètres!$A$1:$I$89,5,0)</f>
        <v>4.5224624045658861E-14</v>
      </c>
      <c r="CV154" s="13">
        <f t="shared" ref="CV154:CV203" si="173">EXP(-1.0587+0.8836*LN(CU154)+0.284)</f>
        <v>7.4514601661523691E-13</v>
      </c>
      <c r="CW154" s="20">
        <f t="shared" ref="CW154:CW203" si="174">(CU154+CV154)*0.475*44/12</f>
        <v>1.3765621991510601E-12</v>
      </c>
      <c r="CX154" s="59">
        <f t="shared" si="122"/>
        <v>293.33333333333468</v>
      </c>
      <c r="CY154" s="59">
        <f ca="1">AVERAGE(OFFSET($CX$3,0,0,'Données projet'!$E$13+1,1))-AVERAGE(OFFSET($H$3,0,0,'Données projet'!$E$13+1,1))</f>
        <v>198.11534486400666</v>
      </c>
      <c r="CZ154" s="59">
        <f t="shared" si="150"/>
        <v>174.29856796517652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19.327850370142841</v>
      </c>
      <c r="DG154" s="21">
        <f>EXP(-LN(2)/25)*DG153+(1-EXP(-LN(2)/25))/(LN(2)/25)*Calculateur!DB154*Calculateur!DD154*VLOOKUP('Données projet'!$B$13,Paramètres!$A$1:$I$89,3,0)*0.475*44/12</f>
        <v>3.5282111844594932</v>
      </c>
      <c r="DH154" s="21">
        <f>EXP(-LN(2)/2)*DH153+(1-EXP(-LN(2)/2))/(LN(2)/2)*DB154*DE154*VLOOKUP('Données projet'!$B$13,Paramètres!$A$1:$I$89,3,0)*0.475*44/12</f>
        <v>4.1894946554619266E-10</v>
      </c>
      <c r="DI154" s="22">
        <f t="shared" ref="DI154:DI203" si="175">SUM(DF154:DH154)</f>
        <v>22.856061555021284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4.8666666666666663</v>
      </c>
      <c r="DO154" s="12">
        <f>IF('Données projet'!$A$166&gt;35,DO153+DN154-DW153,IF(A154&lt;'Données projet'!$A$166,$DL$205^A154,IF(A154='Données projet'!$A$166,'Données projet'!$B$166,DO153+DN154-DW153)))</f>
        <v>286.26666666666659</v>
      </c>
      <c r="DP154" s="17">
        <f>DO154*VLOOKUP('Données projet'!$B$14,Paramètres!$A$1:$I$89,3,0)*VLOOKUP('Données projet'!$B$14,Paramètres!$A$1:$I$89,5,0)</f>
        <v>290.27439999999996</v>
      </c>
      <c r="DQ154" s="13">
        <f t="shared" ref="DQ154:DQ203" si="176">EXP(-1.0587+0.8836*LN(DP154)+0.284)</f>
        <v>69.133710078848338</v>
      </c>
      <c r="DR154" s="20">
        <f t="shared" ref="DR154:DR203" si="177">(DP154+DQ154)*0.475*44/12</f>
        <v>625.96912505399405</v>
      </c>
      <c r="DS154" s="59">
        <f t="shared" si="125"/>
        <v>919.30245838732731</v>
      </c>
      <c r="DT154" s="59">
        <f ca="1">AVERAGE(OFFSET($DS$3,0,0,'Données projet'!$E$14+1,1))-AVERAGE(OFFSET($H$3,0,0,'Données projet'!$E$14+1,1))</f>
        <v>247.92503505485405</v>
      </c>
      <c r="DU154" s="59">
        <f t="shared" si="152"/>
        <v>148.26437652597514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18.864531039052419</v>
      </c>
      <c r="EB154" s="21">
        <f>EXP(-LN(2)/25)*EB153+(1-EXP(-LN(2)/25))/(LN(2)/25)*Calculateur!DW154*Calculateur!DY154*VLOOKUP('Données projet'!$B$14,Paramètres!$A$1:$I$89,3,0)*0.475*44/12</f>
        <v>18.113787374634214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36.978318413686637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4.8666666666666663</v>
      </c>
      <c r="EJ154" s="12">
        <f>IF('Données projet'!$A$192&gt;35,EJ153+EI154-ER153,IF(A154&lt;'Données projet'!$A$192,$EG$205^A154,IF(A154='Données projet'!$A$192,'Données projet'!$B$192,EJ153+EI154-ER153)))</f>
        <v>286.26666666666659</v>
      </c>
      <c r="EK154" s="17">
        <f>EJ154*VLOOKUP('Données projet'!$B$15,Paramètres!$A$1:$I$89,3,0)*VLOOKUP('Données projet'!$B$15,Paramètres!$A$1:$I$89,5,0)</f>
        <v>276.87711999999993</v>
      </c>
      <c r="EL154" s="13">
        <f t="shared" ref="EL154:EL203" si="179">EXP(-1.0587+0.8836*LN(EK154)+0.284)</f>
        <v>66.306624391505309</v>
      </c>
      <c r="EM154" s="20">
        <f t="shared" ref="EM154:EM203" si="180">(EK154+EL154)*0.475*44/12</f>
        <v>597.7116881485382</v>
      </c>
      <c r="EN154" s="59">
        <f t="shared" si="128"/>
        <v>891.04502148187157</v>
      </c>
      <c r="EO154" s="59">
        <f ca="1">AVERAGE(OFFSET($EN$3,0,0,'Données projet'!$E$15+1,1))-AVERAGE(OFFSET($H$3,0,0,'Données projet'!$E$15+1,1))</f>
        <v>232.99870507181964</v>
      </c>
      <c r="EP154" s="59">
        <f t="shared" si="154"/>
        <v>140.07662669226278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17.993860375711535</v>
      </c>
      <c r="EW154" s="21">
        <f>EXP(-LN(2)/25)*EW153+(1-EXP(-LN(2)/25))/(LN(2)/25)*Calculateur!ER154*Calculateur!ET154*VLOOKUP('Données projet'!$B$15,Paramètres!$A$1:$I$89,3,0)*0.475*44/12</f>
        <v>17.277766418881871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35.271626794593402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5.6843418860808015E-14</v>
      </c>
      <c r="FF154" s="17">
        <f>FE154*VLOOKUP('Données projet'!$B$16,Paramètres!$A$1:$I$89,3,0)*VLOOKUP('Données projet'!$B$16,Paramètres!$A$1:$I$89,5,0)</f>
        <v>4.4337866711430253E-14</v>
      </c>
      <c r="FG154" s="13">
        <f t="shared" ref="FG154:FG203" si="182">EXP(-1.0587+0.8836*LN(FF154)+0.284)</f>
        <v>7.3222115536967035E-13</v>
      </c>
      <c r="FH154" s="20">
        <f t="shared" ref="FH154:FH203" si="183">(FF154+FG154)*0.475*44/12</f>
        <v>1.3525069634579169E-12</v>
      </c>
      <c r="FI154" s="59">
        <f t="shared" si="131"/>
        <v>293.33333333333468</v>
      </c>
      <c r="FJ154" s="59">
        <f ca="1">AVERAGE(OFFSET($FI$3,0,0,'Données projet'!$E$16+1,1))-AVERAGE(OFFSET($H$3,0,0,'Données projet'!$E$16+1,1))</f>
        <v>193.47609744163839</v>
      </c>
      <c r="FK154" s="59">
        <f t="shared" si="156"/>
        <v>170.3221892406973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15.373613871922723</v>
      </c>
      <c r="FR154" s="21">
        <f>EXP(-LN(2)/25)*FR153+(1-EXP(-LN(2)/25))/(LN(2)/25)*Calculateur!FM154*Calculateur!FO154*VLOOKUP('Données projet'!$B$16,Paramètres!$A$1:$I$89,3,0)*0.475*44/12</f>
        <v>2.8063832950750633</v>
      </c>
      <c r="FS154" s="21">
        <f>EXP(-LN(2)/2)*FS153+(1-EXP(-LN(2)/2))/(LN(2)/2)*FM154*FP154*VLOOKUP('Données projet'!$B$16,Paramètres!$A$1:$I$89,3,0)*0.475*44/12</f>
        <v>4.1073477014332676E-10</v>
      </c>
      <c r="FT154" s="22">
        <f t="shared" ref="FT154:FT203" si="184">SUM(FQ154:FS154)</f>
        <v>18.179997167408523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>
        <f>FZ154*VLOOKUP('Données projet'!$B$17,Paramètres!$A$1:$I$89,3,0)*VLOOKUP('Données projet'!$B$17,Paramètres!$A$1:$I$89,5,0)</f>
        <v>0</v>
      </c>
      <c r="GB154" s="13" t="e">
        <f t="shared" ref="GB154:GB203" si="185">EXP(-1.0587+0.8836*LN(GA154)+0.284)</f>
        <v>#NUM!</v>
      </c>
      <c r="GC154" s="20" t="e">
        <f t="shared" ref="GC154:GC203" si="186">(GA154+GB154)*0.475*44/12</f>
        <v>#NUM!</v>
      </c>
      <c r="GD154" s="59" t="e">
        <f t="shared" si="134"/>
        <v>#NUM!</v>
      </c>
      <c r="GE154" s="59">
        <f ca="1">AVERAGE(OFFSET($GD$3,0,0,'Données projet'!$E$17+1,1))-AVERAGE(OFFSET($H$3,0,0,'Données projet'!$E$17+1,1))</f>
        <v>153.43773674911449</v>
      </c>
      <c r="GF154" s="59">
        <f t="shared" si="158"/>
        <v>235.49395036616602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20.208490969868965</v>
      </c>
      <c r="GM154" s="21">
        <f>EXP(-LN(2)/25)*GM153+(1-EXP(-LN(2)/25))/(LN(2)/25)*Calculateur!GH154*Calculateur!GJ154*VLOOKUP('Données projet'!$B$17,Paramètres!$A$1:$I$89,3,0)*0.475*44/12</f>
        <v>6.889170738471238</v>
      </c>
      <c r="GN154" s="21">
        <f>EXP(-LN(2)/2)*GN153+(1-EXP(-LN(2)/2))/(LN(2)/2)*GH154*GK154*VLOOKUP('Données projet'!$B$17,Paramètres!$A$1:$I$89,3,0)*0.475*44/12</f>
        <v>0</v>
      </c>
      <c r="GO154" s="21">
        <f t="shared" ref="GO154:GO203" si="187">SUM(GL154:GN154)</f>
        <v>27.097661708340205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5.6843418860808015E-14</v>
      </c>
      <c r="GV154" s="17">
        <f>GU154*VLOOKUP('Données projet'!$B$18,Paramètres!$A$1:$I$89,3,0)*VLOOKUP('Données projet'!$B$18,Paramètres!$A$1:$I$89,5,0)</f>
        <v>4.5224624045658861E-14</v>
      </c>
      <c r="GW154" s="13">
        <f t="shared" ref="GW154:GW203" si="188">EXP(-1.0587+0.8836*LN(GV154)+0.284)</f>
        <v>7.4514601661523691E-13</v>
      </c>
      <c r="GX154" s="20">
        <f t="shared" ref="GX154:GX203" si="189">(GV154+GW154)*0.475*44/12</f>
        <v>1.3765621991510601E-12</v>
      </c>
      <c r="GY154" s="59">
        <f t="shared" si="137"/>
        <v>293.33333333333468</v>
      </c>
      <c r="GZ154" s="59">
        <f ca="1">AVERAGE(OFFSET($GY$3,0,0,'Données projet'!$E$18+1,1))-AVERAGE(OFFSET($H$3,0,0,'Données projet'!$E$18+1,1))</f>
        <v>198.11534486400666</v>
      </c>
      <c r="HA154" s="59">
        <f t="shared" si="160"/>
        <v>174.29856796517652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>
        <f>EXP(-LN(2)/35)*HG153+(1-EXP(-LN(2)/35))/(LN(2)/35)*HC154*HD154*VLOOKUP('Données projet'!$B$18,Paramètres!$A$1:$I$89,3,0)*0.475*44/12</f>
        <v>19.327850370142841</v>
      </c>
      <c r="HH154" s="21">
        <f>EXP(-LN(2)/25)*HH153+(1-EXP(-LN(2)/25))/(LN(2)/25)*Calculateur!HC154*Calculateur!HE154*VLOOKUP('Données projet'!$B$18,Paramètres!$A$1:$I$89,3,0)*0.475*44/12</f>
        <v>3.5282111844594932</v>
      </c>
      <c r="HI154" s="21">
        <f>EXP(-LN(2)/2)*HI153+(1-EXP(-LN(2)/2))/(LN(2)/2)*HC154*HF154*VLOOKUP('Données projet'!$B$18,Paramètres!$A$1:$I$89,3,0)*0.475*44/12</f>
        <v>4.1894946554619266E-10</v>
      </c>
      <c r="HJ154" s="22">
        <f t="shared" ref="HJ154:HJ203" si="190">SUM(HG154:HI154)</f>
        <v>22.856061555021284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1.1368683772161603E-13</v>
      </c>
      <c r="O155" s="13">
        <f>N155*VLOOKUP('Données projet'!$B$9,Paramètres!$A$1:$I$89,3,0)*VLOOKUP('Données projet'!$B$9,Paramètres!$A$1:$I$89,5,0)</f>
        <v>6.7984728957526396E-14</v>
      </c>
      <c r="P155" s="13">
        <f t="shared" si="141"/>
        <v>1.0682447123141398E-12</v>
      </c>
      <c r="Q155" s="20">
        <f t="shared" si="162"/>
        <v>1.978932943548152E-12</v>
      </c>
      <c r="R155" s="59">
        <f t="shared" si="109"/>
        <v>293.3333333333353</v>
      </c>
      <c r="S155" s="59">
        <f ca="1">AVERAGE(OFFSET($R$3,0,0,'Données projet'!$E$9+1,1))-AVERAGE(OFFSET($H$3,0,0,'Données projet'!$E$9+1,1))</f>
        <v>295.19075440119076</v>
      </c>
      <c r="T155" s="59">
        <f t="shared" si="142"/>
        <v>173.0182327988216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47.75593276334299</v>
      </c>
      <c r="AA155" s="21">
        <f>EXP(-LN(2)/25)*AA154+(1-EXP(-LN(2)/25))/(LN(2)/25)*Calculateur!V155*Calculateur!X155*VLOOKUP('Données projet'!$B$9,Paramètres!$A$1:$I$89,3,0)*0.475*44/12</f>
        <v>15.525997108533936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63.281929871876926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294.45857786714919</v>
      </c>
      <c r="AO155" s="59">
        <f t="shared" si="144"/>
        <v>221.9773436301067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44.078760351935891</v>
      </c>
      <c r="AV155" s="21">
        <f>EXP(-LN(2)/25)*AV154+(1-EXP(-LN(2)/25))/(LN(2)/25)*Calculateur!AQ155*Calculateur!AS155*VLOOKUP('Données projet'!$B$10,Paramètres!$A$1:$I$89,3,0)*0.475*44/12</f>
        <v>13.658142754848043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57.736903106783934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179.44051550872138</v>
      </c>
      <c r="BJ155" s="59">
        <f t="shared" si="146"/>
        <v>272.9500808380069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22.642531186185437</v>
      </c>
      <c r="BQ155" s="21">
        <f>EXP(-LN(2)/25)*BQ154+(1-EXP(-LN(2)/25))/(LN(2)/25)*Calculateur!BL155*Calculateur!BN155*VLOOKUP('Données projet'!$B$11,Paramètres!$A$1:$I$89,3,0)*0.475*44/12</f>
        <v>7.6580411455337174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30.300572331719152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-1.5961632016114892E-13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259.87681411271632</v>
      </c>
      <c r="CE155" s="59">
        <f t="shared" si="148"/>
        <v>191.8684235641158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78.331838228807413</v>
      </c>
      <c r="CL155" s="21">
        <f>EXP(-LN(2)/25)*CL154+(1-EXP(-LN(2)/25))/(LN(2)/25)*Calculateur!CG155*Calculateur!CI155*VLOOKUP('Données projet'!$B$12,Paramètres!$A$1:$I$89,3,0)*0.475*44/12</f>
        <v>25.948365916981523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104.28020414578893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5.6843418860808015E-14</v>
      </c>
      <c r="CU155" s="17">
        <f>CT155*VLOOKUP('Données projet'!$B$13,Paramètres!$A$1:$I$89,3,0)*VLOOKUP('Données projet'!$B$13,Paramètres!$A$1:$I$89,5,0)</f>
        <v>4.5224624045658861E-14</v>
      </c>
      <c r="CV155" s="13">
        <f t="shared" si="173"/>
        <v>7.4514601661523691E-13</v>
      </c>
      <c r="CW155" s="20">
        <f t="shared" si="174"/>
        <v>1.3765621991510601E-12</v>
      </c>
      <c r="CX155" s="59">
        <f t="shared" si="122"/>
        <v>293.33333333333468</v>
      </c>
      <c r="CY155" s="59">
        <f ca="1">AVERAGE(OFFSET($CX$3,0,0,'Données projet'!$E$13+1,1))-AVERAGE(OFFSET($H$3,0,0,'Données projet'!$E$13+1,1))</f>
        <v>198.11534486400666</v>
      </c>
      <c r="CZ155" s="59">
        <f t="shared" si="150"/>
        <v>174.29856796517652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18.948843013209014</v>
      </c>
      <c r="DG155" s="21">
        <f>EXP(-LN(2)/25)*DG154+(1-EXP(-LN(2)/25))/(LN(2)/25)*Calculateur!DB155*Calculateur!DD155*VLOOKUP('Données projet'!$B$13,Paramètres!$A$1:$I$89,3,0)*0.475*44/12</f>
        <v>3.4317320640798861</v>
      </c>
      <c r="DH155" s="21">
        <f>EXP(-LN(2)/2)*DH154+(1-EXP(-LN(2)/2))/(LN(2)/2)*DB155*DE155*VLOOKUP('Données projet'!$B$13,Paramètres!$A$1:$I$89,3,0)*0.475*44/12</f>
        <v>2.9624200806219268E-10</v>
      </c>
      <c r="DI155" s="22">
        <f t="shared" si="175"/>
        <v>22.380575077585142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4.8666666666666663</v>
      </c>
      <c r="DO155" s="12">
        <f>IF('Données projet'!$A$166&gt;35,DO154+DN155-DW154,IF(A155&lt;'Données projet'!$A$166,$DL$205^A155,IF(A155='Données projet'!$A$166,'Données projet'!$B$166,DO154+DN155-DW154)))</f>
        <v>291.13333333333327</v>
      </c>
      <c r="DP155" s="17">
        <f>DO155*VLOOKUP('Données projet'!$B$14,Paramètres!$A$1:$I$89,3,0)*VLOOKUP('Données projet'!$B$14,Paramètres!$A$1:$I$89,5,0)</f>
        <v>295.20919999999995</v>
      </c>
      <c r="DQ155" s="13">
        <f t="shared" si="176"/>
        <v>70.171188739623233</v>
      </c>
      <c r="DR155" s="20">
        <f t="shared" si="177"/>
        <v>636.37084372151037</v>
      </c>
      <c r="DS155" s="59">
        <f t="shared" si="125"/>
        <v>929.70417705484374</v>
      </c>
      <c r="DT155" s="59">
        <f ca="1">AVERAGE(OFFSET($DS$3,0,0,'Données projet'!$E$14+1,1))-AVERAGE(OFFSET($H$3,0,0,'Données projet'!$E$14+1,1))</f>
        <v>247.92503505485405</v>
      </c>
      <c r="DU155" s="59">
        <f t="shared" si="152"/>
        <v>148.26437652597514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18.494609091604389</v>
      </c>
      <c r="EB155" s="21">
        <f>EXP(-LN(2)/25)*EB154+(1-EXP(-LN(2)/25))/(LN(2)/25)*Calculateur!DW155*Calculateur!DY155*VLOOKUP('Données projet'!$B$14,Paramètres!$A$1:$I$89,3,0)*0.475*44/12</f>
        <v>17.618464906312163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36.113073997916551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4.8666666666666663</v>
      </c>
      <c r="EJ155" s="12">
        <f>IF('Données projet'!$A$192&gt;35,EJ154+EI155-ER154,IF(A155&lt;'Données projet'!$A$192,$EG$205^A155,IF(A155='Données projet'!$A$192,'Données projet'!$B$192,EJ154+EI155-ER154)))</f>
        <v>291.13333333333327</v>
      </c>
      <c r="EK155" s="17">
        <f>EJ155*VLOOKUP('Données projet'!$B$15,Paramètres!$A$1:$I$89,3,0)*VLOOKUP('Données projet'!$B$15,Paramètres!$A$1:$I$89,5,0)</f>
        <v>281.58415999999994</v>
      </c>
      <c r="EL155" s="13">
        <f t="shared" si="179"/>
        <v>67.301677424182714</v>
      </c>
      <c r="EM155" s="20">
        <f t="shared" si="180"/>
        <v>607.64283351378481</v>
      </c>
      <c r="EN155" s="59">
        <f t="shared" si="128"/>
        <v>900.97616684711807</v>
      </c>
      <c r="EO155" s="59">
        <f ca="1">AVERAGE(OFFSET($EN$3,0,0,'Données projet'!$E$15+1,1))-AVERAGE(OFFSET($H$3,0,0,'Données projet'!$E$15+1,1))</f>
        <v>232.99870507181964</v>
      </c>
      <c r="EP155" s="59">
        <f t="shared" si="154"/>
        <v>140.07662669226278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17.641011748914952</v>
      </c>
      <c r="EW155" s="21">
        <f>EXP(-LN(2)/25)*EW154+(1-EXP(-LN(2)/25))/(LN(2)/25)*Calculateur!ER155*Calculateur!ET155*VLOOKUP('Données projet'!$B$15,Paramètres!$A$1:$I$89,3,0)*0.475*44/12</f>
        <v>16.8053049875593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34.446316736474252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5.6843418860808015E-14</v>
      </c>
      <c r="FF155" s="17">
        <f>FE155*VLOOKUP('Données projet'!$B$16,Paramètres!$A$1:$I$89,3,0)*VLOOKUP('Données projet'!$B$16,Paramètres!$A$1:$I$89,5,0)</f>
        <v>4.4337866711430253E-14</v>
      </c>
      <c r="FG155" s="13">
        <f t="shared" si="182"/>
        <v>7.3222115536967035E-13</v>
      </c>
      <c r="FH155" s="20">
        <f t="shared" si="183"/>
        <v>1.3525069634579169E-12</v>
      </c>
      <c r="FI155" s="59">
        <f t="shared" si="131"/>
        <v>293.33333333333468</v>
      </c>
      <c r="FJ155" s="59">
        <f ca="1">AVERAGE(OFFSET($FI$3,0,0,'Données projet'!$E$16+1,1))-AVERAGE(OFFSET($H$3,0,0,'Données projet'!$E$16+1,1))</f>
        <v>193.47609744163839</v>
      </c>
      <c r="FK155" s="59">
        <f t="shared" si="156"/>
        <v>170.3221892406973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15.07214668087288</v>
      </c>
      <c r="FR155" s="21">
        <f>EXP(-LN(2)/25)*FR154+(1-EXP(-LN(2)/25))/(LN(2)/25)*Calculateur!FM155*Calculateur!FO155*VLOOKUP('Données projet'!$B$16,Paramètres!$A$1:$I$89,3,0)*0.475*44/12</f>
        <v>2.7296425962899522</v>
      </c>
      <c r="FS155" s="21">
        <f>EXP(-LN(2)/2)*FS154+(1-EXP(-LN(2)/2))/(LN(2)/2)*FM155*FP155*VLOOKUP('Données projet'!$B$16,Paramètres!$A$1:$I$89,3,0)*0.475*44/12</f>
        <v>2.9043334123744425E-10</v>
      </c>
      <c r="FT155" s="22">
        <f t="shared" si="184"/>
        <v>17.801789277453267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>
        <f>FZ155*VLOOKUP('Données projet'!$B$17,Paramètres!$A$1:$I$89,3,0)*VLOOKUP('Données projet'!$B$17,Paramètres!$A$1:$I$89,5,0)</f>
        <v>0</v>
      </c>
      <c r="GB155" s="13" t="e">
        <f t="shared" si="185"/>
        <v>#NUM!</v>
      </c>
      <c r="GC155" s="20" t="e">
        <f t="shared" si="186"/>
        <v>#NUM!</v>
      </c>
      <c r="GD155" s="59" t="e">
        <f t="shared" si="134"/>
        <v>#NUM!</v>
      </c>
      <c r="GE155" s="59">
        <f ca="1">AVERAGE(OFFSET($GD$3,0,0,'Données projet'!$E$17+1,1))-AVERAGE(OFFSET($H$3,0,0,'Données projet'!$E$17+1,1))</f>
        <v>153.43773674911449</v>
      </c>
      <c r="GF155" s="59">
        <f t="shared" si="158"/>
        <v>235.49395036616602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19.812214787912239</v>
      </c>
      <c r="GM155" s="21">
        <f>EXP(-LN(2)/25)*GM154+(1-EXP(-LN(2)/25))/(LN(2)/25)*Calculateur!GH155*Calculateur!GJ155*VLOOKUP('Données projet'!$B$17,Paramètres!$A$1:$I$89,3,0)*0.475*44/12</f>
        <v>6.7007860023419985</v>
      </c>
      <c r="GN155" s="21">
        <f>EXP(-LN(2)/2)*GN154+(1-EXP(-LN(2)/2))/(LN(2)/2)*GH155*GK155*VLOOKUP('Données projet'!$B$17,Paramètres!$A$1:$I$89,3,0)*0.475*44/12</f>
        <v>0</v>
      </c>
      <c r="GO155" s="21">
        <f t="shared" si="187"/>
        <v>26.513000790254239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5.6843418860808015E-14</v>
      </c>
      <c r="GV155" s="17">
        <f>GU155*VLOOKUP('Données projet'!$B$18,Paramètres!$A$1:$I$89,3,0)*VLOOKUP('Données projet'!$B$18,Paramètres!$A$1:$I$89,5,0)</f>
        <v>4.5224624045658861E-14</v>
      </c>
      <c r="GW155" s="13">
        <f t="shared" si="188"/>
        <v>7.4514601661523691E-13</v>
      </c>
      <c r="GX155" s="20">
        <f t="shared" si="189"/>
        <v>1.3765621991510601E-12</v>
      </c>
      <c r="GY155" s="59">
        <f t="shared" si="137"/>
        <v>293.33333333333468</v>
      </c>
      <c r="GZ155" s="59">
        <f ca="1">AVERAGE(OFFSET($GY$3,0,0,'Données projet'!$E$18+1,1))-AVERAGE(OFFSET($H$3,0,0,'Données projet'!$E$18+1,1))</f>
        <v>198.11534486400666</v>
      </c>
      <c r="HA155" s="59">
        <f t="shared" si="160"/>
        <v>174.29856796517652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>
        <f>EXP(-LN(2)/35)*HG154+(1-EXP(-LN(2)/35))/(LN(2)/35)*HC155*HD155*VLOOKUP('Données projet'!$B$18,Paramètres!$A$1:$I$89,3,0)*0.475*44/12</f>
        <v>18.948843013209014</v>
      </c>
      <c r="HH155" s="21">
        <f>EXP(-LN(2)/25)*HH154+(1-EXP(-LN(2)/25))/(LN(2)/25)*Calculateur!HC155*Calculateur!HE155*VLOOKUP('Données projet'!$B$18,Paramètres!$A$1:$I$89,3,0)*0.475*44/12</f>
        <v>3.4317320640798861</v>
      </c>
      <c r="HI155" s="21">
        <f>EXP(-LN(2)/2)*HI154+(1-EXP(-LN(2)/2))/(LN(2)/2)*HC155*HF155*VLOOKUP('Données projet'!$B$18,Paramètres!$A$1:$I$89,3,0)*0.475*44/12</f>
        <v>2.9624200806219268E-10</v>
      </c>
      <c r="HJ155" s="22">
        <f t="shared" si="190"/>
        <v>22.380575077585142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1.1368683772161603E-13</v>
      </c>
      <c r="O156" s="13">
        <f>N156*VLOOKUP('Données projet'!$B$9,Paramètres!$A$1:$I$89,3,0)*VLOOKUP('Données projet'!$B$9,Paramètres!$A$1:$I$89,5,0)</f>
        <v>6.7984728957526396E-14</v>
      </c>
      <c r="P156" s="13">
        <f t="shared" si="141"/>
        <v>1.0682447123141398E-12</v>
      </c>
      <c r="Q156" s="20">
        <f t="shared" si="162"/>
        <v>1.978932943548152E-12</v>
      </c>
      <c r="R156" s="59">
        <f t="shared" si="109"/>
        <v>293.3333333333353</v>
      </c>
      <c r="S156" s="59">
        <f ca="1">AVERAGE(OFFSET($R$3,0,0,'Données projet'!$E$9+1,1))-AVERAGE(OFFSET($H$3,0,0,'Données projet'!$E$9+1,1))</f>
        <v>295.19075440119076</v>
      </c>
      <c r="T156" s="59">
        <f t="shared" si="142"/>
        <v>173.0182327988216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46.819468050096646</v>
      </c>
      <c r="AA156" s="21">
        <f>EXP(-LN(2)/25)*AA155+(1-EXP(-LN(2)/25))/(LN(2)/25)*Calculateur!V156*Calculateur!X156*VLOOKUP('Données projet'!$B$9,Paramètres!$A$1:$I$89,3,0)*0.475*44/12</f>
        <v>15.101437901124372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61.920905951221016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294.45857786714919</v>
      </c>
      <c r="AO156" s="59">
        <f t="shared" si="144"/>
        <v>221.9773436301067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43.214402746823531</v>
      </c>
      <c r="AV156" s="21">
        <f>EXP(-LN(2)/25)*AV155+(1-EXP(-LN(2)/25))/(LN(2)/25)*Calculateur!AQ156*Calculateur!AS156*VLOOKUP('Données projet'!$B$10,Paramètres!$A$1:$I$89,3,0)*0.475*44/12</f>
        <v>13.284660122966212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56.499062869789739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179.44051550872138</v>
      </c>
      <c r="BJ156" s="59">
        <f t="shared" si="146"/>
        <v>272.9500808380069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22.198524960204683</v>
      </c>
      <c r="BQ156" s="21">
        <f>EXP(-LN(2)/25)*BQ155+(1-EXP(-LN(2)/25))/(LN(2)/25)*Calculateur!BL156*Calculateur!BN156*VLOOKUP('Données projet'!$B$11,Paramètres!$A$1:$I$89,3,0)*0.475*44/12</f>
        <v>7.448631607690217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29.6471565678949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-1.5961632016114892E-13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259.87681411271632</v>
      </c>
      <c r="CE156" s="59">
        <f t="shared" si="148"/>
        <v>191.8684235641158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76.795798658844163</v>
      </c>
      <c r="CL156" s="21">
        <f>EXP(-LN(2)/25)*CL155+(1-EXP(-LN(2)/25))/(LN(2)/25)*Calculateur!CG156*Calculateur!CI156*VLOOKUP('Données projet'!$B$12,Paramètres!$A$1:$I$89,3,0)*0.475*44/12</f>
        <v>25.238806486416404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102.03460514526057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5.6843418860808015E-14</v>
      </c>
      <c r="CU156" s="17">
        <f>CT156*VLOOKUP('Données projet'!$B$13,Paramètres!$A$1:$I$89,3,0)*VLOOKUP('Données projet'!$B$13,Paramètres!$A$1:$I$89,5,0)</f>
        <v>4.5224624045658861E-14</v>
      </c>
      <c r="CV156" s="13">
        <f t="shared" si="173"/>
        <v>7.4514601661523691E-13</v>
      </c>
      <c r="CW156" s="20">
        <f t="shared" si="174"/>
        <v>1.3765621991510601E-12</v>
      </c>
      <c r="CX156" s="59">
        <f t="shared" si="122"/>
        <v>293.33333333333468</v>
      </c>
      <c r="CY156" s="59">
        <f ca="1">AVERAGE(OFFSET($CX$3,0,0,'Données projet'!$E$13+1,1))-AVERAGE(OFFSET($H$3,0,0,'Données projet'!$E$13+1,1))</f>
        <v>198.11534486400666</v>
      </c>
      <c r="CZ156" s="59">
        <f t="shared" si="150"/>
        <v>174.29856796517652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18.577267759373001</v>
      </c>
      <c r="DG156" s="21">
        <f>EXP(-LN(2)/25)*DG155+(1-EXP(-LN(2)/25))/(LN(2)/25)*Calculateur!DB156*Calculateur!DD156*VLOOKUP('Données projet'!$B$13,Paramètres!$A$1:$I$89,3,0)*0.475*44/12</f>
        <v>3.3378911703206757</v>
      </c>
      <c r="DH156" s="21">
        <f>EXP(-LN(2)/2)*DH155+(1-EXP(-LN(2)/2))/(LN(2)/2)*DB156*DE156*VLOOKUP('Données projet'!$B$13,Paramètres!$A$1:$I$89,3,0)*0.475*44/12</f>
        <v>2.0947473277309633E-10</v>
      </c>
      <c r="DI156" s="22">
        <f t="shared" si="175"/>
        <v>21.91515892990315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>
        <f>VLOOKUP(A156,'Données projet'!$A$165:$I$185,2,0)</f>
        <v>296</v>
      </c>
      <c r="DM156" s="12">
        <f>VLOOKUP(A156,'Données projet'!$A$165:$I$185,9,0)</f>
        <v>4.8666666666666663</v>
      </c>
      <c r="DN156" s="12">
        <f t="array" ref="DN156">INDEX(DM:DM,MIN(IF(ISNUMBER(DM156:DM352),ROW(DM156:DM352),"")))</f>
        <v>4.8666666666666663</v>
      </c>
      <c r="DO156" s="12">
        <f>IF('Données projet'!$A$166&gt;35,DO155+DN156-DW155,IF(A156&lt;'Données projet'!$A$166,$DL$205^A156,IF(A156='Données projet'!$A$166,'Données projet'!$B$166,DO155+DN156-DW155)))</f>
        <v>295.99999999999994</v>
      </c>
      <c r="DP156" s="17">
        <f>DO156*VLOOKUP('Données projet'!$B$14,Paramètres!$A$1:$I$89,3,0)*VLOOKUP('Données projet'!$B$14,Paramètres!$A$1:$I$89,5,0)</f>
        <v>300.14399999999995</v>
      </c>
      <c r="DQ156" s="13">
        <f t="shared" si="176"/>
        <v>71.206650563609855</v>
      </c>
      <c r="DR156" s="20">
        <f t="shared" si="177"/>
        <v>646.76904973162038</v>
      </c>
      <c r="DS156" s="59">
        <f t="shared" si="125"/>
        <v>940.10238306495376</v>
      </c>
      <c r="DT156" s="59">
        <f ca="1">AVERAGE(OFFSET($DS$3,0,0,'Données projet'!$E$14+1,1))-AVERAGE(OFFSET($H$3,0,0,'Données projet'!$E$14+1,1))</f>
        <v>247.92503505485405</v>
      </c>
      <c r="DU156" s="59">
        <f t="shared" si="152"/>
        <v>148.26437652597514</v>
      </c>
      <c r="DV156" s="15" t="str">
        <f>IF(ISNA(VLOOKUP(A156,'Données projet'!$A$165:$I$185,3,0)),0,VLOOKUP(A156,'Données projet'!$A$165:$I$185,3,0))</f>
        <v>CR</v>
      </c>
      <c r="DW156" s="15">
        <f>IF(ISNA(VLOOKUP(A156,'Données projet'!$A$165:$I$185,4,0)),0,VLOOKUP(A156,'Données projet'!$A$165:$I$185,4,0))</f>
        <v>296</v>
      </c>
      <c r="DX156" s="16">
        <f>IF(ISNA(VLOOKUP(A156,'Données projet'!$A$165:$I$185,5,0)),0%,VLOOKUP(A156,'Données projet'!$A$165:$I$185,5,0)*VLOOKUP('Données projet'!$B$14,Paramètres!$A$1:$I$89,7,0))</f>
        <v>0.25800000000000001</v>
      </c>
      <c r="DY156" s="16">
        <f>IF(ISNA(VLOOKUP(A156,'Données projet'!$A$165:$I$185,6,0)),0%,VLOOKUP(A156,'Données projet'!$A$165:$I$185,6,0)*VLOOKUP('Données projet'!$B$14,Paramètres!$A$1:$I$89,7,0))</f>
        <v>0.129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103.73641889930647</v>
      </c>
      <c r="EB156" s="21">
        <f>EXP(-LN(2)/25)*EB155+(1-EXP(-LN(2)/25))/(LN(2)/25)*Calculateur!DW156*Calculateur!DY156*VLOOKUP('Données projet'!$B$14,Paramètres!$A$1:$I$89,3,0)*0.475*44/12</f>
        <v>59.770397239126282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163.50681613843275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>
        <f>VLOOKUP(A156,'Données projet'!$A$191:$I$211,2,0)</f>
        <v>296</v>
      </c>
      <c r="EH156" s="12">
        <f>VLOOKUP(A156,'Données projet'!$A$191:$I$211,9,0)</f>
        <v>4.8666666666666663</v>
      </c>
      <c r="EI156" s="12">
        <f t="array" ref="EI156">INDEX(EH:EH,MIN(IF(ISNUMBER(EH156:EH352),ROW(EH156:EH352),"")))</f>
        <v>4.8666666666666663</v>
      </c>
      <c r="EJ156" s="12">
        <f>IF('Données projet'!$A$192&gt;35,EJ155+EI156-ER155,IF(A156&lt;'Données projet'!$A$192,$EG$205^A156,IF(A156='Données projet'!$A$192,'Données projet'!$B$192,EJ155+EI156-ER155)))</f>
        <v>295.99999999999994</v>
      </c>
      <c r="EK156" s="17">
        <f>EJ156*VLOOKUP('Données projet'!$B$15,Paramètres!$A$1:$I$89,3,0)*VLOOKUP('Données projet'!$B$15,Paramètres!$A$1:$I$89,5,0)</f>
        <v>286.29119999999995</v>
      </c>
      <c r="EL156" s="13">
        <f t="shared" si="179"/>
        <v>68.294796094604408</v>
      </c>
      <c r="EM156" s="20">
        <f t="shared" si="180"/>
        <v>617.57060986476915</v>
      </c>
      <c r="EN156" s="59">
        <f t="shared" si="128"/>
        <v>910.90394319810252</v>
      </c>
      <c r="EO156" s="59">
        <f ca="1">AVERAGE(OFFSET($EN$3,0,0,'Données projet'!$E$15+1,1))-AVERAGE(OFFSET($H$3,0,0,'Données projet'!$E$15+1,1))</f>
        <v>232.99870507181964</v>
      </c>
      <c r="EP156" s="59">
        <f t="shared" si="154"/>
        <v>140.07662669226278</v>
      </c>
      <c r="EQ156" s="15" t="str">
        <f>IF(ISNA(VLOOKUP(A156,'Données projet'!$A$191:$I$211,3,0)),0,VLOOKUP(A156,'Données projet'!$A$191:$I$211,3,0))</f>
        <v>CR</v>
      </c>
      <c r="ER156" s="15">
        <f>IF(ISNA(VLOOKUP(A156,'Données projet'!$A$191:$I$211,4,0)),0,VLOOKUP(A156,'Données projet'!$A$191:$I$211,4,0))</f>
        <v>296</v>
      </c>
      <c r="ES156" s="16">
        <f>IF(ISNA(VLOOKUP(A156,'Données projet'!$A$191:$I$211,5,0)),0%,VLOOKUP(A156,'Données projet'!$A$191:$I$211,5,0)*VLOOKUP('Données projet'!$B$15,Paramètres!$A$1:$I$89,7,0))</f>
        <v>0.25800000000000001</v>
      </c>
      <c r="ET156" s="16">
        <f>IF(ISNA(VLOOKUP(A156,'Données projet'!$A$191:$I$211,6,0)),0%,VLOOKUP(A156,'Données projet'!$A$191:$I$211,6,0)*VLOOKUP('Données projet'!$B$15,Paramètres!$A$1:$I$89,7,0))</f>
        <v>0.129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98.948584180876921</v>
      </c>
      <c r="EW156" s="21">
        <f>EXP(-LN(2)/25)*EW155+(1-EXP(-LN(2)/25))/(LN(2)/25)*Calculateur!ER156*Calculateur!ET156*VLOOKUP('Données projet'!$B$15,Paramètres!$A$1:$I$89,3,0)*0.475*44/12</f>
        <v>57.01176352039738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155.96034770127432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5.6843418860808015E-14</v>
      </c>
      <c r="FF156" s="17">
        <f>FE156*VLOOKUP('Données projet'!$B$16,Paramètres!$A$1:$I$89,3,0)*VLOOKUP('Données projet'!$B$16,Paramètres!$A$1:$I$89,5,0)</f>
        <v>4.4337866711430253E-14</v>
      </c>
      <c r="FG156" s="13">
        <f t="shared" si="182"/>
        <v>7.3222115536967035E-13</v>
      </c>
      <c r="FH156" s="20">
        <f t="shared" si="183"/>
        <v>1.3525069634579169E-12</v>
      </c>
      <c r="FI156" s="59">
        <f t="shared" si="131"/>
        <v>293.33333333333468</v>
      </c>
      <c r="FJ156" s="59">
        <f ca="1">AVERAGE(OFFSET($FI$3,0,0,'Données projet'!$E$16+1,1))-AVERAGE(OFFSET($H$3,0,0,'Données projet'!$E$16+1,1))</f>
        <v>193.47609744163839</v>
      </c>
      <c r="FK156" s="59">
        <f t="shared" si="156"/>
        <v>170.3221892406973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14.776591077562694</v>
      </c>
      <c r="FR156" s="21">
        <f>EXP(-LN(2)/25)*FR155+(1-EXP(-LN(2)/25))/(LN(2)/25)*Calculateur!FM156*Calculateur!FO156*VLOOKUP('Données projet'!$B$16,Paramètres!$A$1:$I$89,3,0)*0.475*44/12</f>
        <v>2.6550003759487382</v>
      </c>
      <c r="FS156" s="21">
        <f>EXP(-LN(2)/2)*FS155+(1-EXP(-LN(2)/2))/(LN(2)/2)*FM156*FP156*VLOOKUP('Données projet'!$B$16,Paramètres!$A$1:$I$89,3,0)*0.475*44/12</f>
        <v>2.0536738507166338E-10</v>
      </c>
      <c r="FT156" s="22">
        <f t="shared" si="184"/>
        <v>17.431591453716798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>
        <f>FZ156*VLOOKUP('Données projet'!$B$17,Paramètres!$A$1:$I$89,3,0)*VLOOKUP('Données projet'!$B$17,Paramètres!$A$1:$I$89,5,0)</f>
        <v>0</v>
      </c>
      <c r="GB156" s="13" t="e">
        <f t="shared" si="185"/>
        <v>#NUM!</v>
      </c>
      <c r="GC156" s="20" t="e">
        <f t="shared" si="186"/>
        <v>#NUM!</v>
      </c>
      <c r="GD156" s="59" t="e">
        <f t="shared" si="134"/>
        <v>#NUM!</v>
      </c>
      <c r="GE156" s="59">
        <f ca="1">AVERAGE(OFFSET($GD$3,0,0,'Données projet'!$E$17+1,1))-AVERAGE(OFFSET($H$3,0,0,'Données projet'!$E$17+1,1))</f>
        <v>153.43773674911449</v>
      </c>
      <c r="GF156" s="59">
        <f t="shared" si="158"/>
        <v>235.49395036616602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19.42370934017908</v>
      </c>
      <c r="GM156" s="21">
        <f>EXP(-LN(2)/25)*GM155+(1-EXP(-LN(2)/25))/(LN(2)/25)*Calculateur!GH156*Calculateur!GJ156*VLOOKUP('Données projet'!$B$17,Paramètres!$A$1:$I$89,3,0)*0.475*44/12</f>
        <v>6.5175526567289355</v>
      </c>
      <c r="GN156" s="21">
        <f>EXP(-LN(2)/2)*GN155+(1-EXP(-LN(2)/2))/(LN(2)/2)*GH156*GK156*VLOOKUP('Données projet'!$B$17,Paramètres!$A$1:$I$89,3,0)*0.475*44/12</f>
        <v>0</v>
      </c>
      <c r="GO156" s="21">
        <f t="shared" si="187"/>
        <v>25.941261996908015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5.6843418860808015E-14</v>
      </c>
      <c r="GV156" s="17">
        <f>GU156*VLOOKUP('Données projet'!$B$18,Paramètres!$A$1:$I$89,3,0)*VLOOKUP('Données projet'!$B$18,Paramètres!$A$1:$I$89,5,0)</f>
        <v>4.5224624045658861E-14</v>
      </c>
      <c r="GW156" s="13">
        <f t="shared" si="188"/>
        <v>7.4514601661523691E-13</v>
      </c>
      <c r="GX156" s="20">
        <f t="shared" si="189"/>
        <v>1.3765621991510601E-12</v>
      </c>
      <c r="GY156" s="59">
        <f t="shared" si="137"/>
        <v>293.33333333333468</v>
      </c>
      <c r="GZ156" s="59">
        <f ca="1">AVERAGE(OFFSET($GY$3,0,0,'Données projet'!$E$18+1,1))-AVERAGE(OFFSET($H$3,0,0,'Données projet'!$E$18+1,1))</f>
        <v>198.11534486400666</v>
      </c>
      <c r="HA156" s="59">
        <f t="shared" si="160"/>
        <v>174.29856796517652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>
        <f>EXP(-LN(2)/35)*HG155+(1-EXP(-LN(2)/35))/(LN(2)/35)*HC156*HD156*VLOOKUP('Données projet'!$B$18,Paramètres!$A$1:$I$89,3,0)*0.475*44/12</f>
        <v>18.577267759373001</v>
      </c>
      <c r="HH156" s="21">
        <f>EXP(-LN(2)/25)*HH155+(1-EXP(-LN(2)/25))/(LN(2)/25)*Calculateur!HC156*Calculateur!HE156*VLOOKUP('Données projet'!$B$18,Paramètres!$A$1:$I$89,3,0)*0.475*44/12</f>
        <v>3.3378911703206757</v>
      </c>
      <c r="HI156" s="21">
        <f>EXP(-LN(2)/2)*HI155+(1-EXP(-LN(2)/2))/(LN(2)/2)*HC156*HF156*VLOOKUP('Données projet'!$B$18,Paramètres!$A$1:$I$89,3,0)*0.475*44/12</f>
        <v>2.0947473277309633E-10</v>
      </c>
      <c r="HJ156" s="22">
        <f t="shared" si="190"/>
        <v>21.91515892990315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1.1368683772161603E-13</v>
      </c>
      <c r="O157" s="13">
        <f>N157*VLOOKUP('Données projet'!$B$9,Paramètres!$A$1:$I$89,3,0)*VLOOKUP('Données projet'!$B$9,Paramètres!$A$1:$I$89,5,0)</f>
        <v>6.7984728957526396E-14</v>
      </c>
      <c r="P157" s="13">
        <f t="shared" si="141"/>
        <v>1.0682447123141398E-12</v>
      </c>
      <c r="Q157" s="20">
        <f t="shared" si="162"/>
        <v>1.978932943548152E-12</v>
      </c>
      <c r="R157" s="59">
        <f t="shared" si="109"/>
        <v>293.3333333333353</v>
      </c>
      <c r="S157" s="59">
        <f ca="1">AVERAGE(OFFSET($R$3,0,0,'Données projet'!$E$9+1,1))-AVERAGE(OFFSET($H$3,0,0,'Données projet'!$E$9+1,1))</f>
        <v>295.19075440119076</v>
      </c>
      <c r="T157" s="59">
        <f t="shared" si="142"/>
        <v>173.0182327988216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45.901366838689988</v>
      </c>
      <c r="AA157" s="21">
        <f>EXP(-LN(2)/25)*AA156+(1-EXP(-LN(2)/25))/(LN(2)/25)*Calculateur!V157*Calculateur!X157*VLOOKUP('Données projet'!$B$9,Paramètres!$A$1:$I$89,3,0)*0.475*44/12</f>
        <v>14.688488287568022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60.589855126258009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294.45857786714919</v>
      </c>
      <c r="AO157" s="59">
        <f t="shared" si="144"/>
        <v>221.9773436301067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42.366994667141341</v>
      </c>
      <c r="AV157" s="21">
        <f>EXP(-LN(2)/25)*AV156+(1-EXP(-LN(2)/25))/(LN(2)/25)*Calculateur!AQ157*Calculateur!AS157*VLOOKUP('Données projet'!$B$10,Paramètres!$A$1:$I$89,3,0)*0.475*44/12</f>
        <v>12.921390393293787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55.288385060435132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179.44051550872138</v>
      </c>
      <c r="BJ157" s="59">
        <f t="shared" si="146"/>
        <v>272.9500808380069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21.763225425498355</v>
      </c>
      <c r="BQ157" s="21">
        <f>EXP(-LN(2)/25)*BQ156+(1-EXP(-LN(2)/25))/(LN(2)/25)*Calculateur!BL157*Calculateur!BN157*VLOOKUP('Données projet'!$B$11,Paramètres!$A$1:$I$89,3,0)*0.475*44/12</f>
        <v>7.2449483846714156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29.008173810169772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-1.5961632016114892E-13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259.87681411271632</v>
      </c>
      <c r="CE157" s="59">
        <f t="shared" si="148"/>
        <v>191.8684235641158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75.289879887956261</v>
      </c>
      <c r="CL157" s="21">
        <f>EXP(-LN(2)/25)*CL156+(1-EXP(-LN(2)/25))/(LN(2)/25)*Calculateur!CG157*Calculateur!CI157*VLOOKUP('Données projet'!$B$12,Paramètres!$A$1:$I$89,3,0)*0.475*44/12</f>
        <v>24.5486499957942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99.838529883750454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5.6843418860808015E-14</v>
      </c>
      <c r="CU157" s="17">
        <f>CT157*VLOOKUP('Données projet'!$B$13,Paramètres!$A$1:$I$89,3,0)*VLOOKUP('Données projet'!$B$13,Paramètres!$A$1:$I$89,5,0)</f>
        <v>4.5224624045658861E-14</v>
      </c>
      <c r="CV157" s="13">
        <f t="shared" si="173"/>
        <v>7.4514601661523691E-13</v>
      </c>
      <c r="CW157" s="20">
        <f t="shared" si="174"/>
        <v>1.3765621991510601E-12</v>
      </c>
      <c r="CX157" s="59">
        <f t="shared" si="122"/>
        <v>293.33333333333468</v>
      </c>
      <c r="CY157" s="59">
        <f ca="1">AVERAGE(OFFSET($CX$3,0,0,'Données projet'!$E$13+1,1))-AVERAGE(OFFSET($H$3,0,0,'Données projet'!$E$13+1,1))</f>
        <v>198.11534486400666</v>
      </c>
      <c r="CZ157" s="59">
        <f t="shared" si="150"/>
        <v>174.29856796517652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18.212978869626184</v>
      </c>
      <c r="DG157" s="21">
        <f>EXP(-LN(2)/25)*DG156+(1-EXP(-LN(2)/25))/(LN(2)/25)*Calculateur!DB157*Calculateur!DD157*VLOOKUP('Données projet'!$B$13,Paramètres!$A$1:$I$89,3,0)*0.475*44/12</f>
        <v>3.2466163607361889</v>
      </c>
      <c r="DH157" s="21">
        <f>EXP(-LN(2)/2)*DH156+(1-EXP(-LN(2)/2))/(LN(2)/2)*DB157*DE157*VLOOKUP('Données projet'!$B$13,Paramètres!$A$1:$I$89,3,0)*0.475*44/12</f>
        <v>1.4812100403109634E-10</v>
      </c>
      <c r="DI157" s="22">
        <f t="shared" si="175"/>
        <v>21.459595230510494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-5.6843418860808015E-14</v>
      </c>
      <c r="DP157" s="17">
        <f>DO157*VLOOKUP('Données projet'!$B$14,Paramètres!$A$1:$I$89,3,0)*VLOOKUP('Données projet'!$B$14,Paramètres!$A$1:$I$89,5,0)</f>
        <v>-5.7639226724859328E-14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247.92503505485405</v>
      </c>
      <c r="DU157" s="59">
        <f t="shared" si="152"/>
        <v>148.26437652597514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101.70221099765891</v>
      </c>
      <c r="EB157" s="21">
        <f>EXP(-LN(2)/25)*EB156+(1-EXP(-LN(2)/25))/(LN(2)/25)*Calculateur!DW157*Calculateur!DY157*VLOOKUP('Données projet'!$B$14,Paramètres!$A$1:$I$89,3,0)*0.475*44/12</f>
        <v>58.135972583433791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159.83818358109269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-5.6843418860808015E-14</v>
      </c>
      <c r="EK157" s="17">
        <f>EJ157*VLOOKUP('Données projet'!$B$15,Paramètres!$A$1:$I$89,3,0)*VLOOKUP('Données projet'!$B$15,Paramètres!$A$1:$I$89,5,0)</f>
        <v>-5.4978954722173515E-14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232.99870507181964</v>
      </c>
      <c r="EP157" s="59">
        <f t="shared" si="154"/>
        <v>140.07662669226278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97.008262797766946</v>
      </c>
      <c r="EW157" s="21">
        <f>EXP(-LN(2)/25)*EW156+(1-EXP(-LN(2)/25))/(LN(2)/25)*Calculateur!ER157*Calculateur!ET157*VLOOKUP('Données projet'!$B$15,Paramètres!$A$1:$I$89,3,0)*0.475*44/12</f>
        <v>55.45277384881377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152.46103664658071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5.6843418860808015E-14</v>
      </c>
      <c r="FF157" s="17">
        <f>FE157*VLOOKUP('Données projet'!$B$16,Paramètres!$A$1:$I$89,3,0)*VLOOKUP('Données projet'!$B$16,Paramètres!$A$1:$I$89,5,0)</f>
        <v>4.4337866711430253E-14</v>
      </c>
      <c r="FG157" s="13">
        <f t="shared" si="182"/>
        <v>7.3222115536967035E-13</v>
      </c>
      <c r="FH157" s="20">
        <f t="shared" si="183"/>
        <v>1.3525069634579169E-12</v>
      </c>
      <c r="FI157" s="59">
        <f t="shared" si="131"/>
        <v>293.33333333333468</v>
      </c>
      <c r="FJ157" s="59">
        <f ca="1">AVERAGE(OFFSET($FI$3,0,0,'Données projet'!$E$16+1,1))-AVERAGE(OFFSET($H$3,0,0,'Données projet'!$E$16+1,1))</f>
        <v>193.47609744163839</v>
      </c>
      <c r="FK157" s="59">
        <f t="shared" si="156"/>
        <v>170.3221892406973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14.486831139362303</v>
      </c>
      <c r="FR157" s="21">
        <f>EXP(-LN(2)/25)*FR156+(1-EXP(-LN(2)/25))/(LN(2)/25)*Calculateur!FM157*Calculateur!FO157*VLOOKUP('Données projet'!$B$16,Paramètres!$A$1:$I$89,3,0)*0.475*44/12</f>
        <v>2.582399251048018</v>
      </c>
      <c r="FS157" s="21">
        <f>EXP(-LN(2)/2)*FS156+(1-EXP(-LN(2)/2))/(LN(2)/2)*FM157*FP157*VLOOKUP('Données projet'!$B$16,Paramètres!$A$1:$I$89,3,0)*0.475*44/12</f>
        <v>1.4521667061872212E-10</v>
      </c>
      <c r="FT157" s="22">
        <f t="shared" si="184"/>
        <v>17.069230390555539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>
        <f>FZ157*VLOOKUP('Données projet'!$B$17,Paramètres!$A$1:$I$89,3,0)*VLOOKUP('Données projet'!$B$17,Paramètres!$A$1:$I$89,5,0)</f>
        <v>0</v>
      </c>
      <c r="GB157" s="13" t="e">
        <f t="shared" si="185"/>
        <v>#NUM!</v>
      </c>
      <c r="GC157" s="20" t="e">
        <f t="shared" si="186"/>
        <v>#NUM!</v>
      </c>
      <c r="GD157" s="59" t="e">
        <f t="shared" si="134"/>
        <v>#NUM!</v>
      </c>
      <c r="GE157" s="59">
        <f ca="1">AVERAGE(OFFSET($GD$3,0,0,'Données projet'!$E$17+1,1))-AVERAGE(OFFSET($H$3,0,0,'Données projet'!$E$17+1,1))</f>
        <v>153.43773674911449</v>
      </c>
      <c r="GF157" s="59">
        <f t="shared" si="158"/>
        <v>235.49395036616602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19.042822247311044</v>
      </c>
      <c r="GM157" s="21">
        <f>EXP(-LN(2)/25)*GM156+(1-EXP(-LN(2)/25))/(LN(2)/25)*Calculateur!GH157*Calculateur!GJ157*VLOOKUP('Données projet'!$B$17,Paramètres!$A$1:$I$89,3,0)*0.475*44/12</f>
        <v>6.3393298365874848</v>
      </c>
      <c r="GN157" s="21">
        <f>EXP(-LN(2)/2)*GN156+(1-EXP(-LN(2)/2))/(LN(2)/2)*GH157*GK157*VLOOKUP('Données projet'!$B$17,Paramètres!$A$1:$I$89,3,0)*0.475*44/12</f>
        <v>0</v>
      </c>
      <c r="GO157" s="21">
        <f t="shared" si="187"/>
        <v>25.382152083898529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5.6843418860808015E-14</v>
      </c>
      <c r="GV157" s="17">
        <f>GU157*VLOOKUP('Données projet'!$B$18,Paramètres!$A$1:$I$89,3,0)*VLOOKUP('Données projet'!$B$18,Paramètres!$A$1:$I$89,5,0)</f>
        <v>4.5224624045658861E-14</v>
      </c>
      <c r="GW157" s="13">
        <f t="shared" si="188"/>
        <v>7.4514601661523691E-13</v>
      </c>
      <c r="GX157" s="20">
        <f t="shared" si="189"/>
        <v>1.3765621991510601E-12</v>
      </c>
      <c r="GY157" s="59">
        <f t="shared" si="137"/>
        <v>293.33333333333468</v>
      </c>
      <c r="GZ157" s="59">
        <f ca="1">AVERAGE(OFFSET($GY$3,0,0,'Données projet'!$E$18+1,1))-AVERAGE(OFFSET($H$3,0,0,'Données projet'!$E$18+1,1))</f>
        <v>198.11534486400666</v>
      </c>
      <c r="HA157" s="59">
        <f t="shared" si="160"/>
        <v>174.29856796517652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>
        <f>EXP(-LN(2)/35)*HG156+(1-EXP(-LN(2)/35))/(LN(2)/35)*HC157*HD157*VLOOKUP('Données projet'!$B$18,Paramètres!$A$1:$I$89,3,0)*0.475*44/12</f>
        <v>18.212978869626184</v>
      </c>
      <c r="HH157" s="21">
        <f>EXP(-LN(2)/25)*HH156+(1-EXP(-LN(2)/25))/(LN(2)/25)*Calculateur!HC157*Calculateur!HE157*VLOOKUP('Données projet'!$B$18,Paramètres!$A$1:$I$89,3,0)*0.475*44/12</f>
        <v>3.2466163607361889</v>
      </c>
      <c r="HI157" s="21">
        <f>EXP(-LN(2)/2)*HI156+(1-EXP(-LN(2)/2))/(LN(2)/2)*HC157*HF157*VLOOKUP('Données projet'!$B$18,Paramètres!$A$1:$I$89,3,0)*0.475*44/12</f>
        <v>1.4812100403109634E-10</v>
      </c>
      <c r="HJ157" s="22">
        <f t="shared" si="190"/>
        <v>21.459595230510494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1.1368683772161603E-13</v>
      </c>
      <c r="O158" s="13">
        <f>N158*VLOOKUP('Données projet'!$B$9,Paramètres!$A$1:$I$89,3,0)*VLOOKUP('Données projet'!$B$9,Paramètres!$A$1:$I$89,5,0)</f>
        <v>6.7984728957526396E-14</v>
      </c>
      <c r="P158" s="13">
        <f t="shared" si="141"/>
        <v>1.0682447123141398E-12</v>
      </c>
      <c r="Q158" s="20">
        <f t="shared" si="162"/>
        <v>1.978932943548152E-12</v>
      </c>
      <c r="R158" s="59">
        <f t="shared" si="109"/>
        <v>293.3333333333353</v>
      </c>
      <c r="S158" s="59">
        <f ca="1">AVERAGE(OFFSET($R$3,0,0,'Données projet'!$E$9+1,1))-AVERAGE(OFFSET($H$3,0,0,'Données projet'!$E$9+1,1))</f>
        <v>295.19075440119076</v>
      </c>
      <c r="T158" s="59">
        <f t="shared" si="142"/>
        <v>173.0182327988216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45.001269032052569</v>
      </c>
      <c r="AA158" s="21">
        <f>EXP(-LN(2)/25)*AA157+(1-EXP(-LN(2)/25))/(LN(2)/25)*Calculateur!V158*Calculateur!X158*VLOOKUP('Données projet'!$B$9,Paramètres!$A$1:$I$89,3,0)*0.475*44/12</f>
        <v>14.286830802910446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59.288099834963013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294.45857786714919</v>
      </c>
      <c r="AO158" s="59">
        <f t="shared" si="144"/>
        <v>221.9773436301067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41.53620374303383</v>
      </c>
      <c r="AV158" s="21">
        <f>EXP(-LN(2)/25)*AV157+(1-EXP(-LN(2)/25))/(LN(2)/25)*Calculateur!AQ158*Calculateur!AS158*VLOOKUP('Données projet'!$B$10,Paramètres!$A$1:$I$89,3,0)*0.475*44/12</f>
        <v>12.568054293482779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54.104258036516612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179.44051550872138</v>
      </c>
      <c r="BJ158" s="59">
        <f t="shared" si="146"/>
        <v>272.9500808380069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21.336461849161118</v>
      </c>
      <c r="BQ158" s="21">
        <f>EXP(-LN(2)/25)*BQ157+(1-EXP(-LN(2)/25))/(LN(2)/25)*Calculateur!BL158*Calculateur!BN158*VLOOKUP('Données projet'!$B$11,Paramètres!$A$1:$I$89,3,0)*0.475*44/12</f>
        <v>7.0468348900972986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28.383296739258416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-1.5961632016114892E-13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259.87681411271632</v>
      </c>
      <c r="CE158" s="59">
        <f t="shared" si="148"/>
        <v>191.8684235641158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73.813491265645723</v>
      </c>
      <c r="CL158" s="21">
        <f>EXP(-LN(2)/25)*CL157+(1-EXP(-LN(2)/25))/(LN(2)/25)*Calculateur!CG158*Calculateur!CI158*VLOOKUP('Données projet'!$B$12,Paramètres!$A$1:$I$89,3,0)*0.475*44/12</f>
        <v>23.877365870701812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97.690857136347532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5.6843418860808015E-14</v>
      </c>
      <c r="CU158" s="17">
        <f>CT158*VLOOKUP('Données projet'!$B$13,Paramètres!$A$1:$I$89,3,0)*VLOOKUP('Données projet'!$B$13,Paramètres!$A$1:$I$89,5,0)</f>
        <v>4.5224624045658861E-14</v>
      </c>
      <c r="CV158" s="13">
        <f t="shared" si="173"/>
        <v>7.4514601661523691E-13</v>
      </c>
      <c r="CW158" s="20">
        <f t="shared" si="174"/>
        <v>1.3765621991510601E-12</v>
      </c>
      <c r="CX158" s="59">
        <f t="shared" si="122"/>
        <v>293.33333333333468</v>
      </c>
      <c r="CY158" s="59">
        <f ca="1">AVERAGE(OFFSET($CX$3,0,0,'Données projet'!$E$13+1,1))-AVERAGE(OFFSET($H$3,0,0,'Données projet'!$E$13+1,1))</f>
        <v>198.11534486400666</v>
      </c>
      <c r="CZ158" s="59">
        <f t="shared" si="150"/>
        <v>174.29856796517652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17.85583346281302</v>
      </c>
      <c r="DG158" s="21">
        <f>EXP(-LN(2)/25)*DG157+(1-EXP(-LN(2)/25))/(LN(2)/25)*Calculateur!DB158*Calculateur!DD158*VLOOKUP('Données projet'!$B$13,Paramètres!$A$1:$I$89,3,0)*0.475*44/12</f>
        <v>3.1578374656197234</v>
      </c>
      <c r="DH158" s="21">
        <f>EXP(-LN(2)/2)*DH157+(1-EXP(-LN(2)/2))/(LN(2)/2)*DB158*DE158*VLOOKUP('Données projet'!$B$13,Paramètres!$A$1:$I$89,3,0)*0.475*44/12</f>
        <v>1.0473736638654817E-10</v>
      </c>
      <c r="DI158" s="22">
        <f t="shared" si="175"/>
        <v>21.013670928537483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-5.6843418860808015E-14</v>
      </c>
      <c r="DP158" s="17">
        <f>DO158*VLOOKUP('Données projet'!$B$14,Paramètres!$A$1:$I$89,3,0)*VLOOKUP('Données projet'!$B$14,Paramètres!$A$1:$I$89,5,0)</f>
        <v>-5.7639226724859328E-14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247.92503505485405</v>
      </c>
      <c r="DU158" s="59">
        <f t="shared" si="152"/>
        <v>148.26437652597514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99.70789267221835</v>
      </c>
      <c r="EB158" s="21">
        <f>EXP(-LN(2)/25)*EB157+(1-EXP(-LN(2)/25))/(LN(2)/25)*Calculateur!DW158*Calculateur!DY158*VLOOKUP('Données projet'!$B$14,Paramètres!$A$1:$I$89,3,0)*0.475*44/12</f>
        <v>56.54624135590187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156.25413402812023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-5.6843418860808015E-14</v>
      </c>
      <c r="EK158" s="17">
        <f>EJ158*VLOOKUP('Données projet'!$B$15,Paramètres!$A$1:$I$89,3,0)*VLOOKUP('Données projet'!$B$15,Paramètres!$A$1:$I$89,5,0)</f>
        <v>-5.4978954722173515E-14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232.99870507181964</v>
      </c>
      <c r="EP158" s="59">
        <f t="shared" si="154"/>
        <v>140.07662669226278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95.105989933500567</v>
      </c>
      <c r="EW158" s="21">
        <f>EXP(-LN(2)/25)*EW157+(1-EXP(-LN(2)/25))/(LN(2)/25)*Calculateur!ER158*Calculateur!ET158*VLOOKUP('Données projet'!$B$15,Paramètres!$A$1:$I$89,3,0)*0.475*44/12</f>
        <v>53.936414831783317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149.04240476528389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5.6843418860808015E-14</v>
      </c>
      <c r="FF158" s="17">
        <f>FE158*VLOOKUP('Données projet'!$B$16,Paramètres!$A$1:$I$89,3,0)*VLOOKUP('Données projet'!$B$16,Paramètres!$A$1:$I$89,5,0)</f>
        <v>4.4337866711430253E-14</v>
      </c>
      <c r="FG158" s="13">
        <f t="shared" si="182"/>
        <v>7.3222115536967035E-13</v>
      </c>
      <c r="FH158" s="20">
        <f t="shared" si="183"/>
        <v>1.3525069634579169E-12</v>
      </c>
      <c r="FI158" s="59">
        <f t="shared" si="131"/>
        <v>293.33333333333468</v>
      </c>
      <c r="FJ158" s="59">
        <f ca="1">AVERAGE(OFFSET($FI$3,0,0,'Données projet'!$E$16+1,1))-AVERAGE(OFFSET($H$3,0,0,'Données projet'!$E$16+1,1))</f>
        <v>193.47609744163839</v>
      </c>
      <c r="FK158" s="59">
        <f t="shared" si="156"/>
        <v>170.3221892406973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14.202753216813912</v>
      </c>
      <c r="FR158" s="21">
        <f>EXP(-LN(2)/25)*FR157+(1-EXP(-LN(2)/25))/(LN(2)/25)*Calculateur!FM158*Calculateur!FO158*VLOOKUP('Données projet'!$B$16,Paramètres!$A$1:$I$89,3,0)*0.475*44/12</f>
        <v>2.5117834077256354</v>
      </c>
      <c r="FS158" s="21">
        <f>EXP(-LN(2)/2)*FS157+(1-EXP(-LN(2)/2))/(LN(2)/2)*FM158*FP158*VLOOKUP('Données projet'!$B$16,Paramètres!$A$1:$I$89,3,0)*0.475*44/12</f>
        <v>1.0268369253583169E-10</v>
      </c>
      <c r="FT158" s="22">
        <f t="shared" si="184"/>
        <v>16.714536624642232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>
        <f>FZ158*VLOOKUP('Données projet'!$B$17,Paramètres!$A$1:$I$89,3,0)*VLOOKUP('Données projet'!$B$17,Paramètres!$A$1:$I$89,5,0)</f>
        <v>0</v>
      </c>
      <c r="GB158" s="13" t="e">
        <f t="shared" si="185"/>
        <v>#NUM!</v>
      </c>
      <c r="GC158" s="20" t="e">
        <f t="shared" si="186"/>
        <v>#NUM!</v>
      </c>
      <c r="GD158" s="59" t="e">
        <f t="shared" si="134"/>
        <v>#NUM!</v>
      </c>
      <c r="GE158" s="59">
        <f ca="1">AVERAGE(OFFSET($GD$3,0,0,'Données projet'!$E$17+1,1))-AVERAGE(OFFSET($H$3,0,0,'Données projet'!$E$17+1,1))</f>
        <v>153.43773674911449</v>
      </c>
      <c r="GF158" s="59">
        <f t="shared" si="158"/>
        <v>235.49395036616602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18.669404118015962</v>
      </c>
      <c r="GM158" s="21">
        <f>EXP(-LN(2)/25)*GM157+(1-EXP(-LN(2)/25))/(LN(2)/25)*Calculateur!GH158*Calculateur!GJ158*VLOOKUP('Données projet'!$B$17,Paramètres!$A$1:$I$89,3,0)*0.475*44/12</f>
        <v>6.1659805288351324</v>
      </c>
      <c r="GN158" s="21">
        <f>EXP(-LN(2)/2)*GN157+(1-EXP(-LN(2)/2))/(LN(2)/2)*GH158*GK158*VLOOKUP('Données projet'!$B$17,Paramètres!$A$1:$I$89,3,0)*0.475*44/12</f>
        <v>0</v>
      </c>
      <c r="GO158" s="21">
        <f t="shared" si="187"/>
        <v>24.835384646851093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5.6843418860808015E-14</v>
      </c>
      <c r="GV158" s="17">
        <f>GU158*VLOOKUP('Données projet'!$B$18,Paramètres!$A$1:$I$89,3,0)*VLOOKUP('Données projet'!$B$18,Paramètres!$A$1:$I$89,5,0)</f>
        <v>4.5224624045658861E-14</v>
      </c>
      <c r="GW158" s="13">
        <f t="shared" si="188"/>
        <v>7.4514601661523691E-13</v>
      </c>
      <c r="GX158" s="20">
        <f t="shared" si="189"/>
        <v>1.3765621991510601E-12</v>
      </c>
      <c r="GY158" s="59">
        <f t="shared" si="137"/>
        <v>293.33333333333468</v>
      </c>
      <c r="GZ158" s="59">
        <f ca="1">AVERAGE(OFFSET($GY$3,0,0,'Données projet'!$E$18+1,1))-AVERAGE(OFFSET($H$3,0,0,'Données projet'!$E$18+1,1))</f>
        <v>198.11534486400666</v>
      </c>
      <c r="HA158" s="59">
        <f t="shared" si="160"/>
        <v>174.29856796517652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>
        <f>EXP(-LN(2)/35)*HG157+(1-EXP(-LN(2)/35))/(LN(2)/35)*HC158*HD158*VLOOKUP('Données projet'!$B$18,Paramètres!$A$1:$I$89,3,0)*0.475*44/12</f>
        <v>17.85583346281302</v>
      </c>
      <c r="HH158" s="21">
        <f>EXP(-LN(2)/25)*HH157+(1-EXP(-LN(2)/25))/(LN(2)/25)*Calculateur!HC158*Calculateur!HE158*VLOOKUP('Données projet'!$B$18,Paramètres!$A$1:$I$89,3,0)*0.475*44/12</f>
        <v>3.1578374656197234</v>
      </c>
      <c r="HI158" s="21">
        <f>EXP(-LN(2)/2)*HI157+(1-EXP(-LN(2)/2))/(LN(2)/2)*HC158*HF158*VLOOKUP('Données projet'!$B$18,Paramètres!$A$1:$I$89,3,0)*0.475*44/12</f>
        <v>1.0473736638654817E-10</v>
      </c>
      <c r="HJ158" s="22">
        <f t="shared" si="190"/>
        <v>21.013670928537483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1.1368683772161603E-13</v>
      </c>
      <c r="O159" s="13">
        <f>N159*VLOOKUP('Données projet'!$B$9,Paramètres!$A$1:$I$89,3,0)*VLOOKUP('Données projet'!$B$9,Paramètres!$A$1:$I$89,5,0)</f>
        <v>6.7984728957526396E-14</v>
      </c>
      <c r="P159" s="13">
        <f t="shared" si="141"/>
        <v>1.0682447123141398E-12</v>
      </c>
      <c r="Q159" s="20">
        <f t="shared" si="162"/>
        <v>1.978932943548152E-12</v>
      </c>
      <c r="R159" s="59">
        <f t="shared" si="109"/>
        <v>293.3333333333353</v>
      </c>
      <c r="S159" s="59">
        <f ca="1">AVERAGE(OFFSET($R$3,0,0,'Données projet'!$E$9+1,1))-AVERAGE(OFFSET($H$3,0,0,'Données projet'!$E$9+1,1))</f>
        <v>295.19075440119076</v>
      </c>
      <c r="T159" s="59">
        <f t="shared" si="142"/>
        <v>173.0182327988216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44.118821594397858</v>
      </c>
      <c r="AA159" s="21">
        <f>EXP(-LN(2)/25)*AA158+(1-EXP(-LN(2)/25))/(LN(2)/25)*Calculateur!V159*Calculateur!X159*VLOOKUP('Données projet'!$B$9,Paramètres!$A$1:$I$89,3,0)*0.475*44/12</f>
        <v>13.89615666329308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58.014978257690942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294.45857786714919</v>
      </c>
      <c r="AO159" s="59">
        <f t="shared" si="144"/>
        <v>221.9773436301067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40.721704122215641</v>
      </c>
      <c r="AV159" s="21">
        <f>EXP(-LN(2)/25)*AV158+(1-EXP(-LN(2)/25))/(LN(2)/25)*Calculateur!AQ159*Calculateur!AS159*VLOOKUP('Données projet'!$B$10,Paramètres!$A$1:$I$89,3,0)*0.475*44/12</f>
        <v>12.224380187902243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52.946084310117882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179.44051550872138</v>
      </c>
      <c r="BJ159" s="59">
        <f t="shared" si="146"/>
        <v>272.9500808380069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20.918066846255776</v>
      </c>
      <c r="BQ159" s="21">
        <f>EXP(-LN(2)/25)*BQ158+(1-EXP(-LN(2)/25))/(LN(2)/25)*Calculateur!BL159*Calculateur!BN159*VLOOKUP('Données projet'!$B$11,Paramètres!$A$1:$I$89,3,0)*0.475*44/12</f>
        <v>6.8541388194506467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27.772205665706423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-1.5961632016114892E-13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259.87681411271632</v>
      </c>
      <c r="CE159" s="59">
        <f t="shared" si="148"/>
        <v>191.8684235641158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72.36605372371055</v>
      </c>
      <c r="CL159" s="21">
        <f>EXP(-LN(2)/25)*CL158+(1-EXP(-LN(2)/25))/(LN(2)/25)*Calculateur!CG159*Calculateur!CI159*VLOOKUP('Données projet'!$B$12,Paramètres!$A$1:$I$89,3,0)*0.475*44/12</f>
        <v>23.224438045311373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95.590491769021924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5.6843418860808015E-14</v>
      </c>
      <c r="CU159" s="17">
        <f>CT159*VLOOKUP('Données projet'!$B$13,Paramètres!$A$1:$I$89,3,0)*VLOOKUP('Données projet'!$B$13,Paramètres!$A$1:$I$89,5,0)</f>
        <v>4.5224624045658861E-14</v>
      </c>
      <c r="CV159" s="13">
        <f t="shared" si="173"/>
        <v>7.4514601661523691E-13</v>
      </c>
      <c r="CW159" s="20">
        <f t="shared" si="174"/>
        <v>1.3765621991510601E-12</v>
      </c>
      <c r="CX159" s="59">
        <f t="shared" si="122"/>
        <v>293.33333333333468</v>
      </c>
      <c r="CY159" s="59">
        <f ca="1">AVERAGE(OFFSET($CX$3,0,0,'Données projet'!$E$13+1,1))-AVERAGE(OFFSET($H$3,0,0,'Données projet'!$E$13+1,1))</f>
        <v>198.11534486400666</v>
      </c>
      <c r="CZ159" s="59">
        <f t="shared" si="150"/>
        <v>174.29856796517652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17.505691459590274</v>
      </c>
      <c r="DG159" s="21">
        <f>EXP(-LN(2)/25)*DG158+(1-EXP(-LN(2)/25))/(LN(2)/25)*Calculateur!DB159*Calculateur!DD159*VLOOKUP('Données projet'!$B$13,Paramètres!$A$1:$I$89,3,0)*0.475*44/12</f>
        <v>3.0714862340588973</v>
      </c>
      <c r="DH159" s="21">
        <f>EXP(-LN(2)/2)*DH158+(1-EXP(-LN(2)/2))/(LN(2)/2)*DB159*DE159*VLOOKUP('Données projet'!$B$13,Paramètres!$A$1:$I$89,3,0)*0.475*44/12</f>
        <v>7.4060502015548171E-11</v>
      </c>
      <c r="DI159" s="22">
        <f t="shared" si="175"/>
        <v>20.577177693723232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-5.6843418860808015E-14</v>
      </c>
      <c r="DP159" s="17">
        <f>DO159*VLOOKUP('Données projet'!$B$14,Paramètres!$A$1:$I$89,3,0)*VLOOKUP('Données projet'!$B$14,Paramètres!$A$1:$I$89,5,0)</f>
        <v>-5.7639226724859328E-14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247.92503505485405</v>
      </c>
      <c r="DU159" s="59">
        <f t="shared" si="152"/>
        <v>148.26437652597514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97.752681712725618</v>
      </c>
      <c r="EB159" s="21">
        <f>EXP(-LN(2)/25)*EB158+(1-EXP(-LN(2)/25))/(LN(2)/25)*Calculateur!DW159*Calculateur!DY159*VLOOKUP('Données projet'!$B$14,Paramètres!$A$1:$I$89,3,0)*0.475*44/12</f>
        <v>54.999981412387136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152.75266312511275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-5.6843418860808015E-14</v>
      </c>
      <c r="EK159" s="17">
        <f>EJ159*VLOOKUP('Données projet'!$B$15,Paramètres!$A$1:$I$89,3,0)*VLOOKUP('Données projet'!$B$15,Paramètres!$A$1:$I$89,5,0)</f>
        <v>-5.4978954722173515E-14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232.99870507181964</v>
      </c>
      <c r="EP159" s="59">
        <f t="shared" si="154"/>
        <v>140.07662669226278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93.24101947983057</v>
      </c>
      <c r="EW159" s="21">
        <f>EXP(-LN(2)/25)*EW158+(1-EXP(-LN(2)/25))/(LN(2)/25)*Calculateur!ER159*Calculateur!ET159*VLOOKUP('Données projet'!$B$15,Paramètres!$A$1:$I$89,3,0)*0.475*44/12</f>
        <v>52.461520731815419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145.70254021164598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5.6843418860808015E-14</v>
      </c>
      <c r="FF159" s="17">
        <f>FE159*VLOOKUP('Données projet'!$B$16,Paramètres!$A$1:$I$89,3,0)*VLOOKUP('Données projet'!$B$16,Paramètres!$A$1:$I$89,5,0)</f>
        <v>4.4337866711430253E-14</v>
      </c>
      <c r="FG159" s="13">
        <f t="shared" si="182"/>
        <v>7.3222115536967035E-13</v>
      </c>
      <c r="FH159" s="20">
        <f t="shared" si="183"/>
        <v>1.3525069634579169E-12</v>
      </c>
      <c r="FI159" s="59">
        <f t="shared" si="131"/>
        <v>293.33333333333468</v>
      </c>
      <c r="FJ159" s="59">
        <f ca="1">AVERAGE(OFFSET($FI$3,0,0,'Données projet'!$E$16+1,1))-AVERAGE(OFFSET($H$3,0,0,'Données projet'!$E$16+1,1))</f>
        <v>193.47609744163839</v>
      </c>
      <c r="FK159" s="59">
        <f t="shared" si="156"/>
        <v>170.3221892406973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13.924245889056271</v>
      </c>
      <c r="FR159" s="21">
        <f>EXP(-LN(2)/25)*FR158+(1-EXP(-LN(2)/25))/(LN(2)/25)*Calculateur!FM159*Calculateur!FO159*VLOOKUP('Données projet'!$B$16,Paramètres!$A$1:$I$89,3,0)*0.475*44/12</f>
        <v>2.4430985583524292</v>
      </c>
      <c r="FS159" s="21">
        <f>EXP(-LN(2)/2)*FS158+(1-EXP(-LN(2)/2))/(LN(2)/2)*FM159*FP159*VLOOKUP('Données projet'!$B$16,Paramètres!$A$1:$I$89,3,0)*0.475*44/12</f>
        <v>7.2608335309361061E-11</v>
      </c>
      <c r="FT159" s="22">
        <f t="shared" si="184"/>
        <v>16.367344447481308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>
        <f>FZ159*VLOOKUP('Données projet'!$B$17,Paramètres!$A$1:$I$89,3,0)*VLOOKUP('Données projet'!$B$17,Paramètres!$A$1:$I$89,5,0)</f>
        <v>0</v>
      </c>
      <c r="GB159" s="13" t="e">
        <f t="shared" si="185"/>
        <v>#NUM!</v>
      </c>
      <c r="GC159" s="20" t="e">
        <f t="shared" si="186"/>
        <v>#NUM!</v>
      </c>
      <c r="GD159" s="59" t="e">
        <f t="shared" si="134"/>
        <v>#NUM!</v>
      </c>
      <c r="GE159" s="59">
        <f ca="1">AVERAGE(OFFSET($GD$3,0,0,'Données projet'!$E$17+1,1))-AVERAGE(OFFSET($H$3,0,0,'Données projet'!$E$17+1,1))</f>
        <v>153.43773674911449</v>
      </c>
      <c r="GF159" s="59">
        <f t="shared" si="158"/>
        <v>235.49395036616602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18.303308490473785</v>
      </c>
      <c r="GM159" s="21">
        <f>EXP(-LN(2)/25)*GM158+(1-EXP(-LN(2)/25))/(LN(2)/25)*Calculateur!GH159*Calculateur!GJ159*VLOOKUP('Données projet'!$B$17,Paramètres!$A$1:$I$89,3,0)*0.475*44/12</f>
        <v>5.9973714670193123</v>
      </c>
      <c r="GN159" s="21">
        <f>EXP(-LN(2)/2)*GN158+(1-EXP(-LN(2)/2))/(LN(2)/2)*GH159*GK159*VLOOKUP('Données projet'!$B$17,Paramètres!$A$1:$I$89,3,0)*0.475*44/12</f>
        <v>0</v>
      </c>
      <c r="GO159" s="21">
        <f t="shared" si="187"/>
        <v>24.300679957493099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5.6843418860808015E-14</v>
      </c>
      <c r="GV159" s="17">
        <f>GU159*VLOOKUP('Données projet'!$B$18,Paramètres!$A$1:$I$89,3,0)*VLOOKUP('Données projet'!$B$18,Paramètres!$A$1:$I$89,5,0)</f>
        <v>4.5224624045658861E-14</v>
      </c>
      <c r="GW159" s="13">
        <f t="shared" si="188"/>
        <v>7.4514601661523691E-13</v>
      </c>
      <c r="GX159" s="20">
        <f t="shared" si="189"/>
        <v>1.3765621991510601E-12</v>
      </c>
      <c r="GY159" s="59">
        <f t="shared" si="137"/>
        <v>293.33333333333468</v>
      </c>
      <c r="GZ159" s="59">
        <f ca="1">AVERAGE(OFFSET($GY$3,0,0,'Données projet'!$E$18+1,1))-AVERAGE(OFFSET($H$3,0,0,'Données projet'!$E$18+1,1))</f>
        <v>198.11534486400666</v>
      </c>
      <c r="HA159" s="59">
        <f t="shared" si="160"/>
        <v>174.29856796517652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>
        <f>EXP(-LN(2)/35)*HG158+(1-EXP(-LN(2)/35))/(LN(2)/35)*HC159*HD159*VLOOKUP('Données projet'!$B$18,Paramètres!$A$1:$I$89,3,0)*0.475*44/12</f>
        <v>17.505691459590274</v>
      </c>
      <c r="HH159" s="21">
        <f>EXP(-LN(2)/25)*HH158+(1-EXP(-LN(2)/25))/(LN(2)/25)*Calculateur!HC159*Calculateur!HE159*VLOOKUP('Données projet'!$B$18,Paramètres!$A$1:$I$89,3,0)*0.475*44/12</f>
        <v>3.0714862340588973</v>
      </c>
      <c r="HI159" s="21">
        <f>EXP(-LN(2)/2)*HI158+(1-EXP(-LN(2)/2))/(LN(2)/2)*HC159*HF159*VLOOKUP('Données projet'!$B$18,Paramètres!$A$1:$I$89,3,0)*0.475*44/12</f>
        <v>7.4060502015548171E-11</v>
      </c>
      <c r="HJ159" s="22">
        <f t="shared" si="190"/>
        <v>20.577177693723232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1.1368683772161603E-13</v>
      </c>
      <c r="O160" s="13">
        <f>N160*VLOOKUP('Données projet'!$B$9,Paramètres!$A$1:$I$89,3,0)*VLOOKUP('Données projet'!$B$9,Paramètres!$A$1:$I$89,5,0)</f>
        <v>6.7984728957526396E-14</v>
      </c>
      <c r="P160" s="13">
        <f t="shared" si="141"/>
        <v>1.0682447123141398E-12</v>
      </c>
      <c r="Q160" s="20">
        <f t="shared" si="162"/>
        <v>1.978932943548152E-12</v>
      </c>
      <c r="R160" s="59">
        <f t="shared" si="109"/>
        <v>293.3333333333353</v>
      </c>
      <c r="S160" s="59">
        <f ca="1">AVERAGE(OFFSET($R$3,0,0,'Données projet'!$E$9+1,1))-AVERAGE(OFFSET($H$3,0,0,'Données projet'!$E$9+1,1))</f>
        <v>295.19075440119076</v>
      </c>
      <c r="T160" s="59">
        <f t="shared" si="142"/>
        <v>173.0182327988216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43.253678412755761</v>
      </c>
      <c r="AA160" s="21">
        <f>EXP(-LN(2)/25)*AA159+(1-EXP(-LN(2)/25))/(LN(2)/25)*Calculateur!V160*Calculateur!X160*VLOOKUP('Données projet'!$B$9,Paramètres!$A$1:$I$89,3,0)*0.475*44/12</f>
        <v>13.516165528568212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56.76984394132397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294.45857786714919</v>
      </c>
      <c r="AO160" s="59">
        <f t="shared" si="144"/>
        <v>221.9773436301067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39.923176342165981</v>
      </c>
      <c r="AV160" s="21">
        <f>EXP(-LN(2)/25)*AV159+(1-EXP(-LN(2)/25))/(LN(2)/25)*Calculateur!AQ160*Calculateur!AS160*VLOOKUP('Données projet'!$B$10,Paramètres!$A$1:$I$89,3,0)*0.475*44/12</f>
        <v>11.890103868811842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51.813280210977823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179.44051550872138</v>
      </c>
      <c r="BJ160" s="59">
        <f t="shared" si="146"/>
        <v>272.9500808380069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20.507876314161653</v>
      </c>
      <c r="BQ160" s="21">
        <f>EXP(-LN(2)/25)*BQ159+(1-EXP(-LN(2)/25))/(LN(2)/25)*Calculateur!BL160*Calculateur!BN160*VLOOKUP('Données projet'!$B$11,Paramètres!$A$1:$I$89,3,0)*0.475*44/12</f>
        <v>6.666712032989274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27.174588347150927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-1.5961632016114892E-13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259.87681411271632</v>
      </c>
      <c r="CE160" s="59">
        <f t="shared" si="148"/>
        <v>191.8684235641158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70.946999549123007</v>
      </c>
      <c r="CL160" s="21">
        <f>EXP(-LN(2)/25)*CL159+(1-EXP(-LN(2)/25))/(LN(2)/25)*Calculateur!CG160*Calculateur!CI160*VLOOKUP('Données projet'!$B$12,Paramètres!$A$1:$I$89,3,0)*0.475*44/12</f>
        <v>22.589364565642217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93.53636411476522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5.6843418860808015E-14</v>
      </c>
      <c r="CU160" s="17">
        <f>CT160*VLOOKUP('Données projet'!$B$13,Paramètres!$A$1:$I$89,3,0)*VLOOKUP('Données projet'!$B$13,Paramètres!$A$1:$I$89,5,0)</f>
        <v>4.5224624045658861E-14</v>
      </c>
      <c r="CV160" s="13">
        <f t="shared" si="173"/>
        <v>7.4514601661523691E-13</v>
      </c>
      <c r="CW160" s="20">
        <f t="shared" si="174"/>
        <v>1.3765621991510601E-12</v>
      </c>
      <c r="CX160" s="59">
        <f t="shared" si="122"/>
        <v>293.33333333333468</v>
      </c>
      <c r="CY160" s="59">
        <f ca="1">AVERAGE(OFFSET($CX$3,0,0,'Données projet'!$E$13+1,1))-AVERAGE(OFFSET($H$3,0,0,'Données projet'!$E$13+1,1))</f>
        <v>198.11534486400666</v>
      </c>
      <c r="CZ160" s="59">
        <f t="shared" si="150"/>
        <v>174.29856796517652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17.162415527485191</v>
      </c>
      <c r="DG160" s="21">
        <f>EXP(-LN(2)/25)*DG159+(1-EXP(-LN(2)/25))/(LN(2)/25)*Calculateur!DB160*Calculateur!DD160*VLOOKUP('Données projet'!$B$13,Paramètres!$A$1:$I$89,3,0)*0.475*44/12</f>
        <v>2.9874962814661159</v>
      </c>
      <c r="DH160" s="21">
        <f>EXP(-LN(2)/2)*DH159+(1-EXP(-LN(2)/2))/(LN(2)/2)*DB160*DE160*VLOOKUP('Données projet'!$B$13,Paramètres!$A$1:$I$89,3,0)*0.475*44/12</f>
        <v>5.2368683193274083E-11</v>
      </c>
      <c r="DI160" s="22">
        <f t="shared" si="175"/>
        <v>20.149911809003672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-5.6843418860808015E-14</v>
      </c>
      <c r="DP160" s="17">
        <f>DO160*VLOOKUP('Données projet'!$B$14,Paramètres!$A$1:$I$89,3,0)*VLOOKUP('Données projet'!$B$14,Paramètres!$A$1:$I$89,5,0)</f>
        <v>-5.7639226724859328E-14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247.92503505485405</v>
      </c>
      <c r="DU160" s="59">
        <f t="shared" si="152"/>
        <v>148.26437652597514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95.8358112475876</v>
      </c>
      <c r="EB160" s="21">
        <f>EXP(-LN(2)/25)*EB159+(1-EXP(-LN(2)/25))/(LN(2)/25)*Calculateur!DW160*Calculateur!DY160*VLOOKUP('Données projet'!$B$14,Paramètres!$A$1:$I$89,3,0)*0.475*44/12</f>
        <v>53.496004028342092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149.3318152759297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-5.6843418860808015E-14</v>
      </c>
      <c r="EK160" s="17">
        <f>EJ160*VLOOKUP('Données projet'!$B$15,Paramètres!$A$1:$I$89,3,0)*VLOOKUP('Données projet'!$B$15,Paramètres!$A$1:$I$89,5,0)</f>
        <v>-5.4978954722173515E-14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232.99870507181964</v>
      </c>
      <c r="EP160" s="59">
        <f t="shared" si="154"/>
        <v>140.07662669226278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91.412619959237389</v>
      </c>
      <c r="EW160" s="21">
        <f>EXP(-LN(2)/25)*EW159+(1-EXP(-LN(2)/25))/(LN(2)/25)*Calculateur!ER160*Calculateur!ET160*VLOOKUP('Données projet'!$B$15,Paramètres!$A$1:$I$89,3,0)*0.475*44/12</f>
        <v>51.026957688572452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142.43957764780984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5.6843418860808015E-14</v>
      </c>
      <c r="FF160" s="17">
        <f>FE160*VLOOKUP('Données projet'!$B$16,Paramètres!$A$1:$I$89,3,0)*VLOOKUP('Données projet'!$B$16,Paramètres!$A$1:$I$89,5,0)</f>
        <v>4.4337866711430253E-14</v>
      </c>
      <c r="FG160" s="13">
        <f t="shared" si="182"/>
        <v>7.3222115536967035E-13</v>
      </c>
      <c r="FH160" s="20">
        <f t="shared" si="183"/>
        <v>1.3525069634579169E-12</v>
      </c>
      <c r="FI160" s="59">
        <f t="shared" si="131"/>
        <v>293.33333333333468</v>
      </c>
      <c r="FJ160" s="59">
        <f ca="1">AVERAGE(OFFSET($FI$3,0,0,'Données projet'!$E$16+1,1))-AVERAGE(OFFSET($H$3,0,0,'Données projet'!$E$16+1,1))</f>
        <v>193.47609744163839</v>
      </c>
      <c r="FK160" s="59">
        <f t="shared" si="156"/>
        <v>170.3221892406973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13.651199920123261</v>
      </c>
      <c r="FR160" s="21">
        <f>EXP(-LN(2)/25)*FR159+(1-EXP(-LN(2)/25))/(LN(2)/25)*Calculateur!FM160*Calculateur!FO160*VLOOKUP('Données projet'!$B$16,Paramètres!$A$1:$I$89,3,0)*0.475*44/12</f>
        <v>2.3762918997973128</v>
      </c>
      <c r="FS160" s="21">
        <f>EXP(-LN(2)/2)*FS159+(1-EXP(-LN(2)/2))/(LN(2)/2)*FM160*FP160*VLOOKUP('Données projet'!$B$16,Paramètres!$A$1:$I$89,3,0)*0.475*44/12</f>
        <v>5.1341846267915845E-11</v>
      </c>
      <c r="FT160" s="22">
        <f t="shared" si="184"/>
        <v>16.027491819971914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>
        <f>FZ160*VLOOKUP('Données projet'!$B$17,Paramètres!$A$1:$I$89,3,0)*VLOOKUP('Données projet'!$B$17,Paramètres!$A$1:$I$89,5,0)</f>
        <v>0</v>
      </c>
      <c r="GB160" s="13" t="e">
        <f t="shared" si="185"/>
        <v>#NUM!</v>
      </c>
      <c r="GC160" s="20" t="e">
        <f t="shared" si="186"/>
        <v>#NUM!</v>
      </c>
      <c r="GD160" s="59" t="e">
        <f t="shared" si="134"/>
        <v>#NUM!</v>
      </c>
      <c r="GE160" s="59">
        <f ca="1">AVERAGE(OFFSET($GD$3,0,0,'Données projet'!$E$17+1,1))-AVERAGE(OFFSET($H$3,0,0,'Données projet'!$E$17+1,1))</f>
        <v>153.43773674911449</v>
      </c>
      <c r="GF160" s="59">
        <f t="shared" si="158"/>
        <v>235.49395036616602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17.944391774891429</v>
      </c>
      <c r="GM160" s="21">
        <f>EXP(-LN(2)/25)*GM159+(1-EXP(-LN(2)/25))/(LN(2)/25)*Calculateur!GH160*Calculateur!GJ160*VLOOKUP('Données projet'!$B$17,Paramètres!$A$1:$I$89,3,0)*0.475*44/12</f>
        <v>5.8333730288656112</v>
      </c>
      <c r="GN160" s="21">
        <f>EXP(-LN(2)/2)*GN159+(1-EXP(-LN(2)/2))/(LN(2)/2)*GH160*GK160*VLOOKUP('Données projet'!$B$17,Paramètres!$A$1:$I$89,3,0)*0.475*44/12</f>
        <v>0</v>
      </c>
      <c r="GO160" s="21">
        <f t="shared" si="187"/>
        <v>23.777764803757041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5.6843418860808015E-14</v>
      </c>
      <c r="GV160" s="17">
        <f>GU160*VLOOKUP('Données projet'!$B$18,Paramètres!$A$1:$I$89,3,0)*VLOOKUP('Données projet'!$B$18,Paramètres!$A$1:$I$89,5,0)</f>
        <v>4.5224624045658861E-14</v>
      </c>
      <c r="GW160" s="13">
        <f t="shared" si="188"/>
        <v>7.4514601661523691E-13</v>
      </c>
      <c r="GX160" s="20">
        <f t="shared" si="189"/>
        <v>1.3765621991510601E-12</v>
      </c>
      <c r="GY160" s="59">
        <f t="shared" si="137"/>
        <v>293.33333333333468</v>
      </c>
      <c r="GZ160" s="59">
        <f ca="1">AVERAGE(OFFSET($GY$3,0,0,'Données projet'!$E$18+1,1))-AVERAGE(OFFSET($H$3,0,0,'Données projet'!$E$18+1,1))</f>
        <v>198.11534486400666</v>
      </c>
      <c r="HA160" s="59">
        <f t="shared" si="160"/>
        <v>174.29856796517652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>
        <f>EXP(-LN(2)/35)*HG159+(1-EXP(-LN(2)/35))/(LN(2)/35)*HC160*HD160*VLOOKUP('Données projet'!$B$18,Paramètres!$A$1:$I$89,3,0)*0.475*44/12</f>
        <v>17.162415527485191</v>
      </c>
      <c r="HH160" s="21">
        <f>EXP(-LN(2)/25)*HH159+(1-EXP(-LN(2)/25))/(LN(2)/25)*Calculateur!HC160*Calculateur!HE160*VLOOKUP('Données projet'!$B$18,Paramètres!$A$1:$I$89,3,0)*0.475*44/12</f>
        <v>2.9874962814661159</v>
      </c>
      <c r="HI160" s="21">
        <f>EXP(-LN(2)/2)*HI159+(1-EXP(-LN(2)/2))/(LN(2)/2)*HC160*HF160*VLOOKUP('Données projet'!$B$18,Paramètres!$A$1:$I$89,3,0)*0.475*44/12</f>
        <v>5.2368683193274083E-11</v>
      </c>
      <c r="HJ160" s="22">
        <f t="shared" si="190"/>
        <v>20.149911809003672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1.1368683772161603E-13</v>
      </c>
      <c r="O161" s="13">
        <f>N161*VLOOKUP('Données projet'!$B$9,Paramètres!$A$1:$I$89,3,0)*VLOOKUP('Données projet'!$B$9,Paramètres!$A$1:$I$89,5,0)</f>
        <v>6.7984728957526396E-14</v>
      </c>
      <c r="P161" s="13">
        <f t="shared" si="141"/>
        <v>1.0682447123141398E-12</v>
      </c>
      <c r="Q161" s="20">
        <f t="shared" si="162"/>
        <v>1.978932943548152E-12</v>
      </c>
      <c r="R161" s="59">
        <f t="shared" si="109"/>
        <v>293.3333333333353</v>
      </c>
      <c r="S161" s="59">
        <f ca="1">AVERAGE(OFFSET($R$3,0,0,'Données projet'!$E$9+1,1))-AVERAGE(OFFSET($H$3,0,0,'Données projet'!$E$9+1,1))</f>
        <v>295.19075440119076</v>
      </c>
      <c r="T161" s="59">
        <f t="shared" si="142"/>
        <v>173.0182327988216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42.405500161220431</v>
      </c>
      <c r="AA161" s="21">
        <f>EXP(-LN(2)/25)*AA160+(1-EXP(-LN(2)/25))/(LN(2)/25)*Calculateur!V161*Calculateur!X161*VLOOKUP('Données projet'!$B$9,Paramètres!$A$1:$I$89,3,0)*0.475*44/12</f>
        <v>13.146565271405262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55.552065432625696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294.45857786714919</v>
      </c>
      <c r="AO161" s="59">
        <f t="shared" si="144"/>
        <v>221.9773436301067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39.140307204829242</v>
      </c>
      <c r="AV161" s="21">
        <f>EXP(-LN(2)/25)*AV160+(1-EXP(-LN(2)/25))/(LN(2)/25)*Calculateur!AQ161*Calculateur!AS161*VLOOKUP('Données projet'!$B$10,Paramètres!$A$1:$I$89,3,0)*0.475*44/12</f>
        <v>11.564968353245796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50.705275558075037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179.44051550872138</v>
      </c>
      <c r="BJ161" s="59">
        <f t="shared" si="146"/>
        <v>272.9500808380069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20.105729368210376</v>
      </c>
      <c r="BQ161" s="21">
        <f>EXP(-LN(2)/25)*BQ160+(1-EXP(-LN(2)/25))/(LN(2)/25)*Calculateur!BL161*Calculateur!BN161*VLOOKUP('Données projet'!$B$11,Paramètres!$A$1:$I$89,3,0)*0.475*44/12</f>
        <v>6.4844104418600335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26.590139810070411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-1.5961632016114892E-13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259.87681411271632</v>
      </c>
      <c r="CE161" s="59">
        <f t="shared" si="148"/>
        <v>191.8684235641158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69.555772161361531</v>
      </c>
      <c r="CL161" s="21">
        <f>EXP(-LN(2)/25)*CL160+(1-EXP(-LN(2)/25))/(LN(2)/25)*Calculateur!CG161*Calculateur!CI161*VLOOKUP('Données projet'!$B$12,Paramètres!$A$1:$I$89,3,0)*0.475*44/12</f>
        <v>21.971657203671676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91.527429365033214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5.6843418860808015E-14</v>
      </c>
      <c r="CU161" s="17">
        <f>CT161*VLOOKUP('Données projet'!$B$13,Paramètres!$A$1:$I$89,3,0)*VLOOKUP('Données projet'!$B$13,Paramètres!$A$1:$I$89,5,0)</f>
        <v>4.5224624045658861E-14</v>
      </c>
      <c r="CV161" s="13">
        <f t="shared" si="173"/>
        <v>7.4514601661523691E-13</v>
      </c>
      <c r="CW161" s="20">
        <f t="shared" si="174"/>
        <v>1.3765621991510601E-12</v>
      </c>
      <c r="CX161" s="59">
        <f t="shared" si="122"/>
        <v>293.33333333333468</v>
      </c>
      <c r="CY161" s="59">
        <f ca="1">AVERAGE(OFFSET($CX$3,0,0,'Données projet'!$E$13+1,1))-AVERAGE(OFFSET($H$3,0,0,'Données projet'!$E$13+1,1))</f>
        <v>198.11534486400666</v>
      </c>
      <c r="CZ161" s="59">
        <f t="shared" si="150"/>
        <v>174.29856796517652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16.825871027031045</v>
      </c>
      <c r="DG161" s="21">
        <f>EXP(-LN(2)/25)*DG160+(1-EXP(-LN(2)/25))/(LN(2)/25)*Calculateur!DB161*Calculateur!DD161*VLOOKUP('Données projet'!$B$13,Paramètres!$A$1:$I$89,3,0)*0.475*44/12</f>
        <v>2.9058030385438234</v>
      </c>
      <c r="DH161" s="21">
        <f>EXP(-LN(2)/2)*DH160+(1-EXP(-LN(2)/2))/(LN(2)/2)*DB161*DE161*VLOOKUP('Données projet'!$B$13,Paramètres!$A$1:$I$89,3,0)*0.475*44/12</f>
        <v>3.7030251007774086E-11</v>
      </c>
      <c r="DI161" s="22">
        <f t="shared" si="175"/>
        <v>19.731674065611898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-5.6843418860808015E-14</v>
      </c>
      <c r="DP161" s="17">
        <f>DO161*VLOOKUP('Données projet'!$B$14,Paramètres!$A$1:$I$89,3,0)*VLOOKUP('Données projet'!$B$14,Paramètres!$A$1:$I$89,5,0)</f>
        <v>-5.7639226724859328E-14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247.92503505485405</v>
      </c>
      <c r="DU161" s="59">
        <f t="shared" si="152"/>
        <v>148.26437652597514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93.956529443095405</v>
      </c>
      <c r="EB161" s="21">
        <f>EXP(-LN(2)/25)*EB160+(1-EXP(-LN(2)/25))/(LN(2)/25)*Calculateur!DW161*Calculateur!DY161*VLOOKUP('Données projet'!$B$14,Paramètres!$A$1:$I$89,3,0)*0.475*44/12</f>
        <v>52.033152984954491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145.98968242804989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-5.6843418860808015E-14</v>
      </c>
      <c r="EK161" s="17">
        <f>EJ161*VLOOKUP('Données projet'!$B$15,Paramètres!$A$1:$I$89,3,0)*VLOOKUP('Données projet'!$B$15,Paramètres!$A$1:$I$89,5,0)</f>
        <v>-5.4978954722173515E-14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232.99870507181964</v>
      </c>
      <c r="EP161" s="59">
        <f t="shared" si="154"/>
        <v>140.07662669226278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89.620074238029446</v>
      </c>
      <c r="EW161" s="21">
        <f>EXP(-LN(2)/25)*EW160+(1-EXP(-LN(2)/25))/(LN(2)/25)*Calculateur!ER161*Calculateur!ET161*VLOOKUP('Données projet'!$B$15,Paramètres!$A$1:$I$89,3,0)*0.475*44/12</f>
        <v>49.631622847187359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139.25169708521679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5.6843418860808015E-14</v>
      </c>
      <c r="FF161" s="17">
        <f>FE161*VLOOKUP('Données projet'!$B$16,Paramètres!$A$1:$I$89,3,0)*VLOOKUP('Données projet'!$B$16,Paramètres!$A$1:$I$89,5,0)</f>
        <v>4.4337866711430253E-14</v>
      </c>
      <c r="FG161" s="13">
        <f t="shared" si="182"/>
        <v>7.3222115536967035E-13</v>
      </c>
      <c r="FH161" s="20">
        <f t="shared" si="183"/>
        <v>1.3525069634579169E-12</v>
      </c>
      <c r="FI161" s="59">
        <f t="shared" si="131"/>
        <v>293.33333333333468</v>
      </c>
      <c r="FJ161" s="59">
        <f ca="1">AVERAGE(OFFSET($FI$3,0,0,'Données projet'!$E$16+1,1))-AVERAGE(OFFSET($H$3,0,0,'Données projet'!$E$16+1,1))</f>
        <v>193.47609744163839</v>
      </c>
      <c r="FK161" s="59">
        <f t="shared" si="156"/>
        <v>170.3221892406973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13.383508216099431</v>
      </c>
      <c r="FR161" s="21">
        <f>EXP(-LN(2)/25)*FR160+(1-EXP(-LN(2)/25))/(LN(2)/25)*Calculateur!FM161*Calculateur!FO161*VLOOKUP('Données projet'!$B$16,Paramètres!$A$1:$I$89,3,0)*0.475*44/12</f>
        <v>2.3113120728335952</v>
      </c>
      <c r="FS161" s="21">
        <f>EXP(-LN(2)/2)*FS160+(1-EXP(-LN(2)/2))/(LN(2)/2)*FM161*FP161*VLOOKUP('Données projet'!$B$16,Paramètres!$A$1:$I$89,3,0)*0.475*44/12</f>
        <v>3.6304167654680531E-11</v>
      </c>
      <c r="FT161" s="22">
        <f t="shared" si="184"/>
        <v>15.69482028896933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>
        <f>FZ161*VLOOKUP('Données projet'!$B$17,Paramètres!$A$1:$I$89,3,0)*VLOOKUP('Données projet'!$B$17,Paramètres!$A$1:$I$89,5,0)</f>
        <v>0</v>
      </c>
      <c r="GB161" s="13" t="e">
        <f t="shared" si="185"/>
        <v>#NUM!</v>
      </c>
      <c r="GC161" s="20" t="e">
        <f t="shared" si="186"/>
        <v>#NUM!</v>
      </c>
      <c r="GD161" s="59" t="e">
        <f t="shared" si="134"/>
        <v>#NUM!</v>
      </c>
      <c r="GE161" s="59">
        <f ca="1">AVERAGE(OFFSET($GD$3,0,0,'Données projet'!$E$17+1,1))-AVERAGE(OFFSET($H$3,0,0,'Données projet'!$E$17+1,1))</f>
        <v>153.43773674911449</v>
      </c>
      <c r="GF161" s="59">
        <f t="shared" si="158"/>
        <v>235.49395036616602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17.592513197184061</v>
      </c>
      <c r="GM161" s="21">
        <f>EXP(-LN(2)/25)*GM160+(1-EXP(-LN(2)/25))/(LN(2)/25)*Calculateur!GH161*Calculateur!GJ161*VLOOKUP('Données projet'!$B$17,Paramètres!$A$1:$I$89,3,0)*0.475*44/12</f>
        <v>5.6738591366275255</v>
      </c>
      <c r="GN161" s="21">
        <f>EXP(-LN(2)/2)*GN160+(1-EXP(-LN(2)/2))/(LN(2)/2)*GH161*GK161*VLOOKUP('Données projet'!$B$17,Paramètres!$A$1:$I$89,3,0)*0.475*44/12</f>
        <v>0</v>
      </c>
      <c r="GO161" s="21">
        <f t="shared" si="187"/>
        <v>23.266372333811589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5.6843418860808015E-14</v>
      </c>
      <c r="GV161" s="17">
        <f>GU161*VLOOKUP('Données projet'!$B$18,Paramètres!$A$1:$I$89,3,0)*VLOOKUP('Données projet'!$B$18,Paramètres!$A$1:$I$89,5,0)</f>
        <v>4.5224624045658861E-14</v>
      </c>
      <c r="GW161" s="13">
        <f t="shared" si="188"/>
        <v>7.4514601661523691E-13</v>
      </c>
      <c r="GX161" s="20">
        <f t="shared" si="189"/>
        <v>1.3765621991510601E-12</v>
      </c>
      <c r="GY161" s="59">
        <f t="shared" si="137"/>
        <v>293.33333333333468</v>
      </c>
      <c r="GZ161" s="59">
        <f ca="1">AVERAGE(OFFSET($GY$3,0,0,'Données projet'!$E$18+1,1))-AVERAGE(OFFSET($H$3,0,0,'Données projet'!$E$18+1,1))</f>
        <v>198.11534486400666</v>
      </c>
      <c r="HA161" s="59">
        <f t="shared" si="160"/>
        <v>174.29856796517652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>
        <f>EXP(-LN(2)/35)*HG160+(1-EXP(-LN(2)/35))/(LN(2)/35)*HC161*HD161*VLOOKUP('Données projet'!$B$18,Paramètres!$A$1:$I$89,3,0)*0.475*44/12</f>
        <v>16.825871027031045</v>
      </c>
      <c r="HH161" s="21">
        <f>EXP(-LN(2)/25)*HH160+(1-EXP(-LN(2)/25))/(LN(2)/25)*Calculateur!HC161*Calculateur!HE161*VLOOKUP('Données projet'!$B$18,Paramètres!$A$1:$I$89,3,0)*0.475*44/12</f>
        <v>2.9058030385438234</v>
      </c>
      <c r="HI161" s="21">
        <f>EXP(-LN(2)/2)*HI160+(1-EXP(-LN(2)/2))/(LN(2)/2)*HC161*HF161*VLOOKUP('Données projet'!$B$18,Paramètres!$A$1:$I$89,3,0)*0.475*44/12</f>
        <v>3.7030251007774086E-11</v>
      </c>
      <c r="HJ161" s="22">
        <f t="shared" si="190"/>
        <v>19.731674065611898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1.1368683772161603E-13</v>
      </c>
      <c r="O162" s="13">
        <f>N162*VLOOKUP('Données projet'!$B$9,Paramètres!$A$1:$I$89,3,0)*VLOOKUP('Données projet'!$B$9,Paramètres!$A$1:$I$89,5,0)</f>
        <v>6.7984728957526396E-14</v>
      </c>
      <c r="P162" s="13">
        <f t="shared" si="141"/>
        <v>1.0682447123141398E-12</v>
      </c>
      <c r="Q162" s="20">
        <f t="shared" si="162"/>
        <v>1.978932943548152E-12</v>
      </c>
      <c r="R162" s="59">
        <f t="shared" si="109"/>
        <v>293.3333333333353</v>
      </c>
      <c r="S162" s="59">
        <f ca="1">AVERAGE(OFFSET($R$3,0,0,'Données projet'!$E$9+1,1))-AVERAGE(OFFSET($H$3,0,0,'Données projet'!$E$9+1,1))</f>
        <v>295.19075440119076</v>
      </c>
      <c r="T162" s="59">
        <f t="shared" si="142"/>
        <v>173.0182327988216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41.573954167860059</v>
      </c>
      <c r="AA162" s="21">
        <f>EXP(-LN(2)/25)*AA161+(1-EXP(-LN(2)/25))/(LN(2)/25)*Calculateur!V162*Calculateur!X162*VLOOKUP('Données projet'!$B$9,Paramètres!$A$1:$I$89,3,0)*0.475*44/12</f>
        <v>12.787071752710863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54.361025920570924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294.45857786714919</v>
      </c>
      <c r="AO162" s="59">
        <f t="shared" si="144"/>
        <v>221.9773436301067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38.372789653772649</v>
      </c>
      <c r="AV162" s="21">
        <f>EXP(-LN(2)/25)*AV161+(1-EXP(-LN(2)/25))/(LN(2)/25)*Calculateur!AQ162*Calculateur!AS162*VLOOKUP('Données projet'!$B$10,Paramètres!$A$1:$I$89,3,0)*0.475*44/12</f>
        <v>11.248723685451036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49.621513339223682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179.44051550872138</v>
      </c>
      <c r="BJ162" s="59">
        <f t="shared" si="146"/>
        <v>272.9500808380069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19.711468278583787</v>
      </c>
      <c r="BQ162" s="21">
        <f>EXP(-LN(2)/25)*BQ161+(1-EXP(-LN(2)/25))/(LN(2)/25)*Calculateur!BL162*Calculateur!BN162*VLOOKUP('Données projet'!$B$11,Paramètres!$A$1:$I$89,3,0)*0.475*44/12</f>
        <v>6.3070938973270456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26.018562175910834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-1.5961632016114892E-13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259.87681411271632</v>
      </c>
      <c r="CE162" s="59">
        <f t="shared" si="148"/>
        <v>191.8684235641158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68.191825894109144</v>
      </c>
      <c r="CL162" s="21">
        <f>EXP(-LN(2)/25)*CL161+(1-EXP(-LN(2)/25))/(LN(2)/25)*Calculateur!CG162*Calculateur!CI162*VLOOKUP('Données projet'!$B$12,Paramètres!$A$1:$I$89,3,0)*0.475*44/12</f>
        <v>21.370841081998037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89.562666976107181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5.6843418860808015E-14</v>
      </c>
      <c r="CU162" s="17">
        <f>CT162*VLOOKUP('Données projet'!$B$13,Paramètres!$A$1:$I$89,3,0)*VLOOKUP('Données projet'!$B$13,Paramètres!$A$1:$I$89,5,0)</f>
        <v>4.5224624045658861E-14</v>
      </c>
      <c r="CV162" s="13">
        <f t="shared" si="173"/>
        <v>7.4514601661523691E-13</v>
      </c>
      <c r="CW162" s="20">
        <f t="shared" si="174"/>
        <v>1.3765621991510601E-12</v>
      </c>
      <c r="CX162" s="59">
        <f t="shared" si="122"/>
        <v>293.33333333333468</v>
      </c>
      <c r="CY162" s="59">
        <f ca="1">AVERAGE(OFFSET($CX$3,0,0,'Données projet'!$E$13+1,1))-AVERAGE(OFFSET($H$3,0,0,'Données projet'!$E$13+1,1))</f>
        <v>198.11534486400666</v>
      </c>
      <c r="CZ162" s="59">
        <f t="shared" si="150"/>
        <v>174.29856796517652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16.495925958958928</v>
      </c>
      <c r="DG162" s="21">
        <f>EXP(-LN(2)/25)*DG161+(1-EXP(-LN(2)/25))/(LN(2)/25)*Calculateur!DB162*Calculateur!DD162*VLOOKUP('Données projet'!$B$13,Paramètres!$A$1:$I$89,3,0)*0.475*44/12</f>
        <v>2.8263437016453019</v>
      </c>
      <c r="DH162" s="21">
        <f>EXP(-LN(2)/2)*DH161+(1-EXP(-LN(2)/2))/(LN(2)/2)*DB162*DE162*VLOOKUP('Données projet'!$B$13,Paramètres!$A$1:$I$89,3,0)*0.475*44/12</f>
        <v>2.6184341596637041E-11</v>
      </c>
      <c r="DI162" s="22">
        <f t="shared" si="175"/>
        <v>19.322269660630415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-5.6843418860808015E-14</v>
      </c>
      <c r="DP162" s="17">
        <f>DO162*VLOOKUP('Données projet'!$B$14,Paramètres!$A$1:$I$89,3,0)*VLOOKUP('Données projet'!$B$14,Paramètres!$A$1:$I$89,5,0)</f>
        <v>-5.7639226724859328E-14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247.92503505485405</v>
      </c>
      <c r="DU162" s="59">
        <f t="shared" si="152"/>
        <v>148.26437652597514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92.114099208540594</v>
      </c>
      <c r="EB162" s="21">
        <f>EXP(-LN(2)/25)*EB161+(1-EXP(-LN(2)/25))/(LN(2)/25)*Calculateur!DW162*Calculateur!DY162*VLOOKUP('Données projet'!$B$14,Paramètres!$A$1:$I$89,3,0)*0.475*44/12</f>
        <v>50.610303680276317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142.72440288881691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-5.6843418860808015E-14</v>
      </c>
      <c r="EK162" s="17">
        <f>EJ162*VLOOKUP('Données projet'!$B$15,Paramètres!$A$1:$I$89,3,0)*VLOOKUP('Données projet'!$B$15,Paramètres!$A$1:$I$89,5,0)</f>
        <v>-5.4978954722173515E-14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232.99870507181964</v>
      </c>
      <c r="EP162" s="59">
        <f t="shared" si="154"/>
        <v>140.07662669226278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87.862679245069472</v>
      </c>
      <c r="EW162" s="21">
        <f>EXP(-LN(2)/25)*EW161+(1-EXP(-LN(2)/25))/(LN(2)/25)*Calculateur!ER162*Calculateur!ET162*VLOOKUP('Données projet'!$B$15,Paramètres!$A$1:$I$89,3,0)*0.475*44/12</f>
        <v>48.274443510417406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136.13712275548687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5.6843418860808015E-14</v>
      </c>
      <c r="FF162" s="17">
        <f>FE162*VLOOKUP('Données projet'!$B$16,Paramètres!$A$1:$I$89,3,0)*VLOOKUP('Données projet'!$B$16,Paramètres!$A$1:$I$89,5,0)</f>
        <v>4.4337866711430253E-14</v>
      </c>
      <c r="FG162" s="13">
        <f t="shared" si="182"/>
        <v>7.3222115536967035E-13</v>
      </c>
      <c r="FH162" s="20">
        <f t="shared" si="183"/>
        <v>1.3525069634579169E-12</v>
      </c>
      <c r="FI162" s="59">
        <f t="shared" si="131"/>
        <v>293.33333333333468</v>
      </c>
      <c r="FJ162" s="59">
        <f ca="1">AVERAGE(OFFSET($FI$3,0,0,'Données projet'!$E$16+1,1))-AVERAGE(OFFSET($H$3,0,0,'Données projet'!$E$16+1,1))</f>
        <v>193.47609744163839</v>
      </c>
      <c r="FK162" s="59">
        <f t="shared" si="156"/>
        <v>170.3221892406973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13.121065783115689</v>
      </c>
      <c r="FR162" s="21">
        <f>EXP(-LN(2)/25)*FR161+(1-EXP(-LN(2)/25))/(LN(2)/25)*Calculateur!FM162*Calculateur!FO162*VLOOKUP('Données projet'!$B$16,Paramètres!$A$1:$I$89,3,0)*0.475*44/12</f>
        <v>2.2481091226553414</v>
      </c>
      <c r="FS162" s="21">
        <f>EXP(-LN(2)/2)*FS161+(1-EXP(-LN(2)/2))/(LN(2)/2)*FM162*FP162*VLOOKUP('Données projet'!$B$16,Paramètres!$A$1:$I$89,3,0)*0.475*44/12</f>
        <v>2.5670923133957923E-11</v>
      </c>
      <c r="FT162" s="22">
        <f t="shared" si="184"/>
        <v>15.369174905796701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>
        <f>FZ162*VLOOKUP('Données projet'!$B$17,Paramètres!$A$1:$I$89,3,0)*VLOOKUP('Données projet'!$B$17,Paramètres!$A$1:$I$89,5,0)</f>
        <v>0</v>
      </c>
      <c r="GB162" s="13" t="e">
        <f t="shared" si="185"/>
        <v>#NUM!</v>
      </c>
      <c r="GC162" s="20" t="e">
        <f t="shared" si="186"/>
        <v>#NUM!</v>
      </c>
      <c r="GD162" s="59" t="e">
        <f t="shared" si="134"/>
        <v>#NUM!</v>
      </c>
      <c r="GE162" s="59">
        <f ca="1">AVERAGE(OFFSET($GD$3,0,0,'Données projet'!$E$17+1,1))-AVERAGE(OFFSET($H$3,0,0,'Données projet'!$E$17+1,1))</f>
        <v>153.43773674911449</v>
      </c>
      <c r="GF162" s="59">
        <f t="shared" si="158"/>
        <v>235.49395036616602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17.247534743760795</v>
      </c>
      <c r="GM162" s="21">
        <f>EXP(-LN(2)/25)*GM161+(1-EXP(-LN(2)/25))/(LN(2)/25)*Calculateur!GH162*Calculateur!GJ162*VLOOKUP('Données projet'!$B$17,Paramètres!$A$1:$I$89,3,0)*0.475*44/12</f>
        <v>5.5187071601611617</v>
      </c>
      <c r="GN162" s="21">
        <f>EXP(-LN(2)/2)*GN161+(1-EXP(-LN(2)/2))/(LN(2)/2)*GH162*GK162*VLOOKUP('Données projet'!$B$17,Paramètres!$A$1:$I$89,3,0)*0.475*44/12</f>
        <v>0</v>
      </c>
      <c r="GO162" s="21">
        <f t="shared" si="187"/>
        <v>22.766241903921959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5.6843418860808015E-14</v>
      </c>
      <c r="GV162" s="17">
        <f>GU162*VLOOKUP('Données projet'!$B$18,Paramètres!$A$1:$I$89,3,0)*VLOOKUP('Données projet'!$B$18,Paramètres!$A$1:$I$89,5,0)</f>
        <v>4.5224624045658861E-14</v>
      </c>
      <c r="GW162" s="13">
        <f t="shared" si="188"/>
        <v>7.4514601661523691E-13</v>
      </c>
      <c r="GX162" s="20">
        <f t="shared" si="189"/>
        <v>1.3765621991510601E-12</v>
      </c>
      <c r="GY162" s="59">
        <f t="shared" si="137"/>
        <v>293.33333333333468</v>
      </c>
      <c r="GZ162" s="59">
        <f ca="1">AVERAGE(OFFSET($GY$3,0,0,'Données projet'!$E$18+1,1))-AVERAGE(OFFSET($H$3,0,0,'Données projet'!$E$18+1,1))</f>
        <v>198.11534486400666</v>
      </c>
      <c r="HA162" s="59">
        <f t="shared" si="160"/>
        <v>174.29856796517652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>
        <f>EXP(-LN(2)/35)*HG161+(1-EXP(-LN(2)/35))/(LN(2)/35)*HC162*HD162*VLOOKUP('Données projet'!$B$18,Paramètres!$A$1:$I$89,3,0)*0.475*44/12</f>
        <v>16.495925958958928</v>
      </c>
      <c r="HH162" s="21">
        <f>EXP(-LN(2)/25)*HH161+(1-EXP(-LN(2)/25))/(LN(2)/25)*Calculateur!HC162*Calculateur!HE162*VLOOKUP('Données projet'!$B$18,Paramètres!$A$1:$I$89,3,0)*0.475*44/12</f>
        <v>2.8263437016453019</v>
      </c>
      <c r="HI162" s="21">
        <f>EXP(-LN(2)/2)*HI161+(1-EXP(-LN(2)/2))/(LN(2)/2)*HC162*HF162*VLOOKUP('Données projet'!$B$18,Paramètres!$A$1:$I$89,3,0)*0.475*44/12</f>
        <v>2.6184341596637041E-11</v>
      </c>
      <c r="HJ162" s="22">
        <f t="shared" si="190"/>
        <v>19.322269660630415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1.1368683772161603E-13</v>
      </c>
      <c r="O163" s="13">
        <f>N163*VLOOKUP('Données projet'!$B$9,Paramètres!$A$1:$I$89,3,0)*VLOOKUP('Données projet'!$B$9,Paramètres!$A$1:$I$89,5,0)</f>
        <v>6.7984728957526396E-14</v>
      </c>
      <c r="P163" s="13">
        <f t="shared" si="141"/>
        <v>1.0682447123141398E-12</v>
      </c>
      <c r="Q163" s="20">
        <f t="shared" si="162"/>
        <v>1.978932943548152E-12</v>
      </c>
      <c r="R163" s="59">
        <f t="shared" si="109"/>
        <v>293.3333333333353</v>
      </c>
      <c r="S163" s="59">
        <f ca="1">AVERAGE(OFFSET($R$3,0,0,'Données projet'!$E$9+1,1))-AVERAGE(OFFSET($H$3,0,0,'Données projet'!$E$9+1,1))</f>
        <v>295.19075440119076</v>
      </c>
      <c r="T163" s="59">
        <f t="shared" si="142"/>
        <v>173.0182327988216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40.758714284236511</v>
      </c>
      <c r="AA163" s="21">
        <f>EXP(-LN(2)/25)*AA162+(1-EXP(-LN(2)/25))/(LN(2)/25)*Calculateur!V163*Calculateur!X163*VLOOKUP('Données projet'!$B$9,Paramètres!$A$1:$I$89,3,0)*0.475*44/12</f>
        <v>12.437408603190107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53.196122887426618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294.45857786714919</v>
      </c>
      <c r="AO163" s="59">
        <f t="shared" si="144"/>
        <v>221.9773436301067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37.620322653752794</v>
      </c>
      <c r="AV163" s="21">
        <f>EXP(-LN(2)/25)*AV162+(1-EXP(-LN(2)/25))/(LN(2)/25)*Calculateur!AQ163*Calculateur!AS163*VLOOKUP('Données projet'!$B$10,Paramètres!$A$1:$I$89,3,0)*0.475*44/12</f>
        <v>10.941126744727708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48.561449398480505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179.44051550872138</v>
      </c>
      <c r="BJ163" s="59">
        <f t="shared" si="146"/>
        <v>272.9500808380069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19.324938408449256</v>
      </c>
      <c r="BQ163" s="21">
        <f>EXP(-LN(2)/25)*BQ162+(1-EXP(-LN(2)/25))/(LN(2)/25)*Calculateur!BL163*Calculateur!BN163*VLOOKUP('Données projet'!$B$11,Paramètres!$A$1:$I$89,3,0)*0.475*44/12</f>
        <v>6.1346260830289845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25.45956449147824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-1.5961632016114892E-13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259.87681411271632</v>
      </c>
      <c r="CE163" s="59">
        <f t="shared" si="148"/>
        <v>191.8684235641158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66.8546257812325</v>
      </c>
      <c r="CL163" s="21">
        <f>EXP(-LN(2)/25)*CL162+(1-EXP(-LN(2)/25))/(LN(2)/25)*Calculateur!CG163*Calculateur!CI163*VLOOKUP('Données projet'!$B$12,Paramètres!$A$1:$I$89,3,0)*0.475*44/12</f>
        <v>20.786454308767112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87.641080089999605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5.6843418860808015E-14</v>
      </c>
      <c r="CU163" s="17">
        <f>CT163*VLOOKUP('Données projet'!$B$13,Paramètres!$A$1:$I$89,3,0)*VLOOKUP('Données projet'!$B$13,Paramètres!$A$1:$I$89,5,0)</f>
        <v>4.5224624045658861E-14</v>
      </c>
      <c r="CV163" s="13">
        <f t="shared" si="173"/>
        <v>7.4514601661523691E-13</v>
      </c>
      <c r="CW163" s="20">
        <f t="shared" si="174"/>
        <v>1.3765621991510601E-12</v>
      </c>
      <c r="CX163" s="59">
        <f t="shared" si="122"/>
        <v>293.33333333333468</v>
      </c>
      <c r="CY163" s="59">
        <f ca="1">AVERAGE(OFFSET($CX$3,0,0,'Données projet'!$E$13+1,1))-AVERAGE(OFFSET($H$3,0,0,'Données projet'!$E$13+1,1))</f>
        <v>198.11534486400666</v>
      </c>
      <c r="CZ163" s="59">
        <f t="shared" si="150"/>
        <v>174.29856796517652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16.172450912425084</v>
      </c>
      <c r="DG163" s="21">
        <f>EXP(-LN(2)/25)*DG162+(1-EXP(-LN(2)/25))/(LN(2)/25)*Calculateur!DB163*Calculateur!DD163*VLOOKUP('Données projet'!$B$13,Paramètres!$A$1:$I$89,3,0)*0.475*44/12</f>
        <v>2.7490571844928557</v>
      </c>
      <c r="DH163" s="21">
        <f>EXP(-LN(2)/2)*DH162+(1-EXP(-LN(2)/2))/(LN(2)/2)*DB163*DE163*VLOOKUP('Données projet'!$B$13,Paramètres!$A$1:$I$89,3,0)*0.475*44/12</f>
        <v>1.8515125503887043E-11</v>
      </c>
      <c r="DI163" s="22">
        <f t="shared" si="175"/>
        <v>18.921508096936456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-5.6843418860808015E-14</v>
      </c>
      <c r="DP163" s="17">
        <f>DO163*VLOOKUP('Données projet'!$B$14,Paramètres!$A$1:$I$89,3,0)*VLOOKUP('Données projet'!$B$14,Paramètres!$A$1:$I$89,5,0)</f>
        <v>-5.7639226724859328E-14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247.92503505485405</v>
      </c>
      <c r="DU163" s="59">
        <f t="shared" si="152"/>
        <v>148.26437652597514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90.307797907113923</v>
      </c>
      <c r="EB163" s="21">
        <f>EXP(-LN(2)/25)*EB162+(1-EXP(-LN(2)/25))/(LN(2)/25)*Calculateur!DW163*Calculateur!DY163*VLOOKUP('Données projet'!$B$14,Paramètres!$A$1:$I$89,3,0)*0.475*44/12</f>
        <v>49.22636226465896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139.5341601717729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-5.6843418860808015E-14</v>
      </c>
      <c r="EK163" s="17">
        <f>EJ163*VLOOKUP('Données projet'!$B$15,Paramètres!$A$1:$I$89,3,0)*VLOOKUP('Données projet'!$B$15,Paramètres!$A$1:$I$89,5,0)</f>
        <v>-5.4978954722173515E-14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232.99870507181964</v>
      </c>
      <c r="EP163" s="59">
        <f t="shared" si="154"/>
        <v>140.07662669226278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86.139745696016334</v>
      </c>
      <c r="EW163" s="21">
        <f>EXP(-LN(2)/25)*EW162+(1-EXP(-LN(2)/25))/(LN(2)/25)*Calculateur!ER163*Calculateur!ET163*VLOOKUP('Données projet'!$B$15,Paramètres!$A$1:$I$89,3,0)*0.475*44/12</f>
        <v>46.954376313982394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133.09412200999873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5.6843418860808015E-14</v>
      </c>
      <c r="FF163" s="17">
        <f>FE163*VLOOKUP('Données projet'!$B$16,Paramètres!$A$1:$I$89,3,0)*VLOOKUP('Données projet'!$B$16,Paramètres!$A$1:$I$89,5,0)</f>
        <v>4.4337866711430253E-14</v>
      </c>
      <c r="FG163" s="13">
        <f t="shared" si="182"/>
        <v>7.3222115536967035E-13</v>
      </c>
      <c r="FH163" s="20">
        <f t="shared" si="183"/>
        <v>1.3525069634579169E-12</v>
      </c>
      <c r="FI163" s="59">
        <f t="shared" si="131"/>
        <v>293.33333333333468</v>
      </c>
      <c r="FJ163" s="59">
        <f ca="1">AVERAGE(OFFSET($FI$3,0,0,'Données projet'!$E$16+1,1))-AVERAGE(OFFSET($H$3,0,0,'Données projet'!$E$16+1,1))</f>
        <v>193.47609744163839</v>
      </c>
      <c r="FK163" s="59">
        <f t="shared" si="156"/>
        <v>170.3221892406973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12.863769686168682</v>
      </c>
      <c r="FR163" s="21">
        <f>EXP(-LN(2)/25)*FR162+(1-EXP(-LN(2)/25))/(LN(2)/25)*Calculateur!FM163*Calculateur!FO163*VLOOKUP('Données projet'!$B$16,Paramètres!$A$1:$I$89,3,0)*0.475*44/12</f>
        <v>2.1866344604734103</v>
      </c>
      <c r="FS163" s="21">
        <f>EXP(-LN(2)/2)*FS162+(1-EXP(-LN(2)/2))/(LN(2)/2)*FM163*FP163*VLOOKUP('Données projet'!$B$16,Paramètres!$A$1:$I$89,3,0)*0.475*44/12</f>
        <v>1.8152083827340265E-11</v>
      </c>
      <c r="FT163" s="22">
        <f t="shared" si="184"/>
        <v>15.050404146660245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>
        <f>FZ163*VLOOKUP('Données projet'!$B$17,Paramètres!$A$1:$I$89,3,0)*VLOOKUP('Données projet'!$B$17,Paramètres!$A$1:$I$89,5,0)</f>
        <v>0</v>
      </c>
      <c r="GB163" s="13" t="e">
        <f t="shared" si="185"/>
        <v>#NUM!</v>
      </c>
      <c r="GC163" s="20" t="e">
        <f t="shared" si="186"/>
        <v>#NUM!</v>
      </c>
      <c r="GD163" s="59" t="e">
        <f t="shared" si="134"/>
        <v>#NUM!</v>
      </c>
      <c r="GE163" s="59">
        <f ca="1">AVERAGE(OFFSET($GD$3,0,0,'Données projet'!$E$17+1,1))-AVERAGE(OFFSET($H$3,0,0,'Données projet'!$E$17+1,1))</f>
        <v>153.43773674911449</v>
      </c>
      <c r="GF163" s="59">
        <f t="shared" si="158"/>
        <v>235.49395036616602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16.90932110739308</v>
      </c>
      <c r="GM163" s="21">
        <f>EXP(-LN(2)/25)*GM162+(1-EXP(-LN(2)/25))/(LN(2)/25)*Calculateur!GH163*Calculateur!GJ163*VLOOKUP('Données projet'!$B$17,Paramètres!$A$1:$I$89,3,0)*0.475*44/12</f>
        <v>5.367797822650358</v>
      </c>
      <c r="GN163" s="21">
        <f>EXP(-LN(2)/2)*GN162+(1-EXP(-LN(2)/2))/(LN(2)/2)*GH163*GK163*VLOOKUP('Données projet'!$B$17,Paramètres!$A$1:$I$89,3,0)*0.475*44/12</f>
        <v>0</v>
      </c>
      <c r="GO163" s="21">
        <f t="shared" si="187"/>
        <v>22.277118930043436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5.6843418860808015E-14</v>
      </c>
      <c r="GV163" s="17">
        <f>GU163*VLOOKUP('Données projet'!$B$18,Paramètres!$A$1:$I$89,3,0)*VLOOKUP('Données projet'!$B$18,Paramètres!$A$1:$I$89,5,0)</f>
        <v>4.5224624045658861E-14</v>
      </c>
      <c r="GW163" s="13">
        <f t="shared" si="188"/>
        <v>7.4514601661523691E-13</v>
      </c>
      <c r="GX163" s="20">
        <f t="shared" si="189"/>
        <v>1.3765621991510601E-12</v>
      </c>
      <c r="GY163" s="59">
        <f t="shared" si="137"/>
        <v>293.33333333333468</v>
      </c>
      <c r="GZ163" s="59">
        <f ca="1">AVERAGE(OFFSET($GY$3,0,0,'Données projet'!$E$18+1,1))-AVERAGE(OFFSET($H$3,0,0,'Données projet'!$E$18+1,1))</f>
        <v>198.11534486400666</v>
      </c>
      <c r="HA163" s="59">
        <f t="shared" si="160"/>
        <v>174.29856796517652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>
        <f>EXP(-LN(2)/35)*HG162+(1-EXP(-LN(2)/35))/(LN(2)/35)*HC163*HD163*VLOOKUP('Données projet'!$B$18,Paramètres!$A$1:$I$89,3,0)*0.475*44/12</f>
        <v>16.172450912425084</v>
      </c>
      <c r="HH163" s="21">
        <f>EXP(-LN(2)/25)*HH162+(1-EXP(-LN(2)/25))/(LN(2)/25)*Calculateur!HC163*Calculateur!HE163*VLOOKUP('Données projet'!$B$18,Paramètres!$A$1:$I$89,3,0)*0.475*44/12</f>
        <v>2.7490571844928557</v>
      </c>
      <c r="HI163" s="21">
        <f>EXP(-LN(2)/2)*HI162+(1-EXP(-LN(2)/2))/(LN(2)/2)*HC163*HF163*VLOOKUP('Données projet'!$B$18,Paramètres!$A$1:$I$89,3,0)*0.475*44/12</f>
        <v>1.8515125503887043E-11</v>
      </c>
      <c r="HJ163" s="22">
        <f t="shared" si="190"/>
        <v>18.921508096936456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1.1368683772161603E-13</v>
      </c>
      <c r="O164" s="13">
        <f>N164*VLOOKUP('Données projet'!$B$9,Paramètres!$A$1:$I$89,3,0)*VLOOKUP('Données projet'!$B$9,Paramètres!$A$1:$I$89,5,0)</f>
        <v>6.7984728957526396E-14</v>
      </c>
      <c r="P164" s="13">
        <f t="shared" si="141"/>
        <v>1.0682447123141398E-12</v>
      </c>
      <c r="Q164" s="20">
        <f t="shared" si="162"/>
        <v>1.978932943548152E-12</v>
      </c>
      <c r="R164" s="59">
        <f t="shared" si="109"/>
        <v>293.3333333333353</v>
      </c>
      <c r="S164" s="59">
        <f ca="1">AVERAGE(OFFSET($R$3,0,0,'Données projet'!$E$9+1,1))-AVERAGE(OFFSET($H$3,0,0,'Données projet'!$E$9+1,1))</f>
        <v>295.19075440119076</v>
      </c>
      <c r="T164" s="59">
        <f t="shared" si="142"/>
        <v>173.0182327988216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39.95946075748359</v>
      </c>
      <c r="AA164" s="21">
        <f>EXP(-LN(2)/25)*AA163+(1-EXP(-LN(2)/25))/(LN(2)/25)*Calculateur!V164*Calculateur!X164*VLOOKUP('Données projet'!$B$9,Paramètres!$A$1:$I$89,3,0)*0.475*44/12</f>
        <v>12.097307010880982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52.056767768364573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294.45857786714919</v>
      </c>
      <c r="AO164" s="59">
        <f t="shared" si="144"/>
        <v>221.9773436301067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36.882611072643776</v>
      </c>
      <c r="AV164" s="21">
        <f>EXP(-LN(2)/25)*AV163+(1-EXP(-LN(2)/25))/(LN(2)/25)*Calculateur!AQ164*Calculateur!AS164*VLOOKUP('Données projet'!$B$10,Paramètres!$A$1:$I$89,3,0)*0.475*44/12</f>
        <v>10.64194105852428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47.524552131168058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179.44051550872138</v>
      </c>
      <c r="BJ164" s="59">
        <f t="shared" si="146"/>
        <v>272.9500808380069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18.945988153308122</v>
      </c>
      <c r="BQ164" s="21">
        <f>EXP(-LN(2)/25)*BQ163+(1-EXP(-LN(2)/25))/(LN(2)/25)*Calculateur!BL164*Calculateur!BN164*VLOOKUP('Données projet'!$B$11,Paramètres!$A$1:$I$89,3,0)*0.475*44/12</f>
        <v>5.9668744101825917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24.912862563490712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-1.5961632016114892E-13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259.87681411271632</v>
      </c>
      <c r="CE164" s="59">
        <f t="shared" si="148"/>
        <v>191.8684235641158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65.54364734695784</v>
      </c>
      <c r="CL164" s="21">
        <f>EXP(-LN(2)/25)*CL163+(1-EXP(-LN(2)/25))/(LN(2)/25)*Calculateur!CG164*Calculateur!CI164*VLOOKUP('Données projet'!$B$12,Paramètres!$A$1:$I$89,3,0)*0.475*44/12</f>
        <v>20.21804762258175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85.76169496953959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5.6843418860808015E-14</v>
      </c>
      <c r="CU164" s="17">
        <f>CT164*VLOOKUP('Données projet'!$B$13,Paramètres!$A$1:$I$89,3,0)*VLOOKUP('Données projet'!$B$13,Paramètres!$A$1:$I$89,5,0)</f>
        <v>4.5224624045658861E-14</v>
      </c>
      <c r="CV164" s="13">
        <f t="shared" si="173"/>
        <v>7.4514601661523691E-13</v>
      </c>
      <c r="CW164" s="20">
        <f t="shared" si="174"/>
        <v>1.3765621991510601E-12</v>
      </c>
      <c r="CX164" s="59">
        <f t="shared" si="122"/>
        <v>293.33333333333468</v>
      </c>
      <c r="CY164" s="59">
        <f ca="1">AVERAGE(OFFSET($CX$3,0,0,'Données projet'!$E$13+1,1))-AVERAGE(OFFSET($H$3,0,0,'Données projet'!$E$13+1,1))</f>
        <v>198.11534486400666</v>
      </c>
      <c r="CZ164" s="59">
        <f t="shared" si="150"/>
        <v>174.29856796517652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15.855319014253475</v>
      </c>
      <c r="DG164" s="21">
        <f>EXP(-LN(2)/25)*DG163+(1-EXP(-LN(2)/25))/(LN(2)/25)*Calculateur!DB164*Calculateur!DD164*VLOOKUP('Données projet'!$B$13,Paramètres!$A$1:$I$89,3,0)*0.475*44/12</f>
        <v>2.6738840712162641</v>
      </c>
      <c r="DH164" s="21">
        <f>EXP(-LN(2)/2)*DH163+(1-EXP(-LN(2)/2))/(LN(2)/2)*DB164*DE164*VLOOKUP('Données projet'!$B$13,Paramètres!$A$1:$I$89,3,0)*0.475*44/12</f>
        <v>1.3092170798318521E-11</v>
      </c>
      <c r="DI164" s="22">
        <f t="shared" si="175"/>
        <v>18.52920308548283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-5.6843418860808015E-14</v>
      </c>
      <c r="DP164" s="17">
        <f>DO164*VLOOKUP('Données projet'!$B$14,Paramètres!$A$1:$I$89,3,0)*VLOOKUP('Données projet'!$B$14,Paramètres!$A$1:$I$89,5,0)</f>
        <v>-5.7639226724859328E-14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247.92503505485405</v>
      </c>
      <c r="DU164" s="59">
        <f t="shared" si="152"/>
        <v>148.26437652597514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88.536917072473216</v>
      </c>
      <c r="EB164" s="21">
        <f>EXP(-LN(2)/25)*EB163+(1-EXP(-LN(2)/25))/(LN(2)/25)*Calculateur!DW164*Calculateur!DY164*VLOOKUP('Données projet'!$B$14,Paramètres!$A$1:$I$89,3,0)*0.475*44/12</f>
        <v>47.88026479982998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136.41718187230319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-5.6843418860808015E-14</v>
      </c>
      <c r="EK164" s="17">
        <f>EJ164*VLOOKUP('Données projet'!$B$15,Paramètres!$A$1:$I$89,3,0)*VLOOKUP('Données projet'!$B$15,Paramètres!$A$1:$I$89,5,0)</f>
        <v>-5.4978954722173515E-14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232.99870507181964</v>
      </c>
      <c r="EP164" s="59">
        <f t="shared" si="154"/>
        <v>140.07662669226278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84.45059782297443</v>
      </c>
      <c r="EW164" s="21">
        <f>EXP(-LN(2)/25)*EW163+(1-EXP(-LN(2)/25))/(LN(2)/25)*Calculateur!ER164*Calculateur!ET164*VLOOKUP('Données projet'!$B$15,Paramètres!$A$1:$I$89,3,0)*0.475*44/12</f>
        <v>45.670406424453212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130.12100424742763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5.6843418860808015E-14</v>
      </c>
      <c r="FF164" s="17">
        <f>FE164*VLOOKUP('Données projet'!$B$16,Paramètres!$A$1:$I$89,3,0)*VLOOKUP('Données projet'!$B$16,Paramètres!$A$1:$I$89,5,0)</f>
        <v>4.4337866711430253E-14</v>
      </c>
      <c r="FG164" s="13">
        <f t="shared" si="182"/>
        <v>7.3222115536967035E-13</v>
      </c>
      <c r="FH164" s="20">
        <f t="shared" si="183"/>
        <v>1.3525069634579169E-12</v>
      </c>
      <c r="FI164" s="59">
        <f t="shared" si="131"/>
        <v>293.33333333333468</v>
      </c>
      <c r="FJ164" s="59">
        <f ca="1">AVERAGE(OFFSET($FI$3,0,0,'Données projet'!$E$16+1,1))-AVERAGE(OFFSET($H$3,0,0,'Données projet'!$E$16+1,1))</f>
        <v>193.47609744163839</v>
      </c>
      <c r="FK164" s="59">
        <f t="shared" si="156"/>
        <v>170.3221892406973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12.611519008747683</v>
      </c>
      <c r="FR164" s="21">
        <f>EXP(-LN(2)/25)*FR163+(1-EXP(-LN(2)/25))/(LN(2)/25)*Calculateur!FM164*Calculateur!FO164*VLOOKUP('Données projet'!$B$16,Paramètres!$A$1:$I$89,3,0)*0.475*44/12</f>
        <v>2.126840826161656</v>
      </c>
      <c r="FS164" s="21">
        <f>EXP(-LN(2)/2)*FS163+(1-EXP(-LN(2)/2))/(LN(2)/2)*FM164*FP164*VLOOKUP('Données projet'!$B$16,Paramètres!$A$1:$I$89,3,0)*0.475*44/12</f>
        <v>1.2835461566978961E-11</v>
      </c>
      <c r="FT164" s="22">
        <f t="shared" si="184"/>
        <v>14.738359834922175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>
        <f>FZ164*VLOOKUP('Données projet'!$B$17,Paramètres!$A$1:$I$89,3,0)*VLOOKUP('Données projet'!$B$17,Paramètres!$A$1:$I$89,5,0)</f>
        <v>0</v>
      </c>
      <c r="GB164" s="13" t="e">
        <f t="shared" si="185"/>
        <v>#NUM!</v>
      </c>
      <c r="GC164" s="20" t="e">
        <f t="shared" si="186"/>
        <v>#NUM!</v>
      </c>
      <c r="GD164" s="59" t="e">
        <f t="shared" si="134"/>
        <v>#NUM!</v>
      </c>
      <c r="GE164" s="59">
        <f ca="1">AVERAGE(OFFSET($GD$3,0,0,'Données projet'!$E$17+1,1))-AVERAGE(OFFSET($H$3,0,0,'Données projet'!$E$17+1,1))</f>
        <v>153.43773674911449</v>
      </c>
      <c r="GF164" s="59">
        <f t="shared" si="158"/>
        <v>235.49395036616602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16.577739634144585</v>
      </c>
      <c r="GM164" s="21">
        <f>EXP(-LN(2)/25)*GM163+(1-EXP(-LN(2)/25))/(LN(2)/25)*Calculateur!GH164*Calculateur!GJ164*VLOOKUP('Données projet'!$B$17,Paramètres!$A$1:$I$89,3,0)*0.475*44/12</f>
        <v>5.2210151089097643</v>
      </c>
      <c r="GN164" s="21">
        <f>EXP(-LN(2)/2)*GN163+(1-EXP(-LN(2)/2))/(LN(2)/2)*GH164*GK164*VLOOKUP('Données projet'!$B$17,Paramètres!$A$1:$I$89,3,0)*0.475*44/12</f>
        <v>0</v>
      </c>
      <c r="GO164" s="21">
        <f t="shared" si="187"/>
        <v>21.798754743054349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5.6843418860808015E-14</v>
      </c>
      <c r="GV164" s="17">
        <f>GU164*VLOOKUP('Données projet'!$B$18,Paramètres!$A$1:$I$89,3,0)*VLOOKUP('Données projet'!$B$18,Paramètres!$A$1:$I$89,5,0)</f>
        <v>4.5224624045658861E-14</v>
      </c>
      <c r="GW164" s="13">
        <f t="shared" si="188"/>
        <v>7.4514601661523691E-13</v>
      </c>
      <c r="GX164" s="20">
        <f t="shared" si="189"/>
        <v>1.3765621991510601E-12</v>
      </c>
      <c r="GY164" s="59">
        <f t="shared" si="137"/>
        <v>293.33333333333468</v>
      </c>
      <c r="GZ164" s="59">
        <f ca="1">AVERAGE(OFFSET($GY$3,0,0,'Données projet'!$E$18+1,1))-AVERAGE(OFFSET($H$3,0,0,'Données projet'!$E$18+1,1))</f>
        <v>198.11534486400666</v>
      </c>
      <c r="HA164" s="59">
        <f t="shared" si="160"/>
        <v>174.29856796517652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>
        <f>EXP(-LN(2)/35)*HG163+(1-EXP(-LN(2)/35))/(LN(2)/35)*HC164*HD164*VLOOKUP('Données projet'!$B$18,Paramètres!$A$1:$I$89,3,0)*0.475*44/12</f>
        <v>15.855319014253475</v>
      </c>
      <c r="HH164" s="21">
        <f>EXP(-LN(2)/25)*HH163+(1-EXP(-LN(2)/25))/(LN(2)/25)*Calculateur!HC164*Calculateur!HE164*VLOOKUP('Données projet'!$B$18,Paramètres!$A$1:$I$89,3,0)*0.475*44/12</f>
        <v>2.6738840712162641</v>
      </c>
      <c r="HI164" s="21">
        <f>EXP(-LN(2)/2)*HI163+(1-EXP(-LN(2)/2))/(LN(2)/2)*HC164*HF164*VLOOKUP('Données projet'!$B$18,Paramètres!$A$1:$I$89,3,0)*0.475*44/12</f>
        <v>1.3092170798318521E-11</v>
      </c>
      <c r="HJ164" s="22">
        <f t="shared" si="190"/>
        <v>18.52920308548283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1.1368683772161603E-13</v>
      </c>
      <c r="O165" s="13">
        <f>N165*VLOOKUP('Données projet'!$B$9,Paramètres!$A$1:$I$89,3,0)*VLOOKUP('Données projet'!$B$9,Paramètres!$A$1:$I$89,5,0)</f>
        <v>6.7984728957526396E-14</v>
      </c>
      <c r="P165" s="13">
        <f t="shared" si="141"/>
        <v>1.0682447123141398E-12</v>
      </c>
      <c r="Q165" s="20">
        <f t="shared" si="162"/>
        <v>1.978932943548152E-12</v>
      </c>
      <c r="R165" s="59">
        <f t="shared" si="109"/>
        <v>293.3333333333353</v>
      </c>
      <c r="S165" s="59">
        <f ca="1">AVERAGE(OFFSET($R$3,0,0,'Données projet'!$E$9+1,1))-AVERAGE(OFFSET($H$3,0,0,'Données projet'!$E$9+1,1))</f>
        <v>295.19075440119076</v>
      </c>
      <c r="T165" s="59">
        <f t="shared" si="142"/>
        <v>173.0182327988216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39.175880104893778</v>
      </c>
      <c r="AA165" s="21">
        <f>EXP(-LN(2)/25)*AA164+(1-EXP(-LN(2)/25))/(LN(2)/25)*Calculateur!V165*Calculateur!X165*VLOOKUP('Données projet'!$B$9,Paramètres!$A$1:$I$89,3,0)*0.475*44/12</f>
        <v>11.766505514498714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50.942385619392496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294.45857786714919</v>
      </c>
      <c r="AO165" s="59">
        <f t="shared" si="144"/>
        <v>221.9773436301067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36.159365565680673</v>
      </c>
      <c r="AV165" s="21">
        <f>EXP(-LN(2)/25)*AV164+(1-EXP(-LN(2)/25))/(LN(2)/25)*Calculateur!AQ165*Calculateur!AS165*VLOOKUP('Données projet'!$B$10,Paramètres!$A$1:$I$89,3,0)*0.475*44/12</f>
        <v>10.350936620643575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46.510302186324246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179.44051550872138</v>
      </c>
      <c r="BJ165" s="59">
        <f t="shared" si="146"/>
        <v>272.9500808380069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18.57446888153347</v>
      </c>
      <c r="BQ165" s="21">
        <f>EXP(-LN(2)/25)*BQ164+(1-EXP(-LN(2)/25))/(LN(2)/25)*Calculateur!BL165*Calculateur!BN165*VLOOKUP('Données projet'!$B$11,Paramètres!$A$1:$I$89,3,0)*0.475*44/12</f>
        <v>5.8037099156518606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24.378178797185331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-1.5961632016114892E-13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259.87681411271632</v>
      </c>
      <c r="CE165" s="59">
        <f t="shared" si="148"/>
        <v>191.8684235641158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64.25837640016141</v>
      </c>
      <c r="CL165" s="21">
        <f>EXP(-LN(2)/25)*CL164+(1-EXP(-LN(2)/25))/(LN(2)/25)*Calculateur!CG165*Calculateur!CI165*VLOOKUP('Données projet'!$B$12,Paramètres!$A$1:$I$89,3,0)*0.475*44/12</f>
        <v>19.665184047121336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83.923560447282739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5.6843418860808015E-14</v>
      </c>
      <c r="CU165" s="17">
        <f>CT165*VLOOKUP('Données projet'!$B$13,Paramètres!$A$1:$I$89,3,0)*VLOOKUP('Données projet'!$B$13,Paramètres!$A$1:$I$89,5,0)</f>
        <v>4.5224624045658861E-14</v>
      </c>
      <c r="CV165" s="13">
        <f t="shared" si="173"/>
        <v>7.4514601661523691E-13</v>
      </c>
      <c r="CW165" s="20">
        <f t="shared" si="174"/>
        <v>1.3765621991510601E-12</v>
      </c>
      <c r="CX165" s="59">
        <f t="shared" si="122"/>
        <v>293.33333333333468</v>
      </c>
      <c r="CY165" s="59">
        <f ca="1">AVERAGE(OFFSET($CX$3,0,0,'Données projet'!$E$13+1,1))-AVERAGE(OFFSET($H$3,0,0,'Données projet'!$E$13+1,1))</f>
        <v>198.11534486400666</v>
      </c>
      <c r="CZ165" s="59">
        <f t="shared" si="150"/>
        <v>174.29856796517652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15.544405879173651</v>
      </c>
      <c r="DG165" s="21">
        <f>EXP(-LN(2)/25)*DG164+(1-EXP(-LN(2)/25))/(LN(2)/25)*Calculateur!DB165*Calculateur!DD165*VLOOKUP('Données projet'!$B$13,Paramètres!$A$1:$I$89,3,0)*0.475*44/12</f>
        <v>2.6007665706754035</v>
      </c>
      <c r="DH165" s="21">
        <f>EXP(-LN(2)/2)*DH164+(1-EXP(-LN(2)/2))/(LN(2)/2)*DB165*DE165*VLOOKUP('Données projet'!$B$13,Paramètres!$A$1:$I$89,3,0)*0.475*44/12</f>
        <v>9.2575627519435214E-12</v>
      </c>
      <c r="DI165" s="22">
        <f t="shared" si="175"/>
        <v>18.145172449858311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-5.6843418860808015E-14</v>
      </c>
      <c r="DP165" s="17">
        <f>DO165*VLOOKUP('Données projet'!$B$14,Paramètres!$A$1:$I$89,3,0)*VLOOKUP('Données projet'!$B$14,Paramètres!$A$1:$I$89,5,0)</f>
        <v>-5.7639226724859328E-14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247.92503505485405</v>
      </c>
      <c r="DU165" s="59">
        <f t="shared" si="152"/>
        <v>148.26437652597514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86.80076213086916</v>
      </c>
      <c r="EB165" s="21">
        <f>EXP(-LN(2)/25)*EB164+(1-EXP(-LN(2)/25))/(LN(2)/25)*Calculateur!DW165*Calculateur!DY165*VLOOKUP('Données projet'!$B$14,Paramètres!$A$1:$I$89,3,0)*0.475*44/12</f>
        <v>46.570976440964934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133.3717385718341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-5.6843418860808015E-14</v>
      </c>
      <c r="EK165" s="17">
        <f>EJ165*VLOOKUP('Données projet'!$B$15,Paramètres!$A$1:$I$89,3,0)*VLOOKUP('Données projet'!$B$15,Paramètres!$A$1:$I$89,5,0)</f>
        <v>-5.4978954722173515E-14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232.99870507181964</v>
      </c>
      <c r="EP165" s="59">
        <f t="shared" si="154"/>
        <v>140.07662669226278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82.7945731094444</v>
      </c>
      <c r="EW165" s="21">
        <f>EXP(-LN(2)/25)*EW164+(1-EXP(-LN(2)/25))/(LN(2)/25)*Calculateur!ER165*Calculateur!ET165*VLOOKUP('Données projet'!$B$15,Paramètres!$A$1:$I$89,3,0)*0.475*44/12</f>
        <v>44.421546759074246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127.21611986851865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5.6843418860808015E-14</v>
      </c>
      <c r="FF165" s="17">
        <f>FE165*VLOOKUP('Données projet'!$B$16,Paramètres!$A$1:$I$89,3,0)*VLOOKUP('Données projet'!$B$16,Paramètres!$A$1:$I$89,5,0)</f>
        <v>4.4337866711430253E-14</v>
      </c>
      <c r="FG165" s="13">
        <f t="shared" si="182"/>
        <v>7.3222115536967035E-13</v>
      </c>
      <c r="FH165" s="20">
        <f t="shared" si="183"/>
        <v>1.3525069634579169E-12</v>
      </c>
      <c r="FI165" s="59">
        <f t="shared" si="131"/>
        <v>293.33333333333468</v>
      </c>
      <c r="FJ165" s="59">
        <f ca="1">AVERAGE(OFFSET($FI$3,0,0,'Données projet'!$E$16+1,1))-AVERAGE(OFFSET($H$3,0,0,'Données projet'!$E$16+1,1))</f>
        <v>193.47609744163839</v>
      </c>
      <c r="FK165" s="59">
        <f t="shared" si="156"/>
        <v>170.3221892406973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12.364214813253188</v>
      </c>
      <c r="FR165" s="21">
        <f>EXP(-LN(2)/25)*FR164+(1-EXP(-LN(2)/25))/(LN(2)/25)*Calculateur!FM165*Calculateur!FO165*VLOOKUP('Données projet'!$B$16,Paramètres!$A$1:$I$89,3,0)*0.475*44/12</f>
        <v>2.0686822519245673</v>
      </c>
      <c r="FS165" s="21">
        <f>EXP(-LN(2)/2)*FS164+(1-EXP(-LN(2)/2))/(LN(2)/2)*FM165*FP165*VLOOKUP('Données projet'!$B$16,Paramètres!$A$1:$I$89,3,0)*0.475*44/12</f>
        <v>9.0760419136701327E-12</v>
      </c>
      <c r="FT165" s="22">
        <f t="shared" si="184"/>
        <v>14.432897065186831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>
        <f>FZ165*VLOOKUP('Données projet'!$B$17,Paramètres!$A$1:$I$89,3,0)*VLOOKUP('Données projet'!$B$17,Paramètres!$A$1:$I$89,5,0)</f>
        <v>0</v>
      </c>
      <c r="GB165" s="13" t="e">
        <f t="shared" si="185"/>
        <v>#NUM!</v>
      </c>
      <c r="GC165" s="20" t="e">
        <f t="shared" si="186"/>
        <v>#NUM!</v>
      </c>
      <c r="GD165" s="59" t="e">
        <f t="shared" si="134"/>
        <v>#NUM!</v>
      </c>
      <c r="GE165" s="59">
        <f ca="1">AVERAGE(OFFSET($GD$3,0,0,'Données projet'!$E$17+1,1))-AVERAGE(OFFSET($H$3,0,0,'Données projet'!$E$17+1,1))</f>
        <v>153.43773674911449</v>
      </c>
      <c r="GF165" s="59">
        <f t="shared" si="158"/>
        <v>235.49395036616602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16.252660271341767</v>
      </c>
      <c r="GM165" s="21">
        <f>EXP(-LN(2)/25)*GM164+(1-EXP(-LN(2)/25))/(LN(2)/25)*Calculateur!GH165*Calculateur!GJ165*VLOOKUP('Données projet'!$B$17,Paramètres!$A$1:$I$89,3,0)*0.475*44/12</f>
        <v>5.0782461761953748</v>
      </c>
      <c r="GN165" s="21">
        <f>EXP(-LN(2)/2)*GN164+(1-EXP(-LN(2)/2))/(LN(2)/2)*GH165*GK165*VLOOKUP('Données projet'!$B$17,Paramètres!$A$1:$I$89,3,0)*0.475*44/12</f>
        <v>0</v>
      </c>
      <c r="GO165" s="21">
        <f t="shared" si="187"/>
        <v>21.330906447537142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5.6843418860808015E-14</v>
      </c>
      <c r="GV165" s="17">
        <f>GU165*VLOOKUP('Données projet'!$B$18,Paramètres!$A$1:$I$89,3,0)*VLOOKUP('Données projet'!$B$18,Paramètres!$A$1:$I$89,5,0)</f>
        <v>4.5224624045658861E-14</v>
      </c>
      <c r="GW165" s="13">
        <f t="shared" si="188"/>
        <v>7.4514601661523691E-13</v>
      </c>
      <c r="GX165" s="20">
        <f t="shared" si="189"/>
        <v>1.3765621991510601E-12</v>
      </c>
      <c r="GY165" s="59">
        <f t="shared" si="137"/>
        <v>293.33333333333468</v>
      </c>
      <c r="GZ165" s="59">
        <f ca="1">AVERAGE(OFFSET($GY$3,0,0,'Données projet'!$E$18+1,1))-AVERAGE(OFFSET($H$3,0,0,'Données projet'!$E$18+1,1))</f>
        <v>198.11534486400666</v>
      </c>
      <c r="HA165" s="59">
        <f t="shared" si="160"/>
        <v>174.29856796517652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>
        <f>EXP(-LN(2)/35)*HG164+(1-EXP(-LN(2)/35))/(LN(2)/35)*HC165*HD165*VLOOKUP('Données projet'!$B$18,Paramètres!$A$1:$I$89,3,0)*0.475*44/12</f>
        <v>15.544405879173651</v>
      </c>
      <c r="HH165" s="21">
        <f>EXP(-LN(2)/25)*HH164+(1-EXP(-LN(2)/25))/(LN(2)/25)*Calculateur!HC165*Calculateur!HE165*VLOOKUP('Données projet'!$B$18,Paramètres!$A$1:$I$89,3,0)*0.475*44/12</f>
        <v>2.6007665706754035</v>
      </c>
      <c r="HI165" s="21">
        <f>EXP(-LN(2)/2)*HI164+(1-EXP(-LN(2)/2))/(LN(2)/2)*HC165*HF165*VLOOKUP('Données projet'!$B$18,Paramètres!$A$1:$I$89,3,0)*0.475*44/12</f>
        <v>9.2575627519435214E-12</v>
      </c>
      <c r="HJ165" s="22">
        <f t="shared" si="190"/>
        <v>18.145172449858311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1.1368683772161603E-13</v>
      </c>
      <c r="O166" s="13">
        <f>N166*VLOOKUP('Données projet'!$B$9,Paramètres!$A$1:$I$89,3,0)*VLOOKUP('Données projet'!$B$9,Paramètres!$A$1:$I$89,5,0)</f>
        <v>6.7984728957526396E-14</v>
      </c>
      <c r="P166" s="13">
        <f t="shared" si="141"/>
        <v>1.0682447123141398E-12</v>
      </c>
      <c r="Q166" s="20">
        <f t="shared" si="162"/>
        <v>1.978932943548152E-12</v>
      </c>
      <c r="R166" s="59">
        <f t="shared" si="109"/>
        <v>293.3333333333353</v>
      </c>
      <c r="S166" s="59">
        <f ca="1">AVERAGE(OFFSET($R$3,0,0,'Données projet'!$E$9+1,1))-AVERAGE(OFFSET($H$3,0,0,'Données projet'!$E$9+1,1))</f>
        <v>295.19075440119076</v>
      </c>
      <c r="T166" s="59">
        <f t="shared" si="142"/>
        <v>173.0182327988216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38.40766499096425</v>
      </c>
      <c r="AA166" s="21">
        <f>EXP(-LN(2)/25)*AA165+(1-EXP(-LN(2)/25))/(LN(2)/25)*Calculateur!V166*Calculateur!X166*VLOOKUP('Données projet'!$B$9,Paramètres!$A$1:$I$89,3,0)*0.475*44/12</f>
        <v>11.444749802431115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49.852414793395369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294.45857786714919</v>
      </c>
      <c r="AO166" s="59">
        <f t="shared" si="144"/>
        <v>221.9773436301067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35.450302461972917</v>
      </c>
      <c r="AV166" s="21">
        <f>EXP(-LN(2)/25)*AV165+(1-EXP(-LN(2)/25))/(LN(2)/25)*Calculateur!AQ166*Calculateur!AS166*VLOOKUP('Données projet'!$B$10,Paramètres!$A$1:$I$89,3,0)*0.475*44/12</f>
        <v>10.067889714419977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45.518192176392894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179.44051550872138</v>
      </c>
      <c r="BJ166" s="59">
        <f t="shared" si="146"/>
        <v>272.9500808380069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18.21023487607394</v>
      </c>
      <c r="BQ166" s="21">
        <f>EXP(-LN(2)/25)*BQ165+(1-EXP(-LN(2)/25))/(LN(2)/25)*Calculateur!BL166*Calculateur!BN166*VLOOKUP('Données projet'!$B$11,Paramètres!$A$1:$I$89,3,0)*0.475*44/12</f>
        <v>5.6450071628045206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23.855242038878462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-1.5961632016114892E-13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259.87681411271632</v>
      </c>
      <c r="CE166" s="59">
        <f t="shared" si="148"/>
        <v>191.8684235641158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62.998308832693787</v>
      </c>
      <c r="CL166" s="21">
        <f>EXP(-LN(2)/25)*CL165+(1-EXP(-LN(2)/25))/(LN(2)/25)*Calculateur!CG166*Calculateur!CI166*VLOOKUP('Données projet'!$B$12,Paramètres!$A$1:$I$89,3,0)*0.475*44/12</f>
        <v>19.127438555205721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82.125747387899509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5.6843418860808015E-14</v>
      </c>
      <c r="CU166" s="17">
        <f>CT166*VLOOKUP('Données projet'!$B$13,Paramètres!$A$1:$I$89,3,0)*VLOOKUP('Données projet'!$B$13,Paramètres!$A$1:$I$89,5,0)</f>
        <v>4.5224624045658861E-14</v>
      </c>
      <c r="CV166" s="13">
        <f t="shared" si="173"/>
        <v>7.4514601661523691E-13</v>
      </c>
      <c r="CW166" s="20">
        <f t="shared" si="174"/>
        <v>1.3765621991510601E-12</v>
      </c>
      <c r="CX166" s="59">
        <f t="shared" si="122"/>
        <v>293.33333333333468</v>
      </c>
      <c r="CY166" s="59">
        <f ca="1">AVERAGE(OFFSET($CX$3,0,0,'Données projet'!$E$13+1,1))-AVERAGE(OFFSET($H$3,0,0,'Données projet'!$E$13+1,1))</f>
        <v>198.11534486400666</v>
      </c>
      <c r="CZ166" s="59">
        <f t="shared" si="150"/>
        <v>174.29856796517652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15.239589561034455</v>
      </c>
      <c r="DG166" s="21">
        <f>EXP(-LN(2)/25)*DG165+(1-EXP(-LN(2)/25))/(LN(2)/25)*Calculateur!DB166*Calculateur!DD166*VLOOKUP('Données projet'!$B$13,Paramètres!$A$1:$I$89,3,0)*0.475*44/12</f>
        <v>2.5296484720319148</v>
      </c>
      <c r="DH166" s="21">
        <f>EXP(-LN(2)/2)*DH165+(1-EXP(-LN(2)/2))/(LN(2)/2)*DB166*DE166*VLOOKUP('Données projet'!$B$13,Paramètres!$A$1:$I$89,3,0)*0.475*44/12</f>
        <v>6.5460853991592604E-12</v>
      </c>
      <c r="DI166" s="22">
        <f t="shared" si="175"/>
        <v>17.769238033072916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-5.6843418860808015E-14</v>
      </c>
      <c r="DP166" s="17">
        <f>DO166*VLOOKUP('Données projet'!$B$14,Paramètres!$A$1:$I$89,3,0)*VLOOKUP('Données projet'!$B$14,Paramètres!$A$1:$I$89,5,0)</f>
        <v>-5.7639226724859328E-14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247.92503505485405</v>
      </c>
      <c r="DU166" s="59">
        <f t="shared" si="152"/>
        <v>148.26437652597514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85.098652128720005</v>
      </c>
      <c r="EB166" s="21">
        <f>EXP(-LN(2)/25)*EB165+(1-EXP(-LN(2)/25))/(LN(2)/25)*Calculateur!DW166*Calculateur!DY166*VLOOKUP('Données projet'!$B$14,Paramètres!$A$1:$I$89,3,0)*0.475*44/12</f>
        <v>45.297490641125535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130.39614276984554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-5.6843418860808015E-14</v>
      </c>
      <c r="EK166" s="17">
        <f>EJ166*VLOOKUP('Données projet'!$B$15,Paramètres!$A$1:$I$89,3,0)*VLOOKUP('Données projet'!$B$15,Paramètres!$A$1:$I$89,5,0)</f>
        <v>-5.4978954722173515E-14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232.99870507181964</v>
      </c>
      <c r="EP166" s="59">
        <f t="shared" si="154"/>
        <v>140.07662669226278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81.171022030471363</v>
      </c>
      <c r="EW166" s="21">
        <f>EXP(-LN(2)/25)*EW165+(1-EXP(-LN(2)/25))/(LN(2)/25)*Calculateur!ER166*Calculateur!ET166*VLOOKUP('Données projet'!$B$15,Paramètres!$A$1:$I$89,3,0)*0.475*44/12</f>
        <v>43.206837226919745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124.37785925739111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5.6843418860808015E-14</v>
      </c>
      <c r="FF166" s="17">
        <f>FE166*VLOOKUP('Données projet'!$B$16,Paramètres!$A$1:$I$89,3,0)*VLOOKUP('Données projet'!$B$16,Paramètres!$A$1:$I$89,5,0)</f>
        <v>4.4337866711430253E-14</v>
      </c>
      <c r="FG166" s="13">
        <f t="shared" si="182"/>
        <v>7.3222115536967035E-13</v>
      </c>
      <c r="FH166" s="20">
        <f t="shared" si="183"/>
        <v>1.3525069634579169E-12</v>
      </c>
      <c r="FI166" s="59">
        <f t="shared" si="131"/>
        <v>293.33333333333468</v>
      </c>
      <c r="FJ166" s="59">
        <f ca="1">AVERAGE(OFFSET($FI$3,0,0,'Données projet'!$E$16+1,1))-AVERAGE(OFFSET($H$3,0,0,'Données projet'!$E$16+1,1))</f>
        <v>193.47609744163839</v>
      </c>
      <c r="FK166" s="59">
        <f t="shared" si="156"/>
        <v>170.3221892406973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12.121760102191676</v>
      </c>
      <c r="FR166" s="21">
        <f>EXP(-LN(2)/25)*FR165+(1-EXP(-LN(2)/25))/(LN(2)/25)*Calculateur!FM166*Calculateur!FO166*VLOOKUP('Données projet'!$B$16,Paramètres!$A$1:$I$89,3,0)*0.475*44/12</f>
        <v>2.0121140269584186</v>
      </c>
      <c r="FS166" s="21">
        <f>EXP(-LN(2)/2)*FS165+(1-EXP(-LN(2)/2))/(LN(2)/2)*FM166*FP166*VLOOKUP('Données projet'!$B$16,Paramètres!$A$1:$I$89,3,0)*0.475*44/12</f>
        <v>6.4177307834894806E-12</v>
      </c>
      <c r="FT166" s="22">
        <f t="shared" si="184"/>
        <v>14.133874129156512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>
        <f>FZ166*VLOOKUP('Données projet'!$B$17,Paramètres!$A$1:$I$89,3,0)*VLOOKUP('Données projet'!$B$17,Paramètres!$A$1:$I$89,5,0)</f>
        <v>0</v>
      </c>
      <c r="GB166" s="13" t="e">
        <f t="shared" si="185"/>
        <v>#NUM!</v>
      </c>
      <c r="GC166" s="20" t="e">
        <f t="shared" si="186"/>
        <v>#NUM!</v>
      </c>
      <c r="GD166" s="59" t="e">
        <f t="shared" si="134"/>
        <v>#NUM!</v>
      </c>
      <c r="GE166" s="59">
        <f ca="1">AVERAGE(OFFSET($GD$3,0,0,'Données projet'!$E$17+1,1))-AVERAGE(OFFSET($H$3,0,0,'Données projet'!$E$17+1,1))</f>
        <v>153.43773674911449</v>
      </c>
      <c r="GF166" s="59">
        <f t="shared" si="158"/>
        <v>235.49395036616602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15.93395551656468</v>
      </c>
      <c r="GM166" s="21">
        <f>EXP(-LN(2)/25)*GM165+(1-EXP(-LN(2)/25))/(LN(2)/25)*Calculateur!GH166*Calculateur!GJ166*VLOOKUP('Données projet'!$B$17,Paramètres!$A$1:$I$89,3,0)*0.475*44/12</f>
        <v>4.9393812674539523</v>
      </c>
      <c r="GN166" s="21">
        <f>EXP(-LN(2)/2)*GN165+(1-EXP(-LN(2)/2))/(LN(2)/2)*GH166*GK166*VLOOKUP('Données projet'!$B$17,Paramètres!$A$1:$I$89,3,0)*0.475*44/12</f>
        <v>0</v>
      </c>
      <c r="GO166" s="21">
        <f t="shared" si="187"/>
        <v>20.873336784018633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5.6843418860808015E-14</v>
      </c>
      <c r="GV166" s="17">
        <f>GU166*VLOOKUP('Données projet'!$B$18,Paramètres!$A$1:$I$89,3,0)*VLOOKUP('Données projet'!$B$18,Paramètres!$A$1:$I$89,5,0)</f>
        <v>4.5224624045658861E-14</v>
      </c>
      <c r="GW166" s="13">
        <f t="shared" si="188"/>
        <v>7.4514601661523691E-13</v>
      </c>
      <c r="GX166" s="20">
        <f t="shared" si="189"/>
        <v>1.3765621991510601E-12</v>
      </c>
      <c r="GY166" s="59">
        <f t="shared" si="137"/>
        <v>293.33333333333468</v>
      </c>
      <c r="GZ166" s="59">
        <f ca="1">AVERAGE(OFFSET($GY$3,0,0,'Données projet'!$E$18+1,1))-AVERAGE(OFFSET($H$3,0,0,'Données projet'!$E$18+1,1))</f>
        <v>198.11534486400666</v>
      </c>
      <c r="HA166" s="59">
        <f t="shared" si="160"/>
        <v>174.29856796517652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>
        <f>EXP(-LN(2)/35)*HG165+(1-EXP(-LN(2)/35))/(LN(2)/35)*HC166*HD166*VLOOKUP('Données projet'!$B$18,Paramètres!$A$1:$I$89,3,0)*0.475*44/12</f>
        <v>15.239589561034455</v>
      </c>
      <c r="HH166" s="21">
        <f>EXP(-LN(2)/25)*HH165+(1-EXP(-LN(2)/25))/(LN(2)/25)*Calculateur!HC166*Calculateur!HE166*VLOOKUP('Données projet'!$B$18,Paramètres!$A$1:$I$89,3,0)*0.475*44/12</f>
        <v>2.5296484720319148</v>
      </c>
      <c r="HI166" s="21">
        <f>EXP(-LN(2)/2)*HI165+(1-EXP(-LN(2)/2))/(LN(2)/2)*HC166*HF166*VLOOKUP('Données projet'!$B$18,Paramètres!$A$1:$I$89,3,0)*0.475*44/12</f>
        <v>6.5460853991592604E-12</v>
      </c>
      <c r="HJ166" s="22">
        <f t="shared" si="190"/>
        <v>17.769238033072916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1.1368683772161603E-13</v>
      </c>
      <c r="O167" s="13">
        <f>N167*VLOOKUP('Données projet'!$B$9,Paramètres!$A$1:$I$89,3,0)*VLOOKUP('Données projet'!$B$9,Paramètres!$A$1:$I$89,5,0)</f>
        <v>6.7984728957526396E-14</v>
      </c>
      <c r="P167" s="13">
        <f t="shared" si="141"/>
        <v>1.0682447123141398E-12</v>
      </c>
      <c r="Q167" s="20">
        <f t="shared" si="162"/>
        <v>1.978932943548152E-12</v>
      </c>
      <c r="R167" s="59">
        <f t="shared" si="109"/>
        <v>293.3333333333353</v>
      </c>
      <c r="S167" s="59">
        <f ca="1">AVERAGE(OFFSET($R$3,0,0,'Données projet'!$E$9+1,1))-AVERAGE(OFFSET($H$3,0,0,'Données projet'!$E$9+1,1))</f>
        <v>295.19075440119076</v>
      </c>
      <c r="T167" s="59">
        <f t="shared" si="142"/>
        <v>173.0182327988216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37.654514106853924</v>
      </c>
      <c r="AA167" s="21">
        <f>EXP(-LN(2)/25)*AA166+(1-EXP(-LN(2)/25))/(LN(2)/25)*Calculateur!V167*Calculateur!X167*VLOOKUP('Données projet'!$B$9,Paramètres!$A$1:$I$89,3,0)*0.475*44/12</f>
        <v>11.131792517230402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48.786306624084325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294.45857786714919</v>
      </c>
      <c r="AO167" s="59">
        <f t="shared" si="144"/>
        <v>221.9773436301067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34.755143653243081</v>
      </c>
      <c r="AV167" s="21">
        <f>EXP(-LN(2)/25)*AV166+(1-EXP(-LN(2)/25))/(LN(2)/25)*Calculateur!AQ167*Calculateur!AS167*VLOOKUP('Données projet'!$B$10,Paramètres!$A$1:$I$89,3,0)*0.475*44/12</f>
        <v>9.7925827407318522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44.547726393974934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179.44051550872138</v>
      </c>
      <c r="BJ167" s="59">
        <f t="shared" si="146"/>
        <v>272.9500808380069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17.853143277300664</v>
      </c>
      <c r="BQ167" s="21">
        <f>EXP(-LN(2)/25)*BQ166+(1-EXP(-LN(2)/25))/(LN(2)/25)*Calculateur!BL167*Calculateur!BN167*VLOOKUP('Données projet'!$B$11,Paramètres!$A$1:$I$89,3,0)*0.475*44/12</f>
        <v>5.4906441450796057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23.34378742238027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-1.5961632016114892E-13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259.87681411271632</v>
      </c>
      <c r="CE167" s="59">
        <f t="shared" si="148"/>
        <v>191.8684235641158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61.762950421658878</v>
      </c>
      <c r="CL167" s="21">
        <f>EXP(-LN(2)/25)*CL166+(1-EXP(-LN(2)/25))/(LN(2)/25)*Calculateur!CG167*Calculateur!CI167*VLOOKUP('Données projet'!$B$12,Paramètres!$A$1:$I$89,3,0)*0.475*44/12</f>
        <v>18.604397742045343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80.367348163704222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5.6843418860808015E-14</v>
      </c>
      <c r="CU167" s="17">
        <f>CT167*VLOOKUP('Données projet'!$B$13,Paramètres!$A$1:$I$89,3,0)*VLOOKUP('Données projet'!$B$13,Paramètres!$A$1:$I$89,5,0)</f>
        <v>4.5224624045658861E-14</v>
      </c>
      <c r="CV167" s="13">
        <f t="shared" si="173"/>
        <v>7.4514601661523691E-13</v>
      </c>
      <c r="CW167" s="20">
        <f t="shared" si="174"/>
        <v>1.3765621991510601E-12</v>
      </c>
      <c r="CX167" s="59">
        <f t="shared" si="122"/>
        <v>293.33333333333468</v>
      </c>
      <c r="CY167" s="59">
        <f ca="1">AVERAGE(OFFSET($CX$3,0,0,'Données projet'!$E$13+1,1))-AVERAGE(OFFSET($H$3,0,0,'Données projet'!$E$13+1,1))</f>
        <v>198.11534486400666</v>
      </c>
      <c r="CZ167" s="59">
        <f t="shared" si="150"/>
        <v>174.29856796517652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14.940750504974373</v>
      </c>
      <c r="DG167" s="21">
        <f>EXP(-LN(2)/25)*DG166+(1-EXP(-LN(2)/25))/(LN(2)/25)*Calculateur!DB167*Calculateur!DD167*VLOOKUP('Données projet'!$B$13,Paramètres!$A$1:$I$89,3,0)*0.475*44/12</f>
        <v>2.4604751015357706</v>
      </c>
      <c r="DH167" s="21">
        <f>EXP(-LN(2)/2)*DH166+(1-EXP(-LN(2)/2))/(LN(2)/2)*DB167*DE167*VLOOKUP('Données projet'!$B$13,Paramètres!$A$1:$I$89,3,0)*0.475*44/12</f>
        <v>4.6287813759717607E-12</v>
      </c>
      <c r="DI167" s="22">
        <f t="shared" si="175"/>
        <v>17.401225606514775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-5.6843418860808015E-14</v>
      </c>
      <c r="DP167" s="17">
        <f>DO167*VLOOKUP('Données projet'!$B$14,Paramètres!$A$1:$I$89,3,0)*VLOOKUP('Données projet'!$B$14,Paramètres!$A$1:$I$89,5,0)</f>
        <v>-5.7639226724859328E-14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247.92503505485405</v>
      </c>
      <c r="DU167" s="59">
        <f t="shared" si="152"/>
        <v>148.26437652597514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83.4299194655284</v>
      </c>
      <c r="EB167" s="21">
        <f>EXP(-LN(2)/25)*EB166+(1-EXP(-LN(2)/25))/(LN(2)/25)*Calculateur!DW167*Calculateur!DY167*VLOOKUP('Données projet'!$B$14,Paramètres!$A$1:$I$89,3,0)*0.475*44/12</f>
        <v>44.05882837745245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127.48874784298084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-5.6843418860808015E-14</v>
      </c>
      <c r="EK167" s="17">
        <f>EJ167*VLOOKUP('Données projet'!$B$15,Paramètres!$A$1:$I$89,3,0)*VLOOKUP('Données projet'!$B$15,Paramètres!$A$1:$I$89,5,0)</f>
        <v>-5.4978954722173515E-14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232.99870507181964</v>
      </c>
      <c r="EP167" s="59">
        <f t="shared" si="154"/>
        <v>140.07662669226278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79.579307797888603</v>
      </c>
      <c r="EW167" s="21">
        <f>EXP(-LN(2)/25)*EW166+(1-EXP(-LN(2)/25))/(LN(2)/25)*Calculateur!ER167*Calculateur!ET167*VLOOKUP('Données projet'!$B$15,Paramètres!$A$1:$I$89,3,0)*0.475*44/12</f>
        <v>42.025343990800806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121.60465178868941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5.6843418860808015E-14</v>
      </c>
      <c r="FF167" s="17">
        <f>FE167*VLOOKUP('Données projet'!$B$16,Paramètres!$A$1:$I$89,3,0)*VLOOKUP('Données projet'!$B$16,Paramètres!$A$1:$I$89,5,0)</f>
        <v>4.4337866711430253E-14</v>
      </c>
      <c r="FG167" s="13">
        <f t="shared" si="182"/>
        <v>7.3222115536967035E-13</v>
      </c>
      <c r="FH167" s="20">
        <f t="shared" si="183"/>
        <v>1.3525069634579169E-12</v>
      </c>
      <c r="FI167" s="59">
        <f t="shared" si="131"/>
        <v>293.33333333333468</v>
      </c>
      <c r="FJ167" s="59">
        <f ca="1">AVERAGE(OFFSET($FI$3,0,0,'Données projet'!$E$16+1,1))-AVERAGE(OFFSET($H$3,0,0,'Données projet'!$E$16+1,1))</f>
        <v>193.47609744163839</v>
      </c>
      <c r="FK167" s="59">
        <f t="shared" si="156"/>
        <v>170.3221892406973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11.884059780131308</v>
      </c>
      <c r="FR167" s="21">
        <f>EXP(-LN(2)/25)*FR166+(1-EXP(-LN(2)/25))/(LN(2)/25)*Calculateur!FM167*Calculateur!FO167*VLOOKUP('Données projet'!$B$16,Paramètres!$A$1:$I$89,3,0)*0.475*44/12</f>
        <v>1.9570926630787626</v>
      </c>
      <c r="FS167" s="21">
        <f>EXP(-LN(2)/2)*FS166+(1-EXP(-LN(2)/2))/(LN(2)/2)*FM167*FP167*VLOOKUP('Données projet'!$B$16,Paramètres!$A$1:$I$89,3,0)*0.475*44/12</f>
        <v>4.5380209568350663E-12</v>
      </c>
      <c r="FT167" s="22">
        <f t="shared" si="184"/>
        <v>13.841152443214609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>
        <f>FZ167*VLOOKUP('Données projet'!$B$17,Paramètres!$A$1:$I$89,3,0)*VLOOKUP('Données projet'!$B$17,Paramètres!$A$1:$I$89,5,0)</f>
        <v>0</v>
      </c>
      <c r="GB167" s="13" t="e">
        <f t="shared" si="185"/>
        <v>#NUM!</v>
      </c>
      <c r="GC167" s="20" t="e">
        <f t="shared" si="186"/>
        <v>#NUM!</v>
      </c>
      <c r="GD167" s="59" t="e">
        <f t="shared" si="134"/>
        <v>#NUM!</v>
      </c>
      <c r="GE167" s="59">
        <f ca="1">AVERAGE(OFFSET($GD$3,0,0,'Données projet'!$E$17+1,1))-AVERAGE(OFFSET($H$3,0,0,'Données projet'!$E$17+1,1))</f>
        <v>153.43773674911449</v>
      </c>
      <c r="GF167" s="59">
        <f t="shared" si="158"/>
        <v>235.49395036616602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15.621500367638065</v>
      </c>
      <c r="GM167" s="21">
        <f>EXP(-LN(2)/25)*GM166+(1-EXP(-LN(2)/25))/(LN(2)/25)*Calculateur!GH167*Calculateur!GJ167*VLOOKUP('Données projet'!$B$17,Paramètres!$A$1:$I$89,3,0)*0.475*44/12</f>
        <v>4.8043136269446522</v>
      </c>
      <c r="GN167" s="21">
        <f>EXP(-LN(2)/2)*GN166+(1-EXP(-LN(2)/2))/(LN(2)/2)*GH167*GK167*VLOOKUP('Données projet'!$B$17,Paramètres!$A$1:$I$89,3,0)*0.475*44/12</f>
        <v>0</v>
      </c>
      <c r="GO167" s="21">
        <f t="shared" si="187"/>
        <v>20.425813994582718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5.6843418860808015E-14</v>
      </c>
      <c r="GV167" s="17">
        <f>GU167*VLOOKUP('Données projet'!$B$18,Paramètres!$A$1:$I$89,3,0)*VLOOKUP('Données projet'!$B$18,Paramètres!$A$1:$I$89,5,0)</f>
        <v>4.5224624045658861E-14</v>
      </c>
      <c r="GW167" s="13">
        <f t="shared" si="188"/>
        <v>7.4514601661523691E-13</v>
      </c>
      <c r="GX167" s="20">
        <f t="shared" si="189"/>
        <v>1.3765621991510601E-12</v>
      </c>
      <c r="GY167" s="59">
        <f t="shared" si="137"/>
        <v>293.33333333333468</v>
      </c>
      <c r="GZ167" s="59">
        <f ca="1">AVERAGE(OFFSET($GY$3,0,0,'Données projet'!$E$18+1,1))-AVERAGE(OFFSET($H$3,0,0,'Données projet'!$E$18+1,1))</f>
        <v>198.11534486400666</v>
      </c>
      <c r="HA167" s="59">
        <f t="shared" si="160"/>
        <v>174.29856796517652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>
        <f>EXP(-LN(2)/35)*HG166+(1-EXP(-LN(2)/35))/(LN(2)/35)*HC167*HD167*VLOOKUP('Données projet'!$B$18,Paramètres!$A$1:$I$89,3,0)*0.475*44/12</f>
        <v>14.940750504974373</v>
      </c>
      <c r="HH167" s="21">
        <f>EXP(-LN(2)/25)*HH166+(1-EXP(-LN(2)/25))/(LN(2)/25)*Calculateur!HC167*Calculateur!HE167*VLOOKUP('Données projet'!$B$18,Paramètres!$A$1:$I$89,3,0)*0.475*44/12</f>
        <v>2.4604751015357706</v>
      </c>
      <c r="HI167" s="21">
        <f>EXP(-LN(2)/2)*HI166+(1-EXP(-LN(2)/2))/(LN(2)/2)*HC167*HF167*VLOOKUP('Données projet'!$B$18,Paramètres!$A$1:$I$89,3,0)*0.475*44/12</f>
        <v>4.6287813759717607E-12</v>
      </c>
      <c r="HJ167" s="22">
        <f t="shared" si="190"/>
        <v>17.401225606514775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1.1368683772161603E-13</v>
      </c>
      <c r="O168" s="13">
        <f>N168*VLOOKUP('Données projet'!$B$9,Paramètres!$A$1:$I$89,3,0)*VLOOKUP('Données projet'!$B$9,Paramètres!$A$1:$I$89,5,0)</f>
        <v>6.7984728957526396E-14</v>
      </c>
      <c r="P168" s="13">
        <f t="shared" si="141"/>
        <v>1.0682447123141398E-12</v>
      </c>
      <c r="Q168" s="20">
        <f t="shared" si="162"/>
        <v>1.978932943548152E-12</v>
      </c>
      <c r="R168" s="59">
        <f t="shared" si="109"/>
        <v>293.3333333333353</v>
      </c>
      <c r="S168" s="59">
        <f ca="1">AVERAGE(OFFSET($R$3,0,0,'Données projet'!$E$9+1,1))-AVERAGE(OFFSET($H$3,0,0,'Données projet'!$E$9+1,1))</f>
        <v>295.19075440119076</v>
      </c>
      <c r="T168" s="59">
        <f t="shared" si="142"/>
        <v>173.0182327988216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36.916132052204325</v>
      </c>
      <c r="AA168" s="21">
        <f>EXP(-LN(2)/25)*AA167+(1-EXP(-LN(2)/25))/(LN(2)/25)*Calculateur!V168*Calculateur!X168*VLOOKUP('Données projet'!$B$9,Paramètres!$A$1:$I$89,3,0)*0.475*44/12</f>
        <v>10.82739306545121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47.743525117655537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294.45857786714919</v>
      </c>
      <c r="AO168" s="59">
        <f t="shared" si="144"/>
        <v>221.9773436301067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34.073616484747433</v>
      </c>
      <c r="AV168" s="21">
        <f>EXP(-LN(2)/25)*AV167+(1-EXP(-LN(2)/25))/(LN(2)/25)*Calculateur!AQ168*Calculateur!AS168*VLOOKUP('Données projet'!$B$10,Paramètres!$A$1:$I$89,3,0)*0.475*44/12</f>
        <v>9.5248040507169947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43.598420535464427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179.44051550872138</v>
      </c>
      <c r="BJ168" s="59">
        <f t="shared" si="146"/>
        <v>272.9500808380069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17.503054026974965</v>
      </c>
      <c r="BQ168" s="21">
        <f>EXP(-LN(2)/25)*BQ167+(1-EXP(-LN(2)/25))/(LN(2)/25)*Calculateur!BL168*Calculateur!BN168*VLOOKUP('Données projet'!$B$11,Paramètres!$A$1:$I$89,3,0)*0.475*44/12</f>
        <v>5.3405021921919777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22.843556219166942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-1.5961632016114892E-13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259.87681411271632</v>
      </c>
      <c r="CE168" s="59">
        <f t="shared" si="148"/>
        <v>191.8684235641158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60.551816635570134</v>
      </c>
      <c r="CL168" s="21">
        <f>EXP(-LN(2)/25)*CL167+(1-EXP(-LN(2)/25))/(LN(2)/25)*Calculateur!CG168*Calculateur!CI168*VLOOKUP('Données projet'!$B$12,Paramètres!$A$1:$I$89,3,0)*0.475*44/12</f>
        <v>18.095659507426358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78.647476142996496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5.6843418860808015E-14</v>
      </c>
      <c r="CU168" s="17">
        <f>CT168*VLOOKUP('Données projet'!$B$13,Paramètres!$A$1:$I$89,3,0)*VLOOKUP('Données projet'!$B$13,Paramètres!$A$1:$I$89,5,0)</f>
        <v>4.5224624045658861E-14</v>
      </c>
      <c r="CV168" s="13">
        <f t="shared" si="173"/>
        <v>7.4514601661523691E-13</v>
      </c>
      <c r="CW168" s="20">
        <f t="shared" si="174"/>
        <v>1.3765621991510601E-12</v>
      </c>
      <c r="CX168" s="59">
        <f t="shared" si="122"/>
        <v>293.33333333333468</v>
      </c>
      <c r="CY168" s="59">
        <f ca="1">AVERAGE(OFFSET($CX$3,0,0,'Données projet'!$E$13+1,1))-AVERAGE(OFFSET($H$3,0,0,'Données projet'!$E$13+1,1))</f>
        <v>198.11534486400666</v>
      </c>
      <c r="CZ168" s="59">
        <f t="shared" si="150"/>
        <v>174.29856796517652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14.647771500529803</v>
      </c>
      <c r="DG168" s="21">
        <f>EXP(-LN(2)/25)*DG167+(1-EXP(-LN(2)/25))/(LN(2)/25)*Calculateur!DB168*Calculateur!DD168*VLOOKUP('Données projet'!$B$13,Paramètres!$A$1:$I$89,3,0)*0.475*44/12</f>
        <v>2.393193280493513</v>
      </c>
      <c r="DH168" s="21">
        <f>EXP(-LN(2)/2)*DH167+(1-EXP(-LN(2)/2))/(LN(2)/2)*DB168*DE168*VLOOKUP('Données projet'!$B$13,Paramètres!$A$1:$I$89,3,0)*0.475*44/12</f>
        <v>3.2730426995796302E-12</v>
      </c>
      <c r="DI168" s="22">
        <f t="shared" si="175"/>
        <v>17.040964781026588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-5.6843418860808015E-14</v>
      </c>
      <c r="DP168" s="17">
        <f>DO168*VLOOKUP('Données projet'!$B$14,Paramètres!$A$1:$I$89,3,0)*VLOOKUP('Données projet'!$B$14,Paramètres!$A$1:$I$89,5,0)</f>
        <v>-5.7639226724859328E-14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247.92503505485405</v>
      </c>
      <c r="DU168" s="59">
        <f t="shared" si="152"/>
        <v>148.26437652597514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81.793909632035565</v>
      </c>
      <c r="EB168" s="21">
        <f>EXP(-LN(2)/25)*EB167+(1-EXP(-LN(2)/25))/(LN(2)/25)*Calculateur!DW168*Calculateur!DY168*VLOOKUP('Données projet'!$B$14,Paramètres!$A$1:$I$89,3,0)*0.475*44/12</f>
        <v>42.854037398517924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124.6479470305535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-5.6843418860808015E-14</v>
      </c>
      <c r="EK168" s="17">
        <f>EJ168*VLOOKUP('Données projet'!$B$15,Paramètres!$A$1:$I$89,3,0)*VLOOKUP('Données projet'!$B$15,Paramètres!$A$1:$I$89,5,0)</f>
        <v>-5.4978954722173515E-14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232.99870507181964</v>
      </c>
      <c r="EP168" s="59">
        <f t="shared" si="154"/>
        <v>140.07662669226278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78.01880611055698</v>
      </c>
      <c r="EW168" s="21">
        <f>EXP(-LN(2)/25)*EW167+(1-EXP(-LN(2)/25))/(LN(2)/25)*Calculateur!ER168*Calculateur!ET168*VLOOKUP('Données projet'!$B$15,Paramètres!$A$1:$I$89,3,0)*0.475*44/12</f>
        <v>40.876158749355568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118.89496485991255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5.6843418860808015E-14</v>
      </c>
      <c r="FF168" s="17">
        <f>FE168*VLOOKUP('Données projet'!$B$16,Paramètres!$A$1:$I$89,3,0)*VLOOKUP('Données projet'!$B$16,Paramètres!$A$1:$I$89,5,0)</f>
        <v>4.4337866711430253E-14</v>
      </c>
      <c r="FG168" s="13">
        <f t="shared" si="182"/>
        <v>7.3222115536967035E-13</v>
      </c>
      <c r="FH168" s="20">
        <f t="shared" si="183"/>
        <v>1.3525069634579169E-12</v>
      </c>
      <c r="FI168" s="59">
        <f t="shared" si="131"/>
        <v>293.33333333333468</v>
      </c>
      <c r="FJ168" s="59">
        <f ca="1">AVERAGE(OFFSET($FI$3,0,0,'Données projet'!$E$16+1,1))-AVERAGE(OFFSET($H$3,0,0,'Données projet'!$E$16+1,1))</f>
        <v>193.47609744163839</v>
      </c>
      <c r="FK168" s="59">
        <f t="shared" si="156"/>
        <v>170.3221892406973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11.651020616403663</v>
      </c>
      <c r="FR168" s="21">
        <f>EXP(-LN(2)/25)*FR167+(1-EXP(-LN(2)/25))/(LN(2)/25)*Calculateur!FM168*Calculateur!FO168*VLOOKUP('Données projet'!$B$16,Paramètres!$A$1:$I$89,3,0)*0.475*44/12</f>
        <v>1.9035758612878437</v>
      </c>
      <c r="FS168" s="21">
        <f>EXP(-LN(2)/2)*FS167+(1-EXP(-LN(2)/2))/(LN(2)/2)*FM168*FP168*VLOOKUP('Données projet'!$B$16,Paramètres!$A$1:$I$89,3,0)*0.475*44/12</f>
        <v>3.2088653917447403E-12</v>
      </c>
      <c r="FT168" s="22">
        <f t="shared" si="184"/>
        <v>13.554596477694716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>
        <f>FZ168*VLOOKUP('Données projet'!$B$17,Paramètres!$A$1:$I$89,3,0)*VLOOKUP('Données projet'!$B$17,Paramètres!$A$1:$I$89,5,0)</f>
        <v>0</v>
      </c>
      <c r="GB168" s="13" t="e">
        <f t="shared" si="185"/>
        <v>#NUM!</v>
      </c>
      <c r="GC168" s="20" t="e">
        <f t="shared" si="186"/>
        <v>#NUM!</v>
      </c>
      <c r="GD168" s="59" t="e">
        <f t="shared" si="134"/>
        <v>#NUM!</v>
      </c>
      <c r="GE168" s="59">
        <f ca="1">AVERAGE(OFFSET($GD$3,0,0,'Données projet'!$E$17+1,1))-AVERAGE(OFFSET($H$3,0,0,'Données projet'!$E$17+1,1))</f>
        <v>153.43773674911449</v>
      </c>
      <c r="GF168" s="59">
        <f t="shared" si="158"/>
        <v>235.49395036616602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15.315172273603078</v>
      </c>
      <c r="GM168" s="21">
        <f>EXP(-LN(2)/25)*GM167+(1-EXP(-LN(2)/25))/(LN(2)/25)*Calculateur!GH168*Calculateur!GJ168*VLOOKUP('Données projet'!$B$17,Paramètres!$A$1:$I$89,3,0)*0.475*44/12</f>
        <v>4.6729394181679771</v>
      </c>
      <c r="GN168" s="21">
        <f>EXP(-LN(2)/2)*GN167+(1-EXP(-LN(2)/2))/(LN(2)/2)*GH168*GK168*VLOOKUP('Données projet'!$B$17,Paramètres!$A$1:$I$89,3,0)*0.475*44/12</f>
        <v>0</v>
      </c>
      <c r="GO168" s="21">
        <f t="shared" si="187"/>
        <v>19.988111691771056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5.6843418860808015E-14</v>
      </c>
      <c r="GV168" s="17">
        <f>GU168*VLOOKUP('Données projet'!$B$18,Paramètres!$A$1:$I$89,3,0)*VLOOKUP('Données projet'!$B$18,Paramètres!$A$1:$I$89,5,0)</f>
        <v>4.5224624045658861E-14</v>
      </c>
      <c r="GW168" s="13">
        <f t="shared" si="188"/>
        <v>7.4514601661523691E-13</v>
      </c>
      <c r="GX168" s="20">
        <f t="shared" si="189"/>
        <v>1.3765621991510601E-12</v>
      </c>
      <c r="GY168" s="59">
        <f t="shared" si="137"/>
        <v>293.33333333333468</v>
      </c>
      <c r="GZ168" s="59">
        <f ca="1">AVERAGE(OFFSET($GY$3,0,0,'Données projet'!$E$18+1,1))-AVERAGE(OFFSET($H$3,0,0,'Données projet'!$E$18+1,1))</f>
        <v>198.11534486400666</v>
      </c>
      <c r="HA168" s="59">
        <f t="shared" si="160"/>
        <v>174.29856796517652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>
        <f>EXP(-LN(2)/35)*HG167+(1-EXP(-LN(2)/35))/(LN(2)/35)*HC168*HD168*VLOOKUP('Données projet'!$B$18,Paramètres!$A$1:$I$89,3,0)*0.475*44/12</f>
        <v>14.647771500529803</v>
      </c>
      <c r="HH168" s="21">
        <f>EXP(-LN(2)/25)*HH167+(1-EXP(-LN(2)/25))/(LN(2)/25)*Calculateur!HC168*Calculateur!HE168*VLOOKUP('Données projet'!$B$18,Paramètres!$A$1:$I$89,3,0)*0.475*44/12</f>
        <v>2.393193280493513</v>
      </c>
      <c r="HI168" s="21">
        <f>EXP(-LN(2)/2)*HI167+(1-EXP(-LN(2)/2))/(LN(2)/2)*HC168*HF168*VLOOKUP('Données projet'!$B$18,Paramètres!$A$1:$I$89,3,0)*0.475*44/12</f>
        <v>3.2730426995796302E-12</v>
      </c>
      <c r="HJ168" s="22">
        <f t="shared" si="190"/>
        <v>17.040964781026588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1.1368683772161603E-13</v>
      </c>
      <c r="O169" s="13">
        <f>N169*VLOOKUP('Données projet'!$B$9,Paramètres!$A$1:$I$89,3,0)*VLOOKUP('Données projet'!$B$9,Paramètres!$A$1:$I$89,5,0)</f>
        <v>6.7984728957526396E-14</v>
      </c>
      <c r="P169" s="13">
        <f t="shared" si="141"/>
        <v>1.0682447123141398E-12</v>
      </c>
      <c r="Q169" s="20">
        <f t="shared" si="162"/>
        <v>1.978932943548152E-12</v>
      </c>
      <c r="R169" s="59">
        <f t="shared" si="109"/>
        <v>293.3333333333353</v>
      </c>
      <c r="S169" s="59">
        <f ca="1">AVERAGE(OFFSET($R$3,0,0,'Données projet'!$E$9+1,1))-AVERAGE(OFFSET($H$3,0,0,'Données projet'!$E$9+1,1))</f>
        <v>295.19075440119076</v>
      </c>
      <c r="T169" s="59">
        <f t="shared" si="142"/>
        <v>173.0182327988216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36.19222921927782</v>
      </c>
      <c r="AA169" s="21">
        <f>EXP(-LN(2)/25)*AA168+(1-EXP(-LN(2)/25))/(LN(2)/25)*Calculateur!V169*Calculateur!X169*VLOOKUP('Données projet'!$B$9,Paramètres!$A$1:$I$89,3,0)*0.475*44/12</f>
        <v>10.531317432688592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46.723546651966416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294.45857786714919</v>
      </c>
      <c r="AO169" s="59">
        <f t="shared" si="144"/>
        <v>221.9773436301067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33.405453648335452</v>
      </c>
      <c r="AV169" s="21">
        <f>EXP(-LN(2)/25)*AV168+(1-EXP(-LN(2)/25))/(LN(2)/25)*Calculateur!AQ169*Calculateur!AS169*VLOOKUP('Données projet'!$B$10,Paramètres!$A$1:$I$89,3,0)*0.475*44/12</f>
        <v>9.2643477830624619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42.669801431397914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179.44051550872138</v>
      </c>
      <c r="BJ169" s="59">
        <f t="shared" si="146"/>
        <v>272.9500808380069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17.159829813314794</v>
      </c>
      <c r="BQ169" s="21">
        <f>EXP(-LN(2)/25)*BQ168+(1-EXP(-LN(2)/25))/(LN(2)/25)*Calculateur!BL169*Calculateur!BN169*VLOOKUP('Données projet'!$B$11,Paramètres!$A$1:$I$89,3,0)*0.475*44/12</f>
        <v>5.194465878901684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22.354295692216478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-1.5961632016114892E-13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259.87681411271632</v>
      </c>
      <c r="CE169" s="59">
        <f t="shared" si="148"/>
        <v>191.8684235641158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59.364432444307923</v>
      </c>
      <c r="CL169" s="21">
        <f>EXP(-LN(2)/25)*CL168+(1-EXP(-LN(2)/25))/(LN(2)/25)*Calculateur!CG169*Calculateur!CI169*VLOOKUP('Données projet'!$B$12,Paramètres!$A$1:$I$89,3,0)*0.475*44/12</f>
        <v>17.600832746586409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76.965265190894328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5.6843418860808015E-14</v>
      </c>
      <c r="CU169" s="17">
        <f>CT169*VLOOKUP('Données projet'!$B$13,Paramètres!$A$1:$I$89,3,0)*VLOOKUP('Données projet'!$B$13,Paramètres!$A$1:$I$89,5,0)</f>
        <v>4.5224624045658861E-14</v>
      </c>
      <c r="CV169" s="13">
        <f t="shared" si="173"/>
        <v>7.4514601661523691E-13</v>
      </c>
      <c r="CW169" s="20">
        <f t="shared" si="174"/>
        <v>1.3765621991510601E-12</v>
      </c>
      <c r="CX169" s="59">
        <f t="shared" si="122"/>
        <v>293.33333333333468</v>
      </c>
      <c r="CY169" s="59">
        <f ca="1">AVERAGE(OFFSET($CX$3,0,0,'Données projet'!$E$13+1,1))-AVERAGE(OFFSET($H$3,0,0,'Données projet'!$E$13+1,1))</f>
        <v>198.11534486400666</v>
      </c>
      <c r="CZ169" s="59">
        <f t="shared" si="150"/>
        <v>174.29856796517652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14.360537635662844</v>
      </c>
      <c r="DG169" s="21">
        <f>EXP(-LN(2)/25)*DG168+(1-EXP(-LN(2)/25))/(LN(2)/25)*Calculateur!DB169*Calculateur!DD169*VLOOKUP('Données projet'!$B$13,Paramètres!$A$1:$I$89,3,0)*0.475*44/12</f>
        <v>2.3277512843858528</v>
      </c>
      <c r="DH169" s="21">
        <f>EXP(-LN(2)/2)*DH168+(1-EXP(-LN(2)/2))/(LN(2)/2)*DB169*DE169*VLOOKUP('Données projet'!$B$13,Paramètres!$A$1:$I$89,3,0)*0.475*44/12</f>
        <v>2.3143906879858803E-12</v>
      </c>
      <c r="DI169" s="22">
        <f t="shared" si="175"/>
        <v>16.688288920051011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-5.6843418860808015E-14</v>
      </c>
      <c r="DP169" s="17">
        <f>DO169*VLOOKUP('Données projet'!$B$14,Paramètres!$A$1:$I$89,3,0)*VLOOKUP('Données projet'!$B$14,Paramètres!$A$1:$I$89,5,0)</f>
        <v>-5.7639226724859328E-14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247.92503505485405</v>
      </c>
      <c r="DU169" s="59">
        <f t="shared" si="152"/>
        <v>148.26437652597514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80.189980953510059</v>
      </c>
      <c r="EB169" s="21">
        <f>EXP(-LN(2)/25)*EB168+(1-EXP(-LN(2)/25))/(LN(2)/25)*Calculateur!DW169*Calculateur!DY169*VLOOKUP('Données projet'!$B$14,Paramètres!$A$1:$I$89,3,0)*0.475*44/12</f>
        <v>41.68219149225957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121.87217244576962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-5.6843418860808015E-14</v>
      </c>
      <c r="EK169" s="17">
        <f>EJ169*VLOOKUP('Données projet'!$B$15,Paramètres!$A$1:$I$89,3,0)*VLOOKUP('Données projet'!$B$15,Paramètres!$A$1:$I$89,5,0)</f>
        <v>-5.4978954722173515E-14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232.99870507181964</v>
      </c>
      <c r="EP169" s="59">
        <f t="shared" si="154"/>
        <v>140.07662669226278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76.488904909501883</v>
      </c>
      <c r="EW169" s="21">
        <f>EXP(-LN(2)/25)*EW168+(1-EXP(-LN(2)/25))/(LN(2)/25)*Calculateur!ER169*Calculateur!ET169*VLOOKUP('Données projet'!$B$15,Paramètres!$A$1:$I$89,3,0)*0.475*44/12</f>
        <v>39.758398038770672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116.24730294827256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5.6843418860808015E-14</v>
      </c>
      <c r="FF169" s="17">
        <f>FE169*VLOOKUP('Données projet'!$B$16,Paramètres!$A$1:$I$89,3,0)*VLOOKUP('Données projet'!$B$16,Paramètres!$A$1:$I$89,5,0)</f>
        <v>4.4337866711430253E-14</v>
      </c>
      <c r="FG169" s="13">
        <f t="shared" si="182"/>
        <v>7.3222115536967035E-13</v>
      </c>
      <c r="FH169" s="20">
        <f t="shared" si="183"/>
        <v>1.3525069634579169E-12</v>
      </c>
      <c r="FI169" s="59">
        <f t="shared" si="131"/>
        <v>293.33333333333468</v>
      </c>
      <c r="FJ169" s="59">
        <f ca="1">AVERAGE(OFFSET($FI$3,0,0,'Données projet'!$E$16+1,1))-AVERAGE(OFFSET($H$3,0,0,'Données projet'!$E$16+1,1))</f>
        <v>193.47609744163839</v>
      </c>
      <c r="FK169" s="59">
        <f t="shared" si="156"/>
        <v>170.3221892406973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11.422551208536863</v>
      </c>
      <c r="FR169" s="21">
        <f>EXP(-LN(2)/25)*FR168+(1-EXP(-LN(2)/25))/(LN(2)/25)*Calculateur!FM169*Calculateur!FO169*VLOOKUP('Données projet'!$B$16,Paramètres!$A$1:$I$89,3,0)*0.475*44/12</f>
        <v>1.8515224792562237</v>
      </c>
      <c r="FS169" s="21">
        <f>EXP(-LN(2)/2)*FS168+(1-EXP(-LN(2)/2))/(LN(2)/2)*FM169*FP169*VLOOKUP('Données projet'!$B$16,Paramètres!$A$1:$I$89,3,0)*0.475*44/12</f>
        <v>2.2690104784175332E-12</v>
      </c>
      <c r="FT169" s="22">
        <f t="shared" si="184"/>
        <v>13.274073687795354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>
        <f>FZ169*VLOOKUP('Données projet'!$B$17,Paramètres!$A$1:$I$89,3,0)*VLOOKUP('Données projet'!$B$17,Paramètres!$A$1:$I$89,5,0)</f>
        <v>0</v>
      </c>
      <c r="GB169" s="13" t="e">
        <f t="shared" si="185"/>
        <v>#NUM!</v>
      </c>
      <c r="GC169" s="20" t="e">
        <f t="shared" si="186"/>
        <v>#NUM!</v>
      </c>
      <c r="GD169" s="59" t="e">
        <f t="shared" si="134"/>
        <v>#NUM!</v>
      </c>
      <c r="GE169" s="59">
        <f ca="1">AVERAGE(OFFSET($GD$3,0,0,'Données projet'!$E$17+1,1))-AVERAGE(OFFSET($H$3,0,0,'Données projet'!$E$17+1,1))</f>
        <v>153.43773674911449</v>
      </c>
      <c r="GF169" s="59">
        <f t="shared" si="158"/>
        <v>235.49395036616602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15.014851086650429</v>
      </c>
      <c r="GM169" s="21">
        <f>EXP(-LN(2)/25)*GM168+(1-EXP(-LN(2)/25))/(LN(2)/25)*Calculateur!GH169*Calculateur!GJ169*VLOOKUP('Données projet'!$B$17,Paramètres!$A$1:$I$89,3,0)*0.475*44/12</f>
        <v>4.5451576440389703</v>
      </c>
      <c r="GN169" s="21">
        <f>EXP(-LN(2)/2)*GN168+(1-EXP(-LN(2)/2))/(LN(2)/2)*GH169*GK169*VLOOKUP('Données projet'!$B$17,Paramètres!$A$1:$I$89,3,0)*0.475*44/12</f>
        <v>0</v>
      </c>
      <c r="GO169" s="21">
        <f t="shared" si="187"/>
        <v>19.5600087306894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5.6843418860808015E-14</v>
      </c>
      <c r="GV169" s="17">
        <f>GU169*VLOOKUP('Données projet'!$B$18,Paramètres!$A$1:$I$89,3,0)*VLOOKUP('Données projet'!$B$18,Paramètres!$A$1:$I$89,5,0)</f>
        <v>4.5224624045658861E-14</v>
      </c>
      <c r="GW169" s="13">
        <f t="shared" si="188"/>
        <v>7.4514601661523691E-13</v>
      </c>
      <c r="GX169" s="20">
        <f t="shared" si="189"/>
        <v>1.3765621991510601E-12</v>
      </c>
      <c r="GY169" s="59">
        <f t="shared" si="137"/>
        <v>293.33333333333468</v>
      </c>
      <c r="GZ169" s="59">
        <f ca="1">AVERAGE(OFFSET($GY$3,0,0,'Données projet'!$E$18+1,1))-AVERAGE(OFFSET($H$3,0,0,'Données projet'!$E$18+1,1))</f>
        <v>198.11534486400666</v>
      </c>
      <c r="HA169" s="59">
        <f t="shared" si="160"/>
        <v>174.29856796517652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>
        <f>EXP(-LN(2)/35)*HG168+(1-EXP(-LN(2)/35))/(LN(2)/35)*HC169*HD169*VLOOKUP('Données projet'!$B$18,Paramètres!$A$1:$I$89,3,0)*0.475*44/12</f>
        <v>14.360537635662844</v>
      </c>
      <c r="HH169" s="21">
        <f>EXP(-LN(2)/25)*HH168+(1-EXP(-LN(2)/25))/(LN(2)/25)*Calculateur!HC169*Calculateur!HE169*VLOOKUP('Données projet'!$B$18,Paramètres!$A$1:$I$89,3,0)*0.475*44/12</f>
        <v>2.3277512843858528</v>
      </c>
      <c r="HI169" s="21">
        <f>EXP(-LN(2)/2)*HI168+(1-EXP(-LN(2)/2))/(LN(2)/2)*HC169*HF169*VLOOKUP('Données projet'!$B$18,Paramètres!$A$1:$I$89,3,0)*0.475*44/12</f>
        <v>2.3143906879858803E-12</v>
      </c>
      <c r="HJ169" s="22">
        <f t="shared" si="190"/>
        <v>16.688288920051011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1.1368683772161603E-13</v>
      </c>
      <c r="O170" s="13">
        <f>N170*VLOOKUP('Données projet'!$B$9,Paramètres!$A$1:$I$89,3,0)*VLOOKUP('Données projet'!$B$9,Paramètres!$A$1:$I$89,5,0)</f>
        <v>6.7984728957526396E-14</v>
      </c>
      <c r="P170" s="13">
        <f t="shared" si="141"/>
        <v>1.0682447123141398E-12</v>
      </c>
      <c r="Q170" s="20">
        <f t="shared" si="162"/>
        <v>1.978932943548152E-12</v>
      </c>
      <c r="R170" s="59">
        <f t="shared" si="109"/>
        <v>293.3333333333353</v>
      </c>
      <c r="S170" s="59">
        <f ca="1">AVERAGE(OFFSET($R$3,0,0,'Données projet'!$E$9+1,1))-AVERAGE(OFFSET($H$3,0,0,'Données projet'!$E$9+1,1))</f>
        <v>295.19075440119076</v>
      </c>
      <c r="T170" s="59">
        <f t="shared" si="142"/>
        <v>173.0182327988216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35.482521679367871</v>
      </c>
      <c r="AA170" s="21">
        <f>EXP(-LN(2)/25)*AA169+(1-EXP(-LN(2)/25))/(LN(2)/25)*Calculateur!V170*Calculateur!X170*VLOOKUP('Données projet'!$B$9,Paramètres!$A$1:$I$89,3,0)*0.475*44/12</f>
        <v>10.243338003673808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45.725859683041676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294.45857786714919</v>
      </c>
      <c r="AO170" s="59">
        <f t="shared" si="144"/>
        <v>221.9773436301067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32.750393077606425</v>
      </c>
      <c r="AV170" s="21">
        <f>EXP(-LN(2)/25)*AV169+(1-EXP(-LN(2)/25))/(LN(2)/25)*Calculateur!AQ170*Calculateur!AS170*VLOOKUP('Données projet'!$B$10,Paramètres!$A$1:$I$89,3,0)*0.475*44/12</f>
        <v>9.0110137057437427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41.761406783350168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179.44051550872138</v>
      </c>
      <c r="BJ170" s="59">
        <f t="shared" si="146"/>
        <v>272.9500808380069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16.823336017138399</v>
      </c>
      <c r="BQ170" s="21">
        <f>EXP(-LN(2)/25)*BQ169+(1-EXP(-LN(2)/25))/(LN(2)/25)*Calculateur!BL170*Calculateur!BN170*VLOOKUP('Données projet'!$B$11,Paramètres!$A$1:$I$89,3,0)*0.475*44/12</f>
        <v>5.0524229362780293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21.87575895341643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-1.5961632016114892E-13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259.87681411271632</v>
      </c>
      <c r="CE170" s="59">
        <f t="shared" si="148"/>
        <v>191.8684235641158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58.200332132803517</v>
      </c>
      <c r="CL170" s="21">
        <f>EXP(-LN(2)/25)*CL169+(1-EXP(-LN(2)/25))/(LN(2)/25)*Calculateur!CG170*Calculateur!CI170*VLOOKUP('Données projet'!$B$12,Paramètres!$A$1:$I$89,3,0)*0.475*44/12</f>
        <v>17.119537049543435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75.319869182346949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5.6843418860808015E-14</v>
      </c>
      <c r="CU170" s="17">
        <f>CT170*VLOOKUP('Données projet'!$B$13,Paramètres!$A$1:$I$89,3,0)*VLOOKUP('Données projet'!$B$13,Paramètres!$A$1:$I$89,5,0)</f>
        <v>4.5224624045658861E-14</v>
      </c>
      <c r="CV170" s="13">
        <f t="shared" si="173"/>
        <v>7.4514601661523691E-13</v>
      </c>
      <c r="CW170" s="20">
        <f t="shared" si="174"/>
        <v>1.3765621991510601E-12</v>
      </c>
      <c r="CX170" s="59">
        <f t="shared" si="122"/>
        <v>293.33333333333468</v>
      </c>
      <c r="CY170" s="59">
        <f ca="1">AVERAGE(OFFSET($CX$3,0,0,'Données projet'!$E$13+1,1))-AVERAGE(OFFSET($H$3,0,0,'Données projet'!$E$13+1,1))</f>
        <v>198.11534486400666</v>
      </c>
      <c r="CZ170" s="59">
        <f t="shared" si="150"/>
        <v>174.29856796517652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14.078936251690568</v>
      </c>
      <c r="DG170" s="21">
        <f>EXP(-LN(2)/25)*DG169+(1-EXP(-LN(2)/25))/(LN(2)/25)*Calculateur!DB170*Calculateur!DD170*VLOOKUP('Données projet'!$B$13,Paramètres!$A$1:$I$89,3,0)*0.475*44/12</f>
        <v>2.2640988031032019</v>
      </c>
      <c r="DH170" s="21">
        <f>EXP(-LN(2)/2)*DH169+(1-EXP(-LN(2)/2))/(LN(2)/2)*DB170*DE170*VLOOKUP('Données projet'!$B$13,Paramètres!$A$1:$I$89,3,0)*0.475*44/12</f>
        <v>1.6365213497898151E-12</v>
      </c>
      <c r="DI170" s="22">
        <f t="shared" si="175"/>
        <v>16.343035054795408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-5.6843418860808015E-14</v>
      </c>
      <c r="DP170" s="17">
        <f>DO170*VLOOKUP('Données projet'!$B$14,Paramètres!$A$1:$I$89,3,0)*VLOOKUP('Données projet'!$B$14,Paramètres!$A$1:$I$89,5,0)</f>
        <v>-5.7639226724859328E-14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247.92503505485405</v>
      </c>
      <c r="DU170" s="59">
        <f t="shared" si="152"/>
        <v>148.26437652597514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78.617504338070546</v>
      </c>
      <c r="EB170" s="21">
        <f>EXP(-LN(2)/25)*EB169+(1-EXP(-LN(2)/25))/(LN(2)/25)*Calculateur!DW170*Calculateur!DY170*VLOOKUP('Données projet'!$B$14,Paramètres!$A$1:$I$89,3,0)*0.475*44/12</f>
        <v>40.542389773932548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119.15989411200309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-5.6843418860808015E-14</v>
      </c>
      <c r="EK170" s="17">
        <f>EJ170*VLOOKUP('Données projet'!$B$15,Paramètres!$A$1:$I$89,3,0)*VLOOKUP('Données projet'!$B$15,Paramètres!$A$1:$I$89,5,0)</f>
        <v>-5.4978954722173515E-14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232.99870507181964</v>
      </c>
      <c r="EP170" s="59">
        <f t="shared" si="154"/>
        <v>140.07662669226278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74.989004137851879</v>
      </c>
      <c r="EW170" s="21">
        <f>EXP(-LN(2)/25)*EW169+(1-EXP(-LN(2)/25))/(LN(2)/25)*Calculateur!ER170*Calculateur!ET170*VLOOKUP('Données projet'!$B$15,Paramètres!$A$1:$I$89,3,0)*0.475*44/12</f>
        <v>38.671202553597205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113.66020669144908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5.6843418860808015E-14</v>
      </c>
      <c r="FF170" s="17">
        <f>FE170*VLOOKUP('Données projet'!$B$16,Paramètres!$A$1:$I$89,3,0)*VLOOKUP('Données projet'!$B$16,Paramètres!$A$1:$I$89,5,0)</f>
        <v>4.4337866711430253E-14</v>
      </c>
      <c r="FG170" s="13">
        <f t="shared" si="182"/>
        <v>7.3222115536967035E-13</v>
      </c>
      <c r="FH170" s="20">
        <f t="shared" si="183"/>
        <v>1.3525069634579169E-12</v>
      </c>
      <c r="FI170" s="59">
        <f t="shared" si="131"/>
        <v>293.33333333333468</v>
      </c>
      <c r="FJ170" s="59">
        <f ca="1">AVERAGE(OFFSET($FI$3,0,0,'Données projet'!$E$16+1,1))-AVERAGE(OFFSET($H$3,0,0,'Données projet'!$E$16+1,1))</f>
        <v>193.47609744163839</v>
      </c>
      <c r="FK170" s="59">
        <f t="shared" si="156"/>
        <v>170.3221892406973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11.198561946405752</v>
      </c>
      <c r="FR170" s="21">
        <f>EXP(-LN(2)/25)*FR169+(1-EXP(-LN(2)/25))/(LN(2)/25)*Calculateur!FM170*Calculateur!FO170*VLOOKUP('Données projet'!$B$16,Paramètres!$A$1:$I$89,3,0)*0.475*44/12</f>
        <v>1.8008924996936269</v>
      </c>
      <c r="FS170" s="21">
        <f>EXP(-LN(2)/2)*FS169+(1-EXP(-LN(2)/2))/(LN(2)/2)*FM170*FP170*VLOOKUP('Données projet'!$B$16,Paramètres!$A$1:$I$89,3,0)*0.475*44/12</f>
        <v>1.6044326958723702E-12</v>
      </c>
      <c r="FT170" s="22">
        <f t="shared" si="184"/>
        <v>12.999454446100982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>
        <f>FZ170*VLOOKUP('Données projet'!$B$17,Paramètres!$A$1:$I$89,3,0)*VLOOKUP('Données projet'!$B$17,Paramètres!$A$1:$I$89,5,0)</f>
        <v>0</v>
      </c>
      <c r="GB170" s="13" t="e">
        <f t="shared" si="185"/>
        <v>#NUM!</v>
      </c>
      <c r="GC170" s="20" t="e">
        <f t="shared" si="186"/>
        <v>#NUM!</v>
      </c>
      <c r="GD170" s="59" t="e">
        <f t="shared" si="134"/>
        <v>#NUM!</v>
      </c>
      <c r="GE170" s="59">
        <f ca="1">AVERAGE(OFFSET($GD$3,0,0,'Données projet'!$E$17+1,1))-AVERAGE(OFFSET($H$3,0,0,'Données projet'!$E$17+1,1))</f>
        <v>153.43773674911449</v>
      </c>
      <c r="GF170" s="59">
        <f t="shared" si="158"/>
        <v>235.49395036616602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14.720419014996084</v>
      </c>
      <c r="GM170" s="21">
        <f>EXP(-LN(2)/25)*GM169+(1-EXP(-LN(2)/25))/(LN(2)/25)*Calculateur!GH170*Calculateur!GJ170*VLOOKUP('Données projet'!$B$17,Paramètres!$A$1:$I$89,3,0)*0.475*44/12</f>
        <v>4.4208700692432723</v>
      </c>
      <c r="GN170" s="21">
        <f>EXP(-LN(2)/2)*GN169+(1-EXP(-LN(2)/2))/(LN(2)/2)*GH170*GK170*VLOOKUP('Données projet'!$B$17,Paramètres!$A$1:$I$89,3,0)*0.475*44/12</f>
        <v>0</v>
      </c>
      <c r="GO170" s="21">
        <f t="shared" si="187"/>
        <v>19.141289084239357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5.6843418860808015E-14</v>
      </c>
      <c r="GV170" s="17">
        <f>GU170*VLOOKUP('Données projet'!$B$18,Paramètres!$A$1:$I$89,3,0)*VLOOKUP('Données projet'!$B$18,Paramètres!$A$1:$I$89,5,0)</f>
        <v>4.5224624045658861E-14</v>
      </c>
      <c r="GW170" s="13">
        <f t="shared" si="188"/>
        <v>7.4514601661523691E-13</v>
      </c>
      <c r="GX170" s="20">
        <f t="shared" si="189"/>
        <v>1.3765621991510601E-12</v>
      </c>
      <c r="GY170" s="59">
        <f t="shared" si="137"/>
        <v>293.33333333333468</v>
      </c>
      <c r="GZ170" s="59">
        <f ca="1">AVERAGE(OFFSET($GY$3,0,0,'Données projet'!$E$18+1,1))-AVERAGE(OFFSET($H$3,0,0,'Données projet'!$E$18+1,1))</f>
        <v>198.11534486400666</v>
      </c>
      <c r="HA170" s="59">
        <f t="shared" si="160"/>
        <v>174.29856796517652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>
        <f>EXP(-LN(2)/35)*HG169+(1-EXP(-LN(2)/35))/(LN(2)/35)*HC170*HD170*VLOOKUP('Données projet'!$B$18,Paramètres!$A$1:$I$89,3,0)*0.475*44/12</f>
        <v>14.078936251690568</v>
      </c>
      <c r="HH170" s="21">
        <f>EXP(-LN(2)/25)*HH169+(1-EXP(-LN(2)/25))/(LN(2)/25)*Calculateur!HC170*Calculateur!HE170*VLOOKUP('Données projet'!$B$18,Paramètres!$A$1:$I$89,3,0)*0.475*44/12</f>
        <v>2.2640988031032019</v>
      </c>
      <c r="HI170" s="21">
        <f>EXP(-LN(2)/2)*HI169+(1-EXP(-LN(2)/2))/(LN(2)/2)*HC170*HF170*VLOOKUP('Données projet'!$B$18,Paramètres!$A$1:$I$89,3,0)*0.475*44/12</f>
        <v>1.6365213497898151E-12</v>
      </c>
      <c r="HJ170" s="22">
        <f t="shared" si="190"/>
        <v>16.343035054795408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1.1368683772161603E-13</v>
      </c>
      <c r="O171" s="13">
        <f>N171*VLOOKUP('Données projet'!$B$9,Paramètres!$A$1:$I$89,3,0)*VLOOKUP('Données projet'!$B$9,Paramètres!$A$1:$I$89,5,0)</f>
        <v>6.7984728957526396E-14</v>
      </c>
      <c r="P171" s="13">
        <f t="shared" si="141"/>
        <v>1.0682447123141398E-12</v>
      </c>
      <c r="Q171" s="20">
        <f t="shared" si="162"/>
        <v>1.978932943548152E-12</v>
      </c>
      <c r="R171" s="59">
        <f t="shared" si="109"/>
        <v>293.3333333333353</v>
      </c>
      <c r="S171" s="59">
        <f ca="1">AVERAGE(OFFSET($R$3,0,0,'Données projet'!$E$9+1,1))-AVERAGE(OFFSET($H$3,0,0,'Données projet'!$E$9+1,1))</f>
        <v>295.19075440119076</v>
      </c>
      <c r="T171" s="59">
        <f t="shared" si="142"/>
        <v>173.0182327988216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34.786731071436698</v>
      </c>
      <c r="AA171" s="21">
        <f>EXP(-LN(2)/25)*AA170+(1-EXP(-LN(2)/25))/(LN(2)/25)*Calculateur!V171*Calculateur!X171*VLOOKUP('Données projet'!$B$9,Paramètres!$A$1:$I$89,3,0)*0.475*44/12</f>
        <v>9.9632333872896126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44.749964458726311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294.45857786714919</v>
      </c>
      <c r="AO171" s="59">
        <f t="shared" si="144"/>
        <v>221.9773436301067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32.108177845121894</v>
      </c>
      <c r="AV171" s="21">
        <f>EXP(-LN(2)/25)*AV170+(1-EXP(-LN(2)/25))/(LN(2)/25)*Calculateur!AQ171*Calculateur!AS171*VLOOKUP('Données projet'!$B$10,Paramètres!$A$1:$I$89,3,0)*0.475*44/12</f>
        <v>8.7646070620915637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40.872784907213457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179.44051550872138</v>
      </c>
      <c r="BJ171" s="59">
        <f t="shared" si="146"/>
        <v>272.9500808380069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16.493440659064074</v>
      </c>
      <c r="BQ171" s="21">
        <f>EXP(-LN(2)/25)*BQ170+(1-EXP(-LN(2)/25))/(LN(2)/25)*Calculateur!BL171*Calculateur!BN171*VLOOKUP('Données projet'!$B$11,Paramètres!$A$1:$I$89,3,0)*0.475*44/12</f>
        <v>4.914264165390132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21.407704824454207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-1.5961632016114892E-13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259.87681411271632</v>
      </c>
      <c r="CE171" s="59">
        <f t="shared" si="148"/>
        <v>191.8684235641158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57.059059118376638</v>
      </c>
      <c r="CL171" s="21">
        <f>EXP(-LN(2)/25)*CL170+(1-EXP(-LN(2)/25))/(LN(2)/25)*Calculateur!CG171*Calculateur!CI171*VLOOKUP('Données projet'!$B$12,Paramètres!$A$1:$I$89,3,0)*0.475*44/12</f>
        <v>16.651402408646344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73.710461527022986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5.6843418860808015E-14</v>
      </c>
      <c r="CU171" s="17">
        <f>CT171*VLOOKUP('Données projet'!$B$13,Paramètres!$A$1:$I$89,3,0)*VLOOKUP('Données projet'!$B$13,Paramètres!$A$1:$I$89,5,0)</f>
        <v>4.5224624045658861E-14</v>
      </c>
      <c r="CV171" s="13">
        <f t="shared" si="173"/>
        <v>7.4514601661523691E-13</v>
      </c>
      <c r="CW171" s="20">
        <f t="shared" si="174"/>
        <v>1.3765621991510601E-12</v>
      </c>
      <c r="CX171" s="59">
        <f t="shared" si="122"/>
        <v>293.33333333333468</v>
      </c>
      <c r="CY171" s="59">
        <f ca="1">AVERAGE(OFFSET($CX$3,0,0,'Données projet'!$E$13+1,1))-AVERAGE(OFFSET($H$3,0,0,'Données projet'!$E$13+1,1))</f>
        <v>198.11534486400666</v>
      </c>
      <c r="CZ171" s="59">
        <f t="shared" si="150"/>
        <v>174.29856796517652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13.802856899098103</v>
      </c>
      <c r="DG171" s="21">
        <f>EXP(-LN(2)/25)*DG170+(1-EXP(-LN(2)/25))/(LN(2)/25)*Calculateur!DB171*Calculateur!DD171*VLOOKUP('Données projet'!$B$13,Paramètres!$A$1:$I$89,3,0)*0.475*44/12</f>
        <v>2.2021869022685636</v>
      </c>
      <c r="DH171" s="21">
        <f>EXP(-LN(2)/2)*DH170+(1-EXP(-LN(2)/2))/(LN(2)/2)*DB171*DE171*VLOOKUP('Données projet'!$B$13,Paramètres!$A$1:$I$89,3,0)*0.475*44/12</f>
        <v>1.1571953439929402E-12</v>
      </c>
      <c r="DI171" s="22">
        <f t="shared" si="175"/>
        <v>16.005043801367826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-5.6843418860808015E-14</v>
      </c>
      <c r="DP171" s="17">
        <f>DO171*VLOOKUP('Données projet'!$B$14,Paramètres!$A$1:$I$89,3,0)*VLOOKUP('Données projet'!$B$14,Paramètres!$A$1:$I$89,5,0)</f>
        <v>-5.7639226724859328E-14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247.92503505485405</v>
      </c>
      <c r="DU171" s="59">
        <f t="shared" si="152"/>
        <v>148.26437652597514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77.075863029943761</v>
      </c>
      <c r="EB171" s="21">
        <f>EXP(-LN(2)/25)*EB170+(1-EXP(-LN(2)/25))/(LN(2)/25)*Calculateur!DW171*Calculateur!DY171*VLOOKUP('Données projet'!$B$14,Paramètres!$A$1:$I$89,3,0)*0.475*44/12</f>
        <v>39.433755993532742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116.5096190234765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-5.6843418860808015E-14</v>
      </c>
      <c r="EK171" s="17">
        <f>EJ171*VLOOKUP('Données projet'!$B$15,Paramètres!$A$1:$I$89,3,0)*VLOOKUP('Données projet'!$B$15,Paramètres!$A$1:$I$89,5,0)</f>
        <v>-5.4978954722173515E-14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232.99870507181964</v>
      </c>
      <c r="EP171" s="59">
        <f t="shared" si="154"/>
        <v>140.07662669226278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73.5185155054848</v>
      </c>
      <c r="EW171" s="21">
        <f>EXP(-LN(2)/25)*EW170+(1-EXP(-LN(2)/25))/(LN(2)/25)*Calculateur!ER171*Calculateur!ET171*VLOOKUP('Données projet'!$B$15,Paramètres!$A$1:$I$89,3,0)*0.475*44/12</f>
        <v>37.613736486138933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111.13225199162373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5.6843418860808015E-14</v>
      </c>
      <c r="FF171" s="17">
        <f>FE171*VLOOKUP('Données projet'!$B$16,Paramètres!$A$1:$I$89,3,0)*VLOOKUP('Données projet'!$B$16,Paramètres!$A$1:$I$89,5,0)</f>
        <v>4.4337866711430253E-14</v>
      </c>
      <c r="FG171" s="13">
        <f t="shared" si="182"/>
        <v>7.3222115536967035E-13</v>
      </c>
      <c r="FH171" s="20">
        <f t="shared" si="183"/>
        <v>1.3525069634579169E-12</v>
      </c>
      <c r="FI171" s="59">
        <f t="shared" si="131"/>
        <v>293.33333333333468</v>
      </c>
      <c r="FJ171" s="59">
        <f ca="1">AVERAGE(OFFSET($FI$3,0,0,'Données projet'!$E$16+1,1))-AVERAGE(OFFSET($H$3,0,0,'Données projet'!$E$16+1,1))</f>
        <v>193.47609744163839</v>
      </c>
      <c r="FK171" s="59">
        <f t="shared" si="156"/>
        <v>170.3221892406973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10.978964977085072</v>
      </c>
      <c r="FR171" s="21">
        <f>EXP(-LN(2)/25)*FR170+(1-EXP(-LN(2)/25))/(LN(2)/25)*Calculateur!FM171*Calculateur!FO171*VLOOKUP('Données projet'!$B$16,Paramètres!$A$1:$I$89,3,0)*0.475*44/12</f>
        <v>1.7516469995846842</v>
      </c>
      <c r="FS171" s="21">
        <f>EXP(-LN(2)/2)*FS170+(1-EXP(-LN(2)/2))/(LN(2)/2)*FM171*FP171*VLOOKUP('Données projet'!$B$16,Paramètres!$A$1:$I$89,3,0)*0.475*44/12</f>
        <v>1.1345052392087666E-12</v>
      </c>
      <c r="FT171" s="22">
        <f t="shared" si="184"/>
        <v>12.730611976670891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>
        <f>FZ171*VLOOKUP('Données projet'!$B$17,Paramètres!$A$1:$I$89,3,0)*VLOOKUP('Données projet'!$B$17,Paramètres!$A$1:$I$89,5,0)</f>
        <v>0</v>
      </c>
      <c r="GB171" s="13" t="e">
        <f t="shared" si="185"/>
        <v>#NUM!</v>
      </c>
      <c r="GC171" s="20" t="e">
        <f t="shared" si="186"/>
        <v>#NUM!</v>
      </c>
      <c r="GD171" s="59" t="e">
        <f t="shared" si="134"/>
        <v>#NUM!</v>
      </c>
      <c r="GE171" s="59">
        <f ca="1">AVERAGE(OFFSET($GD$3,0,0,'Données projet'!$E$17+1,1))-AVERAGE(OFFSET($H$3,0,0,'Données projet'!$E$17+1,1))</f>
        <v>153.43773674911449</v>
      </c>
      <c r="GF171" s="59">
        <f t="shared" si="158"/>
        <v>235.49395036616602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14.43176057668105</v>
      </c>
      <c r="GM171" s="21">
        <f>EXP(-LN(2)/25)*GM170+(1-EXP(-LN(2)/25))/(LN(2)/25)*Calculateur!GH171*Calculateur!GJ171*VLOOKUP('Données projet'!$B$17,Paramètres!$A$1:$I$89,3,0)*0.475*44/12</f>
        <v>4.2999811447163623</v>
      </c>
      <c r="GN171" s="21">
        <f>EXP(-LN(2)/2)*GN170+(1-EXP(-LN(2)/2))/(LN(2)/2)*GH171*GK171*VLOOKUP('Données projet'!$B$17,Paramètres!$A$1:$I$89,3,0)*0.475*44/12</f>
        <v>0</v>
      </c>
      <c r="GO171" s="21">
        <f t="shared" si="187"/>
        <v>18.731741721397412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5.6843418860808015E-14</v>
      </c>
      <c r="GV171" s="17">
        <f>GU171*VLOOKUP('Données projet'!$B$18,Paramètres!$A$1:$I$89,3,0)*VLOOKUP('Données projet'!$B$18,Paramètres!$A$1:$I$89,5,0)</f>
        <v>4.5224624045658861E-14</v>
      </c>
      <c r="GW171" s="13">
        <f t="shared" si="188"/>
        <v>7.4514601661523691E-13</v>
      </c>
      <c r="GX171" s="20">
        <f t="shared" si="189"/>
        <v>1.3765621991510601E-12</v>
      </c>
      <c r="GY171" s="59">
        <f t="shared" si="137"/>
        <v>293.33333333333468</v>
      </c>
      <c r="GZ171" s="59">
        <f ca="1">AVERAGE(OFFSET($GY$3,0,0,'Données projet'!$E$18+1,1))-AVERAGE(OFFSET($H$3,0,0,'Données projet'!$E$18+1,1))</f>
        <v>198.11534486400666</v>
      </c>
      <c r="HA171" s="59">
        <f t="shared" si="160"/>
        <v>174.29856796517652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>
        <f>EXP(-LN(2)/35)*HG170+(1-EXP(-LN(2)/35))/(LN(2)/35)*HC171*HD171*VLOOKUP('Données projet'!$B$18,Paramètres!$A$1:$I$89,3,0)*0.475*44/12</f>
        <v>13.802856899098103</v>
      </c>
      <c r="HH171" s="21">
        <f>EXP(-LN(2)/25)*HH170+(1-EXP(-LN(2)/25))/(LN(2)/25)*Calculateur!HC171*Calculateur!HE171*VLOOKUP('Données projet'!$B$18,Paramètres!$A$1:$I$89,3,0)*0.475*44/12</f>
        <v>2.2021869022685636</v>
      </c>
      <c r="HI171" s="21">
        <f>EXP(-LN(2)/2)*HI170+(1-EXP(-LN(2)/2))/(LN(2)/2)*HC171*HF171*VLOOKUP('Données projet'!$B$18,Paramètres!$A$1:$I$89,3,0)*0.475*44/12</f>
        <v>1.1571953439929402E-12</v>
      </c>
      <c r="HJ171" s="22">
        <f t="shared" si="190"/>
        <v>16.005043801367826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1.1368683772161603E-13</v>
      </c>
      <c r="O172" s="13">
        <f>N172*VLOOKUP('Données projet'!$B$9,Paramètres!$A$1:$I$89,3,0)*VLOOKUP('Données projet'!$B$9,Paramètres!$A$1:$I$89,5,0)</f>
        <v>6.7984728957526396E-14</v>
      </c>
      <c r="P172" s="13">
        <f t="shared" si="141"/>
        <v>1.0682447123141398E-12</v>
      </c>
      <c r="Q172" s="20">
        <f t="shared" si="162"/>
        <v>1.978932943548152E-12</v>
      </c>
      <c r="R172" s="59">
        <f t="shared" si="109"/>
        <v>293.3333333333353</v>
      </c>
      <c r="S172" s="59">
        <f ca="1">AVERAGE(OFFSET($R$3,0,0,'Données projet'!$E$9+1,1))-AVERAGE(OFFSET($H$3,0,0,'Données projet'!$E$9+1,1))</f>
        <v>295.19075440119076</v>
      </c>
      <c r="T172" s="59">
        <f t="shared" si="142"/>
        <v>173.0182327988216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34.104584492936695</v>
      </c>
      <c r="AA172" s="21">
        <f>EXP(-LN(2)/25)*AA171+(1-EXP(-LN(2)/25))/(LN(2)/25)*Calculateur!V172*Calculateur!X172*VLOOKUP('Données projet'!$B$9,Paramètres!$A$1:$I$89,3,0)*0.475*44/12</f>
        <v>9.6907882463705057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43.795372739307197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294.45857786714919</v>
      </c>
      <c r="AO172" s="59">
        <f t="shared" si="144"/>
        <v>221.9773436301067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31.478556061633775</v>
      </c>
      <c r="AV172" s="21">
        <f>EXP(-LN(2)/25)*AV171+(1-EXP(-LN(2)/25))/(LN(2)/25)*Calculateur!AQ172*Calculateur!AS172*VLOOKUP('Données projet'!$B$10,Paramètres!$A$1:$I$89,3,0)*0.475*44/12</f>
        <v>8.5249384210680166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40.00349448270179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179.44051550872138</v>
      </c>
      <c r="BJ172" s="59">
        <f t="shared" si="146"/>
        <v>272.9500808380069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16.170014347745287</v>
      </c>
      <c r="BQ172" s="21">
        <f>EXP(-LN(2)/25)*BQ171+(1-EXP(-LN(2)/25))/(LN(2)/25)*Calculateur!BL172*Calculateur!BN172*VLOOKUP('Données projet'!$B$11,Paramètres!$A$1:$I$89,3,0)*0.475*44/12</f>
        <v>4.7798833533576177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20.949897701102906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-1.5961632016114892E-13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259.87681411271632</v>
      </c>
      <c r="CE172" s="59">
        <f t="shared" si="148"/>
        <v>191.8684235641158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55.940165771654861</v>
      </c>
      <c r="CL172" s="21">
        <f>EXP(-LN(2)/25)*CL171+(1-EXP(-LN(2)/25))/(LN(2)/25)*Calculateur!CG172*Calculateur!CI172*VLOOKUP('Données projet'!$B$12,Paramètres!$A$1:$I$89,3,0)*0.475*44/12</f>
        <v>16.196068934122714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72.136234705777582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5.6843418860808015E-14</v>
      </c>
      <c r="CU172" s="17">
        <f>CT172*VLOOKUP('Données projet'!$B$13,Paramètres!$A$1:$I$89,3,0)*VLOOKUP('Données projet'!$B$13,Paramètres!$A$1:$I$89,5,0)</f>
        <v>4.5224624045658861E-14</v>
      </c>
      <c r="CV172" s="13">
        <f t="shared" si="173"/>
        <v>7.4514601661523691E-13</v>
      </c>
      <c r="CW172" s="20">
        <f t="shared" si="174"/>
        <v>1.3765621991510601E-12</v>
      </c>
      <c r="CX172" s="59">
        <f t="shared" si="122"/>
        <v>293.33333333333468</v>
      </c>
      <c r="CY172" s="59">
        <f ca="1">AVERAGE(OFFSET($CX$3,0,0,'Données projet'!$E$13+1,1))-AVERAGE(OFFSET($H$3,0,0,'Données projet'!$E$13+1,1))</f>
        <v>198.11534486400666</v>
      </c>
      <c r="CZ172" s="59">
        <f t="shared" si="150"/>
        <v>174.29856796517652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13.532191294218199</v>
      </c>
      <c r="DG172" s="21">
        <f>EXP(-LN(2)/25)*DG171+(1-EXP(-LN(2)/25))/(LN(2)/25)*Calculateur!DB172*Calculateur!DD172*VLOOKUP('Données projet'!$B$13,Paramètres!$A$1:$I$89,3,0)*0.475*44/12</f>
        <v>2.1419679856180536</v>
      </c>
      <c r="DH172" s="21">
        <f>EXP(-LN(2)/2)*DH171+(1-EXP(-LN(2)/2))/(LN(2)/2)*DB172*DE172*VLOOKUP('Données projet'!$B$13,Paramètres!$A$1:$I$89,3,0)*0.475*44/12</f>
        <v>8.1826067489490755E-13</v>
      </c>
      <c r="DI172" s="22">
        <f t="shared" si="175"/>
        <v>15.674159279837072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-5.6843418860808015E-14</v>
      </c>
      <c r="DP172" s="17">
        <f>DO172*VLOOKUP('Données projet'!$B$14,Paramètres!$A$1:$I$89,3,0)*VLOOKUP('Données projet'!$B$14,Paramètres!$A$1:$I$89,5,0)</f>
        <v>-5.7639226724859328E-14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247.92503505485405</v>
      </c>
      <c r="DU172" s="59">
        <f t="shared" si="152"/>
        <v>148.26437652597514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75.564452367561003</v>
      </c>
      <c r="EB172" s="21">
        <f>EXP(-LN(2)/25)*EB171+(1-EXP(-LN(2)/25))/(LN(2)/25)*Calculateur!DW172*Calculateur!DY172*VLOOKUP('Données projet'!$B$14,Paramètres!$A$1:$I$89,3,0)*0.475*44/12</f>
        <v>38.355437862158489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113.9198902297195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-5.6843418860808015E-14</v>
      </c>
      <c r="EK172" s="17">
        <f>EJ172*VLOOKUP('Données projet'!$B$15,Paramètres!$A$1:$I$89,3,0)*VLOOKUP('Données projet'!$B$15,Paramètres!$A$1:$I$89,5,0)</f>
        <v>-5.4978954722173515E-14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232.99870507181964</v>
      </c>
      <c r="EP172" s="59">
        <f t="shared" si="154"/>
        <v>140.07662669226278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72.076862258288941</v>
      </c>
      <c r="EW172" s="21">
        <f>EXP(-LN(2)/25)*EW171+(1-EXP(-LN(2)/25))/(LN(2)/25)*Calculateur!ER172*Calculateur!ET172*VLOOKUP('Données projet'!$B$15,Paramètres!$A$1:$I$89,3,0)*0.475*44/12</f>
        <v>36.585186883905031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108.66204914219398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5.6843418860808015E-14</v>
      </c>
      <c r="FF172" s="17">
        <f>FE172*VLOOKUP('Données projet'!$B$16,Paramètres!$A$1:$I$89,3,0)*VLOOKUP('Données projet'!$B$16,Paramètres!$A$1:$I$89,5,0)</f>
        <v>4.4337866711430253E-14</v>
      </c>
      <c r="FG172" s="13">
        <f t="shared" si="182"/>
        <v>7.3222115536967035E-13</v>
      </c>
      <c r="FH172" s="20">
        <f t="shared" si="183"/>
        <v>1.3525069634579169E-12</v>
      </c>
      <c r="FI172" s="59">
        <f t="shared" si="131"/>
        <v>293.33333333333468</v>
      </c>
      <c r="FJ172" s="59">
        <f ca="1">AVERAGE(OFFSET($FI$3,0,0,'Données projet'!$E$16+1,1))-AVERAGE(OFFSET($H$3,0,0,'Données projet'!$E$16+1,1))</f>
        <v>193.47609744163839</v>
      </c>
      <c r="FK172" s="59">
        <f t="shared" si="156"/>
        <v>170.3221892406973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10.763674170391845</v>
      </c>
      <c r="FR172" s="21">
        <f>EXP(-LN(2)/25)*FR171+(1-EXP(-LN(2)/25))/(LN(2)/25)*Calculateur!FM172*Calculateur!FO172*VLOOKUP('Données projet'!$B$16,Paramètres!$A$1:$I$89,3,0)*0.475*44/12</f>
        <v>1.7037481202659288</v>
      </c>
      <c r="FS172" s="21">
        <f>EXP(-LN(2)/2)*FS171+(1-EXP(-LN(2)/2))/(LN(2)/2)*FM172*FP172*VLOOKUP('Données projet'!$B$16,Paramètres!$A$1:$I$89,3,0)*0.475*44/12</f>
        <v>8.0221634793618508E-13</v>
      </c>
      <c r="FT172" s="22">
        <f t="shared" si="184"/>
        <v>12.467422290658575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>
        <f>FZ172*VLOOKUP('Données projet'!$B$17,Paramètres!$A$1:$I$89,3,0)*VLOOKUP('Données projet'!$B$17,Paramètres!$A$1:$I$89,5,0)</f>
        <v>0</v>
      </c>
      <c r="GB172" s="13" t="e">
        <f t="shared" si="185"/>
        <v>#NUM!</v>
      </c>
      <c r="GC172" s="20" t="e">
        <f t="shared" si="186"/>
        <v>#NUM!</v>
      </c>
      <c r="GD172" s="59" t="e">
        <f t="shared" si="134"/>
        <v>#NUM!</v>
      </c>
      <c r="GE172" s="59">
        <f ca="1">AVERAGE(OFFSET($GD$3,0,0,'Données projet'!$E$17+1,1))-AVERAGE(OFFSET($H$3,0,0,'Données projet'!$E$17+1,1))</f>
        <v>153.43773674911449</v>
      </c>
      <c r="GF172" s="59">
        <f t="shared" si="158"/>
        <v>235.49395036616602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14.148762554277111</v>
      </c>
      <c r="GM172" s="21">
        <f>EXP(-LN(2)/25)*GM171+(1-EXP(-LN(2)/25))/(LN(2)/25)*Calculateur!GH172*Calculateur!GJ172*VLOOKUP('Données projet'!$B$17,Paramètres!$A$1:$I$89,3,0)*0.475*44/12</f>
        <v>4.1823979341879127</v>
      </c>
      <c r="GN172" s="21">
        <f>EXP(-LN(2)/2)*GN171+(1-EXP(-LN(2)/2))/(LN(2)/2)*GH172*GK172*VLOOKUP('Données projet'!$B$17,Paramètres!$A$1:$I$89,3,0)*0.475*44/12</f>
        <v>0</v>
      </c>
      <c r="GO172" s="21">
        <f t="shared" si="187"/>
        <v>18.331160488465024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5.6843418860808015E-14</v>
      </c>
      <c r="GV172" s="17">
        <f>GU172*VLOOKUP('Données projet'!$B$18,Paramètres!$A$1:$I$89,3,0)*VLOOKUP('Données projet'!$B$18,Paramètres!$A$1:$I$89,5,0)</f>
        <v>4.5224624045658861E-14</v>
      </c>
      <c r="GW172" s="13">
        <f t="shared" si="188"/>
        <v>7.4514601661523691E-13</v>
      </c>
      <c r="GX172" s="20">
        <f t="shared" si="189"/>
        <v>1.3765621991510601E-12</v>
      </c>
      <c r="GY172" s="59">
        <f t="shared" si="137"/>
        <v>293.33333333333468</v>
      </c>
      <c r="GZ172" s="59">
        <f ca="1">AVERAGE(OFFSET($GY$3,0,0,'Données projet'!$E$18+1,1))-AVERAGE(OFFSET($H$3,0,0,'Données projet'!$E$18+1,1))</f>
        <v>198.11534486400666</v>
      </c>
      <c r="HA172" s="59">
        <f t="shared" si="160"/>
        <v>174.29856796517652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>
        <f>EXP(-LN(2)/35)*HG171+(1-EXP(-LN(2)/35))/(LN(2)/35)*HC172*HD172*VLOOKUP('Données projet'!$B$18,Paramètres!$A$1:$I$89,3,0)*0.475*44/12</f>
        <v>13.532191294218199</v>
      </c>
      <c r="HH172" s="21">
        <f>EXP(-LN(2)/25)*HH171+(1-EXP(-LN(2)/25))/(LN(2)/25)*Calculateur!HC172*Calculateur!HE172*VLOOKUP('Données projet'!$B$18,Paramètres!$A$1:$I$89,3,0)*0.475*44/12</f>
        <v>2.1419679856180536</v>
      </c>
      <c r="HI172" s="21">
        <f>EXP(-LN(2)/2)*HI171+(1-EXP(-LN(2)/2))/(LN(2)/2)*HC172*HF172*VLOOKUP('Données projet'!$B$18,Paramètres!$A$1:$I$89,3,0)*0.475*44/12</f>
        <v>8.1826067489490755E-13</v>
      </c>
      <c r="HJ172" s="22">
        <f t="shared" si="190"/>
        <v>15.674159279837072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1.1368683772161603E-13</v>
      </c>
      <c r="O173" s="13">
        <f>N173*VLOOKUP('Données projet'!$B$9,Paramètres!$A$1:$I$89,3,0)*VLOOKUP('Données projet'!$B$9,Paramètres!$A$1:$I$89,5,0)</f>
        <v>6.7984728957526396E-14</v>
      </c>
      <c r="P173" s="13">
        <f t="shared" si="141"/>
        <v>1.0682447123141398E-12</v>
      </c>
      <c r="Q173" s="20">
        <f t="shared" si="162"/>
        <v>1.978932943548152E-12</v>
      </c>
      <c r="R173" s="59">
        <f t="shared" si="109"/>
        <v>293.3333333333353</v>
      </c>
      <c r="S173" s="59">
        <f ca="1">AVERAGE(OFFSET($R$3,0,0,'Données projet'!$E$9+1,1))-AVERAGE(OFFSET($H$3,0,0,'Données projet'!$E$9+1,1))</f>
        <v>295.19075440119076</v>
      </c>
      <c r="T173" s="59">
        <f t="shared" si="142"/>
        <v>173.0182327988216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33.435814392772748</v>
      </c>
      <c r="AA173" s="21">
        <f>EXP(-LN(2)/25)*AA172+(1-EXP(-LN(2)/25))/(LN(2)/25)*Calculateur!V173*Calculateur!X173*VLOOKUP('Données projet'!$B$9,Paramètres!$A$1:$I$89,3,0)*0.475*44/12</f>
        <v>9.4257931321570982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42.861607524929845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294.45857786714919</v>
      </c>
      <c r="AO173" s="59">
        <f t="shared" si="144"/>
        <v>221.9773436301067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30.861280777288489</v>
      </c>
      <c r="AV173" s="21">
        <f>EXP(-LN(2)/25)*AV172+(1-EXP(-LN(2)/25))/(LN(2)/25)*Calculateur!AQ173*Calculateur!AS173*VLOOKUP('Données projet'!$B$10,Paramètres!$A$1:$I$89,3,0)*0.475*44/12</f>
        <v>8.2918235316368847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39.153104308925371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179.44051550872138</v>
      </c>
      <c r="BJ173" s="59">
        <f t="shared" si="146"/>
        <v>272.9500808380069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15.85293022912089</v>
      </c>
      <c r="BQ173" s="21">
        <f>EXP(-LN(2)/25)*BQ172+(1-EXP(-LN(2)/25))/(LN(2)/25)*Calculateur!BL173*Calculateur!BN173*VLOOKUP('Données projet'!$B$11,Paramètres!$A$1:$I$89,3,0)*0.475*44/12</f>
        <v>4.6491771916969125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20.502107420817801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-1.5961632016114892E-13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259.87681411271632</v>
      </c>
      <c r="CE173" s="59">
        <f t="shared" si="148"/>
        <v>191.8684235641158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54.843213241004747</v>
      </c>
      <c r="CL173" s="21">
        <f>EXP(-LN(2)/25)*CL172+(1-EXP(-LN(2)/25))/(LN(2)/25)*Calculateur!CG173*Calculateur!CI173*VLOOKUP('Données projet'!$B$12,Paramètres!$A$1:$I$89,3,0)*0.475*44/12</f>
        <v>15.753186577404879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70.596399818409623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5.6843418860808015E-14</v>
      </c>
      <c r="CU173" s="17">
        <f>CT173*VLOOKUP('Données projet'!$B$13,Paramètres!$A$1:$I$89,3,0)*VLOOKUP('Données projet'!$B$13,Paramètres!$A$1:$I$89,5,0)</f>
        <v>4.5224624045658861E-14</v>
      </c>
      <c r="CV173" s="13">
        <f t="shared" si="173"/>
        <v>7.4514601661523691E-13</v>
      </c>
      <c r="CW173" s="20">
        <f t="shared" si="174"/>
        <v>1.3765621991510601E-12</v>
      </c>
      <c r="CX173" s="59">
        <f t="shared" si="122"/>
        <v>293.33333333333468</v>
      </c>
      <c r="CY173" s="59">
        <f ca="1">AVERAGE(OFFSET($CX$3,0,0,'Données projet'!$E$13+1,1))-AVERAGE(OFFSET($H$3,0,0,'Données projet'!$E$13+1,1))</f>
        <v>198.11534486400666</v>
      </c>
      <c r="CZ173" s="59">
        <f t="shared" si="150"/>
        <v>174.29856796517652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13.266833276760273</v>
      </c>
      <c r="DG173" s="21">
        <f>EXP(-LN(2)/25)*DG172+(1-EXP(-LN(2)/25))/(LN(2)/25)*Calculateur!DB173*Calculateur!DD173*VLOOKUP('Données projet'!$B$13,Paramètres!$A$1:$I$89,3,0)*0.475*44/12</f>
        <v>2.083395758410127</v>
      </c>
      <c r="DH173" s="21">
        <f>EXP(-LN(2)/2)*DH172+(1-EXP(-LN(2)/2))/(LN(2)/2)*DB173*DE173*VLOOKUP('Données projet'!$B$13,Paramètres!$A$1:$I$89,3,0)*0.475*44/12</f>
        <v>5.7859767199647009E-13</v>
      </c>
      <c r="DI173" s="22">
        <f t="shared" si="175"/>
        <v>15.35022903517098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-5.6843418860808015E-14</v>
      </c>
      <c r="DP173" s="17">
        <f>DO173*VLOOKUP('Données projet'!$B$14,Paramètres!$A$1:$I$89,3,0)*VLOOKUP('Données projet'!$B$14,Paramètres!$A$1:$I$89,5,0)</f>
        <v>-5.7639226724859328E-14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247.92503505485405</v>
      </c>
      <c r="DU173" s="59">
        <f t="shared" si="152"/>
        <v>148.26437652597514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74.082679546398083</v>
      </c>
      <c r="EB173" s="21">
        <f>EXP(-LN(2)/25)*EB172+(1-EXP(-LN(2)/25))/(LN(2)/25)*Calculateur!DW173*Calculateur!DY173*VLOOKUP('Données projet'!$B$14,Paramètres!$A$1:$I$89,3,0)*0.475*44/12</f>
        <v>37.306606396792951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111.38928594319103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-5.6843418860808015E-14</v>
      </c>
      <c r="EK173" s="17">
        <f>EJ173*VLOOKUP('Données projet'!$B$15,Paramètres!$A$1:$I$89,3,0)*VLOOKUP('Données projet'!$B$15,Paramètres!$A$1:$I$89,5,0)</f>
        <v>-5.4978954722173515E-14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232.99870507181964</v>
      </c>
      <c r="EP173" s="59">
        <f t="shared" si="154"/>
        <v>140.07662669226278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70.663478951948932</v>
      </c>
      <c r="EW173" s="21">
        <f>EXP(-LN(2)/25)*EW172+(1-EXP(-LN(2)/25))/(LN(2)/25)*Calculateur!ER173*Calculateur!ET173*VLOOKUP('Données projet'!$B$15,Paramètres!$A$1:$I$89,3,0)*0.475*44/12</f>
        <v>35.58476302463329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106.24824197658222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5.6843418860808015E-14</v>
      </c>
      <c r="FF173" s="17">
        <f>FE173*VLOOKUP('Données projet'!$B$16,Paramètres!$A$1:$I$89,3,0)*VLOOKUP('Données projet'!$B$16,Paramètres!$A$1:$I$89,5,0)</f>
        <v>4.4337866711430253E-14</v>
      </c>
      <c r="FG173" s="13">
        <f t="shared" si="182"/>
        <v>7.3222115536967035E-13</v>
      </c>
      <c r="FH173" s="20">
        <f t="shared" si="183"/>
        <v>1.3525069634579169E-12</v>
      </c>
      <c r="FI173" s="59">
        <f t="shared" si="131"/>
        <v>293.33333333333468</v>
      </c>
      <c r="FJ173" s="59">
        <f ca="1">AVERAGE(OFFSET($FI$3,0,0,'Données projet'!$E$16+1,1))-AVERAGE(OFFSET($H$3,0,0,'Données projet'!$E$16+1,1))</f>
        <v>193.47609744163839</v>
      </c>
      <c r="FK173" s="59">
        <f t="shared" si="156"/>
        <v>170.3221892406973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10.552605085103446</v>
      </c>
      <c r="FR173" s="21">
        <f>EXP(-LN(2)/25)*FR172+(1-EXP(-LN(2)/25))/(LN(2)/25)*Calculateur!FM173*Calculateur!FO173*VLOOKUP('Données projet'!$B$16,Paramètres!$A$1:$I$89,3,0)*0.475*44/12</f>
        <v>1.6571590383210373</v>
      </c>
      <c r="FS173" s="21">
        <f>EXP(-LN(2)/2)*FS172+(1-EXP(-LN(2)/2))/(LN(2)/2)*FM173*FP173*VLOOKUP('Données projet'!$B$16,Paramètres!$A$1:$I$89,3,0)*0.475*44/12</f>
        <v>5.6725261960438329E-13</v>
      </c>
      <c r="FT173" s="22">
        <f t="shared" si="184"/>
        <v>12.20976412342505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>
        <f>FZ173*VLOOKUP('Données projet'!$B$17,Paramètres!$A$1:$I$89,3,0)*VLOOKUP('Données projet'!$B$17,Paramètres!$A$1:$I$89,5,0)</f>
        <v>0</v>
      </c>
      <c r="GB173" s="13" t="e">
        <f t="shared" si="185"/>
        <v>#NUM!</v>
      </c>
      <c r="GC173" s="20" t="e">
        <f t="shared" si="186"/>
        <v>#NUM!</v>
      </c>
      <c r="GD173" s="59" t="e">
        <f t="shared" si="134"/>
        <v>#NUM!</v>
      </c>
      <c r="GE173" s="59">
        <f ca="1">AVERAGE(OFFSET($GD$3,0,0,'Données projet'!$E$17+1,1))-AVERAGE(OFFSET($H$3,0,0,'Données projet'!$E$17+1,1))</f>
        <v>153.43773674911449</v>
      </c>
      <c r="GF173" s="59">
        <f t="shared" si="158"/>
        <v>235.49395036616602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13.871313950480763</v>
      </c>
      <c r="GM173" s="21">
        <f>EXP(-LN(2)/25)*GM172+(1-EXP(-LN(2)/25))/(LN(2)/25)*Calculateur!GH173*Calculateur!GJ173*VLOOKUP('Données projet'!$B$17,Paramètres!$A$1:$I$89,3,0)*0.475*44/12</f>
        <v>4.0680300427347955</v>
      </c>
      <c r="GN173" s="21">
        <f>EXP(-LN(2)/2)*GN172+(1-EXP(-LN(2)/2))/(LN(2)/2)*GH173*GK173*VLOOKUP('Données projet'!$B$17,Paramètres!$A$1:$I$89,3,0)*0.475*44/12</f>
        <v>0</v>
      </c>
      <c r="GO173" s="21">
        <f t="shared" si="187"/>
        <v>17.939343993215559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5.6843418860808015E-14</v>
      </c>
      <c r="GV173" s="17">
        <f>GU173*VLOOKUP('Données projet'!$B$18,Paramètres!$A$1:$I$89,3,0)*VLOOKUP('Données projet'!$B$18,Paramètres!$A$1:$I$89,5,0)</f>
        <v>4.5224624045658861E-14</v>
      </c>
      <c r="GW173" s="13">
        <f t="shared" si="188"/>
        <v>7.4514601661523691E-13</v>
      </c>
      <c r="GX173" s="20">
        <f t="shared" si="189"/>
        <v>1.3765621991510601E-12</v>
      </c>
      <c r="GY173" s="59">
        <f t="shared" si="137"/>
        <v>293.33333333333468</v>
      </c>
      <c r="GZ173" s="59">
        <f ca="1">AVERAGE(OFFSET($GY$3,0,0,'Données projet'!$E$18+1,1))-AVERAGE(OFFSET($H$3,0,0,'Données projet'!$E$18+1,1))</f>
        <v>198.11534486400666</v>
      </c>
      <c r="HA173" s="59">
        <f t="shared" si="160"/>
        <v>174.29856796517652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>
        <f>EXP(-LN(2)/35)*HG172+(1-EXP(-LN(2)/35))/(LN(2)/35)*HC173*HD173*VLOOKUP('Données projet'!$B$18,Paramètres!$A$1:$I$89,3,0)*0.475*44/12</f>
        <v>13.266833276760273</v>
      </c>
      <c r="HH173" s="21">
        <f>EXP(-LN(2)/25)*HH172+(1-EXP(-LN(2)/25))/(LN(2)/25)*Calculateur!HC173*Calculateur!HE173*VLOOKUP('Données projet'!$B$18,Paramètres!$A$1:$I$89,3,0)*0.475*44/12</f>
        <v>2.083395758410127</v>
      </c>
      <c r="HI173" s="21">
        <f>EXP(-LN(2)/2)*HI172+(1-EXP(-LN(2)/2))/(LN(2)/2)*HC173*HF173*VLOOKUP('Données projet'!$B$18,Paramètres!$A$1:$I$89,3,0)*0.475*44/12</f>
        <v>5.7859767199647009E-13</v>
      </c>
      <c r="HJ173" s="22">
        <f t="shared" si="190"/>
        <v>15.35022903517098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1.1368683772161603E-13</v>
      </c>
      <c r="O174" s="13">
        <f>N174*VLOOKUP('Données projet'!$B$9,Paramètres!$A$1:$I$89,3,0)*VLOOKUP('Données projet'!$B$9,Paramètres!$A$1:$I$89,5,0)</f>
        <v>6.7984728957526396E-14</v>
      </c>
      <c r="P174" s="13">
        <f t="shared" si="141"/>
        <v>1.0682447123141398E-12</v>
      </c>
      <c r="Q174" s="20">
        <f t="shared" si="162"/>
        <v>1.978932943548152E-12</v>
      </c>
      <c r="R174" s="59">
        <f t="shared" si="109"/>
        <v>293.3333333333353</v>
      </c>
      <c r="S174" s="59">
        <f ca="1">AVERAGE(OFFSET($R$3,0,0,'Données projet'!$E$9+1,1))-AVERAGE(OFFSET($H$3,0,0,'Données projet'!$E$9+1,1))</f>
        <v>295.19075440119076</v>
      </c>
      <c r="T174" s="59">
        <f t="shared" si="142"/>
        <v>173.0182327988216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32.780158466363531</v>
      </c>
      <c r="AA174" s="21">
        <f>EXP(-LN(2)/25)*AA173+(1-EXP(-LN(2)/25))/(LN(2)/25)*Calculateur!V174*Calculateur!X174*VLOOKUP('Données projet'!$B$9,Paramètres!$A$1:$I$89,3,0)*0.475*44/12</f>
        <v>9.1680443232773445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41.948202789640874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294.45857786714919</v>
      </c>
      <c r="AO174" s="59">
        <f t="shared" si="144"/>
        <v>221.9773436301067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30.256109884768467</v>
      </c>
      <c r="AV174" s="21">
        <f>EXP(-LN(2)/25)*AV173+(1-EXP(-LN(2)/25))/(LN(2)/25)*Calculateur!AQ174*Calculateur!AS174*VLOOKUP('Données projet'!$B$10,Paramètres!$A$1:$I$89,3,0)*0.475*44/12</f>
        <v>8.0650831811162256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38.321193065884692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179.44051550872138</v>
      </c>
      <c r="BJ174" s="59">
        <f t="shared" si="146"/>
        <v>272.9500808380069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15.542063936660503</v>
      </c>
      <c r="BQ174" s="21">
        <f>EXP(-LN(2)/25)*BQ173+(1-EXP(-LN(2)/25))/(LN(2)/25)*Calculateur!BL174*Calculateur!BN174*VLOOKUP('Données projet'!$B$11,Paramètres!$A$1:$I$89,3,0)*0.475*44/12</f>
        <v>4.5220451969003577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20.064109133560862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-1.5961632016114892E-13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259.87681411271632</v>
      </c>
      <c r="CE174" s="59">
        <f t="shared" si="148"/>
        <v>191.8684235641158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53.767771280405704</v>
      </c>
      <c r="CL174" s="21">
        <f>EXP(-LN(2)/25)*CL173+(1-EXP(-LN(2)/25))/(LN(2)/25)*Calculateur!CG174*Calculateur!CI174*VLOOKUP('Données projet'!$B$12,Paramètres!$A$1:$I$89,3,0)*0.475*44/12</f>
        <v>15.322414862021665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69.09018614242737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5.6843418860808015E-14</v>
      </c>
      <c r="CU174" s="17">
        <f>CT174*VLOOKUP('Données projet'!$B$13,Paramètres!$A$1:$I$89,3,0)*VLOOKUP('Données projet'!$B$13,Paramètres!$A$1:$I$89,5,0)</f>
        <v>4.5224624045658861E-14</v>
      </c>
      <c r="CV174" s="13">
        <f t="shared" si="173"/>
        <v>7.4514601661523691E-13</v>
      </c>
      <c r="CW174" s="20">
        <f t="shared" si="174"/>
        <v>1.3765621991510601E-12</v>
      </c>
      <c r="CX174" s="59">
        <f t="shared" si="122"/>
        <v>293.33333333333468</v>
      </c>
      <c r="CY174" s="59">
        <f ca="1">AVERAGE(OFFSET($CX$3,0,0,'Données projet'!$E$13+1,1))-AVERAGE(OFFSET($H$3,0,0,'Données projet'!$E$13+1,1))</f>
        <v>198.11534486400666</v>
      </c>
      <c r="CZ174" s="59">
        <f t="shared" si="150"/>
        <v>174.29856796517652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13.006678768172288</v>
      </c>
      <c r="DG174" s="21">
        <f>EXP(-LN(2)/25)*DG173+(1-EXP(-LN(2)/25))/(LN(2)/25)*Calculateur!DB174*Calculateur!DD174*VLOOKUP('Données projet'!$B$13,Paramètres!$A$1:$I$89,3,0)*0.475*44/12</f>
        <v>2.0264251918353811</v>
      </c>
      <c r="DH174" s="21">
        <f>EXP(-LN(2)/2)*DH173+(1-EXP(-LN(2)/2))/(LN(2)/2)*DB174*DE174*VLOOKUP('Données projet'!$B$13,Paramètres!$A$1:$I$89,3,0)*0.475*44/12</f>
        <v>4.0913033744745377E-13</v>
      </c>
      <c r="DI174" s="22">
        <f t="shared" si="175"/>
        <v>15.033103960008077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-5.6843418860808015E-14</v>
      </c>
      <c r="DP174" s="17">
        <f>DO174*VLOOKUP('Données projet'!$B$14,Paramètres!$A$1:$I$89,3,0)*VLOOKUP('Données projet'!$B$14,Paramètres!$A$1:$I$89,5,0)</f>
        <v>-5.7639226724859328E-14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247.92503505485405</v>
      </c>
      <c r="DU174" s="59">
        <f t="shared" si="152"/>
        <v>148.26437652597514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72.629963386466002</v>
      </c>
      <c r="EB174" s="21">
        <f>EXP(-LN(2)/25)*EB173+(1-EXP(-LN(2)/25))/(LN(2)/25)*Calculateur!DW174*Calculateur!DY174*VLOOKUP('Données projet'!$B$14,Paramètres!$A$1:$I$89,3,0)*0.475*44/12</f>
        <v>36.286455283003484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108.91641866946949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-5.6843418860808015E-14</v>
      </c>
      <c r="EK174" s="17">
        <f>EJ174*VLOOKUP('Données projet'!$B$15,Paramètres!$A$1:$I$89,3,0)*VLOOKUP('Données projet'!$B$15,Paramètres!$A$1:$I$89,5,0)</f>
        <v>-5.4978954722173515E-14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232.99870507181964</v>
      </c>
      <c r="EP174" s="59">
        <f t="shared" si="154"/>
        <v>140.07662669226278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69.277811230167558</v>
      </c>
      <c r="EW174" s="21">
        <f>EXP(-LN(2)/25)*EW173+(1-EXP(-LN(2)/25))/(LN(2)/25)*Calculateur!ER174*Calculateur!ET174*VLOOKUP('Données projet'!$B$15,Paramètres!$A$1:$I$89,3,0)*0.475*44/12</f>
        <v>34.611695808403333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103.88950703857088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5.6843418860808015E-14</v>
      </c>
      <c r="FF174" s="17">
        <f>FE174*VLOOKUP('Données projet'!$B$16,Paramètres!$A$1:$I$89,3,0)*VLOOKUP('Données projet'!$B$16,Paramètres!$A$1:$I$89,5,0)</f>
        <v>4.4337866711430253E-14</v>
      </c>
      <c r="FG174" s="13">
        <f t="shared" si="182"/>
        <v>7.3222115536967035E-13</v>
      </c>
      <c r="FH174" s="20">
        <f t="shared" si="183"/>
        <v>1.3525069634579169E-12</v>
      </c>
      <c r="FI174" s="59">
        <f t="shared" si="131"/>
        <v>293.33333333333468</v>
      </c>
      <c r="FJ174" s="59">
        <f ca="1">AVERAGE(OFFSET($FI$3,0,0,'Données projet'!$E$16+1,1))-AVERAGE(OFFSET($H$3,0,0,'Données projet'!$E$16+1,1))</f>
        <v>193.47609744163839</v>
      </c>
      <c r="FK174" s="59">
        <f t="shared" si="156"/>
        <v>170.3221892406973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10.345674935838122</v>
      </c>
      <c r="FR174" s="21">
        <f>EXP(-LN(2)/25)*FR173+(1-EXP(-LN(2)/25))/(LN(2)/25)*Calculateur!FM174*Calculateur!FO174*VLOOKUP('Données projet'!$B$16,Paramètres!$A$1:$I$89,3,0)*0.475*44/12</f>
        <v>1.6118439372719422</v>
      </c>
      <c r="FS174" s="21">
        <f>EXP(-LN(2)/2)*FS173+(1-EXP(-LN(2)/2))/(LN(2)/2)*FM174*FP174*VLOOKUP('Données projet'!$B$16,Paramètres!$A$1:$I$89,3,0)*0.475*44/12</f>
        <v>4.0110817396809254E-13</v>
      </c>
      <c r="FT174" s="22">
        <f t="shared" si="184"/>
        <v>11.957518873110466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>
        <f>FZ174*VLOOKUP('Données projet'!$B$17,Paramètres!$A$1:$I$89,3,0)*VLOOKUP('Données projet'!$B$17,Paramètres!$A$1:$I$89,5,0)</f>
        <v>0</v>
      </c>
      <c r="GB174" s="13" t="e">
        <f t="shared" si="185"/>
        <v>#NUM!</v>
      </c>
      <c r="GC174" s="20" t="e">
        <f t="shared" si="186"/>
        <v>#NUM!</v>
      </c>
      <c r="GD174" s="59" t="e">
        <f t="shared" si="134"/>
        <v>#NUM!</v>
      </c>
      <c r="GE174" s="59">
        <f ca="1">AVERAGE(OFFSET($GD$3,0,0,'Données projet'!$E$17+1,1))-AVERAGE(OFFSET($H$3,0,0,'Données projet'!$E$17+1,1))</f>
        <v>153.43773674911449</v>
      </c>
      <c r="GF174" s="59">
        <f t="shared" si="158"/>
        <v>235.49395036616602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13.599305944577925</v>
      </c>
      <c r="GM174" s="21">
        <f>EXP(-LN(2)/25)*GM173+(1-EXP(-LN(2)/25))/(LN(2)/25)*Calculateur!GH174*Calculateur!GJ174*VLOOKUP('Données projet'!$B$17,Paramètres!$A$1:$I$89,3,0)*0.475*44/12</f>
        <v>3.9567895472878103</v>
      </c>
      <c r="GN174" s="21">
        <f>EXP(-LN(2)/2)*GN173+(1-EXP(-LN(2)/2))/(LN(2)/2)*GH174*GK174*VLOOKUP('Données projet'!$B$17,Paramètres!$A$1:$I$89,3,0)*0.475*44/12</f>
        <v>0</v>
      </c>
      <c r="GO174" s="21">
        <f t="shared" si="187"/>
        <v>17.556095491865733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5.6843418860808015E-14</v>
      </c>
      <c r="GV174" s="17">
        <f>GU174*VLOOKUP('Données projet'!$B$18,Paramètres!$A$1:$I$89,3,0)*VLOOKUP('Données projet'!$B$18,Paramètres!$A$1:$I$89,5,0)</f>
        <v>4.5224624045658861E-14</v>
      </c>
      <c r="GW174" s="13">
        <f t="shared" si="188"/>
        <v>7.4514601661523691E-13</v>
      </c>
      <c r="GX174" s="20">
        <f t="shared" si="189"/>
        <v>1.3765621991510601E-12</v>
      </c>
      <c r="GY174" s="59">
        <f t="shared" si="137"/>
        <v>293.33333333333468</v>
      </c>
      <c r="GZ174" s="59">
        <f ca="1">AVERAGE(OFFSET($GY$3,0,0,'Données projet'!$E$18+1,1))-AVERAGE(OFFSET($H$3,0,0,'Données projet'!$E$18+1,1))</f>
        <v>198.11534486400666</v>
      </c>
      <c r="HA174" s="59">
        <f t="shared" si="160"/>
        <v>174.29856796517652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>
        <f>EXP(-LN(2)/35)*HG173+(1-EXP(-LN(2)/35))/(LN(2)/35)*HC174*HD174*VLOOKUP('Données projet'!$B$18,Paramètres!$A$1:$I$89,3,0)*0.475*44/12</f>
        <v>13.006678768172288</v>
      </c>
      <c r="HH174" s="21">
        <f>EXP(-LN(2)/25)*HH173+(1-EXP(-LN(2)/25))/(LN(2)/25)*Calculateur!HC174*Calculateur!HE174*VLOOKUP('Données projet'!$B$18,Paramètres!$A$1:$I$89,3,0)*0.475*44/12</f>
        <v>2.0264251918353811</v>
      </c>
      <c r="HI174" s="21">
        <f>EXP(-LN(2)/2)*HI173+(1-EXP(-LN(2)/2))/(LN(2)/2)*HC174*HF174*VLOOKUP('Données projet'!$B$18,Paramètres!$A$1:$I$89,3,0)*0.475*44/12</f>
        <v>4.0913033744745377E-13</v>
      </c>
      <c r="HJ174" s="22">
        <f t="shared" si="190"/>
        <v>15.033103960008077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1.1368683772161603E-13</v>
      </c>
      <c r="O175" s="13">
        <f>N175*VLOOKUP('Données projet'!$B$9,Paramètres!$A$1:$I$89,3,0)*VLOOKUP('Données projet'!$B$9,Paramètres!$A$1:$I$89,5,0)</f>
        <v>6.7984728957526396E-14</v>
      </c>
      <c r="P175" s="13">
        <f t="shared" si="141"/>
        <v>1.0682447123141398E-12</v>
      </c>
      <c r="Q175" s="20">
        <f t="shared" si="162"/>
        <v>1.978932943548152E-12</v>
      </c>
      <c r="R175" s="59">
        <f t="shared" si="109"/>
        <v>293.3333333333353</v>
      </c>
      <c r="S175" s="59">
        <f ca="1">AVERAGE(OFFSET($R$3,0,0,'Données projet'!$E$9+1,1))-AVERAGE(OFFSET($H$3,0,0,'Données projet'!$E$9+1,1))</f>
        <v>295.19075440119076</v>
      </c>
      <c r="T175" s="59">
        <f t="shared" si="142"/>
        <v>173.0182327988216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32.137359552760572</v>
      </c>
      <c r="AA175" s="21">
        <f>EXP(-LN(2)/25)*AA174+(1-EXP(-LN(2)/25))/(LN(2)/25)*Calculateur!V175*Calculateur!X175*VLOOKUP('Données projet'!$B$9,Paramètres!$A$1:$I$89,3,0)*0.475*44/12</f>
        <v>8.9173436691308279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41.054703221891401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294.45857786714919</v>
      </c>
      <c r="AO175" s="59">
        <f t="shared" si="144"/>
        <v>221.9773436301067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29.662806024332966</v>
      </c>
      <c r="AV175" s="21">
        <f>EXP(-LN(2)/25)*AV174+(1-EXP(-LN(2)/25))/(LN(2)/25)*Calculateur!AQ175*Calculateur!AS175*VLOOKUP('Données projet'!$B$10,Paramètres!$A$1:$I$89,3,0)*0.475*44/12</f>
        <v>7.8445430574043105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37.507349081737274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179.44051550872138</v>
      </c>
      <c r="BJ175" s="59">
        <f t="shared" si="146"/>
        <v>272.9500808380069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15.237293542585547</v>
      </c>
      <c r="BQ175" s="21">
        <f>EXP(-LN(2)/25)*BQ174+(1-EXP(-LN(2)/25))/(LN(2)/25)*Calculateur!BL175*Calculateur!BN175*VLOOKUP('Données projet'!$B$11,Paramètres!$A$1:$I$89,3,0)*0.475*44/12</f>
        <v>4.3983896331870955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19.635683175772641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-1.5961632016114892E-13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259.87681411271632</v>
      </c>
      <c r="CE175" s="59">
        <f t="shared" si="148"/>
        <v>191.8684235641158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52.713418080699185</v>
      </c>
      <c r="CL175" s="21">
        <f>EXP(-LN(2)/25)*CL174+(1-EXP(-LN(2)/25))/(LN(2)/25)*Calculateur!CG175*Calculateur!CI175*VLOOKUP('Données projet'!$B$12,Paramètres!$A$1:$I$89,3,0)*0.475*44/12</f>
        <v>14.903422621848904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67.616840702548089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5.6843418860808015E-14</v>
      </c>
      <c r="CU175" s="17">
        <f>CT175*VLOOKUP('Données projet'!$B$13,Paramètres!$A$1:$I$89,3,0)*VLOOKUP('Données projet'!$B$13,Paramètres!$A$1:$I$89,5,0)</f>
        <v>4.5224624045658861E-14</v>
      </c>
      <c r="CV175" s="13">
        <f t="shared" si="173"/>
        <v>7.4514601661523691E-13</v>
      </c>
      <c r="CW175" s="20">
        <f t="shared" si="174"/>
        <v>1.3765621991510601E-12</v>
      </c>
      <c r="CX175" s="59">
        <f t="shared" si="122"/>
        <v>293.33333333333468</v>
      </c>
      <c r="CY175" s="59">
        <f ca="1">AVERAGE(OFFSET($CX$3,0,0,'Données projet'!$E$13+1,1))-AVERAGE(OFFSET($H$3,0,0,'Données projet'!$E$13+1,1))</f>
        <v>198.11534486400666</v>
      </c>
      <c r="CZ175" s="59">
        <f t="shared" si="150"/>
        <v>174.29856796517652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12.75162573081913</v>
      </c>
      <c r="DG175" s="21">
        <f>EXP(-LN(2)/25)*DG174+(1-EXP(-LN(2)/25))/(LN(2)/25)*Calculateur!DB175*Calculateur!DD175*VLOOKUP('Données projet'!$B$13,Paramètres!$A$1:$I$89,3,0)*0.475*44/12</f>
        <v>1.9710124883995732</v>
      </c>
      <c r="DH175" s="21">
        <f>EXP(-LN(2)/2)*DH174+(1-EXP(-LN(2)/2))/(LN(2)/2)*DB175*DE175*VLOOKUP('Données projet'!$B$13,Paramètres!$A$1:$I$89,3,0)*0.475*44/12</f>
        <v>2.8929883599823504E-13</v>
      </c>
      <c r="DI175" s="22">
        <f t="shared" si="175"/>
        <v>14.722638219218993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-5.6843418860808015E-14</v>
      </c>
      <c r="DP175" s="17">
        <f>DO175*VLOOKUP('Données projet'!$B$14,Paramètres!$A$1:$I$89,3,0)*VLOOKUP('Données projet'!$B$14,Paramètres!$A$1:$I$89,5,0)</f>
        <v>-5.7639226724859328E-14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247.92503505485405</v>
      </c>
      <c r="DU175" s="59">
        <f t="shared" si="152"/>
        <v>148.26437652597514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71.205734104360815</v>
      </c>
      <c r="EB175" s="21">
        <f>EXP(-LN(2)/25)*EB174+(1-EXP(-LN(2)/25))/(LN(2)/25)*Calculateur!DW175*Calculateur!DY175*VLOOKUP('Données projet'!$B$14,Paramètres!$A$1:$I$89,3,0)*0.475*44/12</f>
        <v>35.294200255068006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106.49993435942882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-5.6843418860808015E-14</v>
      </c>
      <c r="EK175" s="17">
        <f>EJ175*VLOOKUP('Données projet'!$B$15,Paramètres!$A$1:$I$89,3,0)*VLOOKUP('Données projet'!$B$15,Paramètres!$A$1:$I$89,5,0)</f>
        <v>-5.4978954722173515E-14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232.99870507181964</v>
      </c>
      <c r="EP175" s="59">
        <f t="shared" si="154"/>
        <v>140.07662669226278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67.919315607236456</v>
      </c>
      <c r="EW175" s="21">
        <f>EXP(-LN(2)/25)*EW174+(1-EXP(-LN(2)/25))/(LN(2)/25)*Calculateur!ER175*Calculateur!ET175*VLOOKUP('Données projet'!$B$15,Paramètres!$A$1:$I$89,3,0)*0.475*44/12</f>
        <v>33.66523716637257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101.58455277360903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5.6843418860808015E-14</v>
      </c>
      <c r="FF175" s="17">
        <f>FE175*VLOOKUP('Données projet'!$B$16,Paramètres!$A$1:$I$89,3,0)*VLOOKUP('Données projet'!$B$16,Paramètres!$A$1:$I$89,5,0)</f>
        <v>4.4337866711430253E-14</v>
      </c>
      <c r="FG175" s="13">
        <f t="shared" si="182"/>
        <v>7.3222115536967035E-13</v>
      </c>
      <c r="FH175" s="20">
        <f t="shared" si="183"/>
        <v>1.3525069634579169E-12</v>
      </c>
      <c r="FI175" s="59">
        <f t="shared" si="131"/>
        <v>293.33333333333468</v>
      </c>
      <c r="FJ175" s="59">
        <f ca="1">AVERAGE(OFFSET($FI$3,0,0,'Données projet'!$E$16+1,1))-AVERAGE(OFFSET($H$3,0,0,'Données projet'!$E$16+1,1))</f>
        <v>193.47609744163839</v>
      </c>
      <c r="FK175" s="59">
        <f t="shared" si="156"/>
        <v>170.3221892406973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10.142802560584963</v>
      </c>
      <c r="FR175" s="21">
        <f>EXP(-LN(2)/25)*FR174+(1-EXP(-LN(2)/25))/(LN(2)/25)*Calculateur!FM175*Calculateur!FO175*VLOOKUP('Données projet'!$B$16,Paramètres!$A$1:$I$89,3,0)*0.475*44/12</f>
        <v>1.5677679800440523</v>
      </c>
      <c r="FS175" s="21">
        <f>EXP(-LN(2)/2)*FS174+(1-EXP(-LN(2)/2))/(LN(2)/2)*FM175*FP175*VLOOKUP('Données projet'!$B$16,Paramètres!$A$1:$I$89,3,0)*0.475*44/12</f>
        <v>2.8362630980219165E-13</v>
      </c>
      <c r="FT175" s="22">
        <f t="shared" si="184"/>
        <v>11.7105705406293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>
        <f>FZ175*VLOOKUP('Données projet'!$B$17,Paramètres!$A$1:$I$89,3,0)*VLOOKUP('Données projet'!$B$17,Paramètres!$A$1:$I$89,5,0)</f>
        <v>0</v>
      </c>
      <c r="GB175" s="13" t="e">
        <f t="shared" si="185"/>
        <v>#NUM!</v>
      </c>
      <c r="GC175" s="20" t="e">
        <f t="shared" si="186"/>
        <v>#NUM!</v>
      </c>
      <c r="GD175" s="59" t="e">
        <f t="shared" si="134"/>
        <v>#NUM!</v>
      </c>
      <c r="GE175" s="59">
        <f ca="1">AVERAGE(OFFSET($GD$3,0,0,'Données projet'!$E$17+1,1))-AVERAGE(OFFSET($H$3,0,0,'Données projet'!$E$17+1,1))</f>
        <v>153.43773674911449</v>
      </c>
      <c r="GF175" s="59">
        <f t="shared" si="158"/>
        <v>235.49395036616602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13.332631849762338</v>
      </c>
      <c r="GM175" s="21">
        <f>EXP(-LN(2)/25)*GM174+(1-EXP(-LN(2)/25))/(LN(2)/25)*Calculateur!GH175*Calculateur!GJ175*VLOOKUP('Données projet'!$B$17,Paramètres!$A$1:$I$89,3,0)*0.475*44/12</f>
        <v>3.8485909290387061</v>
      </c>
      <c r="GN175" s="21">
        <f>EXP(-LN(2)/2)*GN174+(1-EXP(-LN(2)/2))/(LN(2)/2)*GH175*GK175*VLOOKUP('Données projet'!$B$17,Paramètres!$A$1:$I$89,3,0)*0.475*44/12</f>
        <v>0</v>
      </c>
      <c r="GO175" s="21">
        <f t="shared" si="187"/>
        <v>17.181222778801043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5.6843418860808015E-14</v>
      </c>
      <c r="GV175" s="17">
        <f>GU175*VLOOKUP('Données projet'!$B$18,Paramètres!$A$1:$I$89,3,0)*VLOOKUP('Données projet'!$B$18,Paramètres!$A$1:$I$89,5,0)</f>
        <v>4.5224624045658861E-14</v>
      </c>
      <c r="GW175" s="13">
        <f t="shared" si="188"/>
        <v>7.4514601661523691E-13</v>
      </c>
      <c r="GX175" s="20">
        <f t="shared" si="189"/>
        <v>1.3765621991510601E-12</v>
      </c>
      <c r="GY175" s="59">
        <f t="shared" si="137"/>
        <v>293.33333333333468</v>
      </c>
      <c r="GZ175" s="59">
        <f ca="1">AVERAGE(OFFSET($GY$3,0,0,'Données projet'!$E$18+1,1))-AVERAGE(OFFSET($H$3,0,0,'Données projet'!$E$18+1,1))</f>
        <v>198.11534486400666</v>
      </c>
      <c r="HA175" s="59">
        <f t="shared" si="160"/>
        <v>174.29856796517652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>
        <f>EXP(-LN(2)/35)*HG174+(1-EXP(-LN(2)/35))/(LN(2)/35)*HC175*HD175*VLOOKUP('Données projet'!$B$18,Paramètres!$A$1:$I$89,3,0)*0.475*44/12</f>
        <v>12.75162573081913</v>
      </c>
      <c r="HH175" s="21">
        <f>EXP(-LN(2)/25)*HH174+(1-EXP(-LN(2)/25))/(LN(2)/25)*Calculateur!HC175*Calculateur!HE175*VLOOKUP('Données projet'!$B$18,Paramètres!$A$1:$I$89,3,0)*0.475*44/12</f>
        <v>1.9710124883995732</v>
      </c>
      <c r="HI175" s="21">
        <f>EXP(-LN(2)/2)*HI174+(1-EXP(-LN(2)/2))/(LN(2)/2)*HC175*HF175*VLOOKUP('Données projet'!$B$18,Paramètres!$A$1:$I$89,3,0)*0.475*44/12</f>
        <v>2.8929883599823504E-13</v>
      </c>
      <c r="HJ175" s="22">
        <f t="shared" si="190"/>
        <v>14.722638219218993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1.1368683772161603E-13</v>
      </c>
      <c r="O176" s="13">
        <f>N176*VLOOKUP('Données projet'!$B$9,Paramètres!$A$1:$I$89,3,0)*VLOOKUP('Données projet'!$B$9,Paramètres!$A$1:$I$89,5,0)</f>
        <v>6.7984728957526396E-14</v>
      </c>
      <c r="P176" s="13">
        <f t="shared" si="141"/>
        <v>1.0682447123141398E-12</v>
      </c>
      <c r="Q176" s="20">
        <f t="shared" si="162"/>
        <v>1.978932943548152E-12</v>
      </c>
      <c r="R176" s="59">
        <f t="shared" si="109"/>
        <v>293.3333333333353</v>
      </c>
      <c r="S176" s="59">
        <f ca="1">AVERAGE(OFFSET($R$3,0,0,'Données projet'!$E$9+1,1))-AVERAGE(OFFSET($H$3,0,0,'Données projet'!$E$9+1,1))</f>
        <v>295.19075440119076</v>
      </c>
      <c r="T176" s="59">
        <f t="shared" si="142"/>
        <v>173.0182327988216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31.507165533784743</v>
      </c>
      <c r="AA176" s="21">
        <f>EXP(-LN(2)/25)*AA175+(1-EXP(-LN(2)/25))/(LN(2)/25)*Calculateur!V176*Calculateur!X176*VLOOKUP('Données projet'!$B$9,Paramètres!$A$1:$I$89,3,0)*0.475*44/12</f>
        <v>8.6734984375557218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40.180663971340465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294.45857786714919</v>
      </c>
      <c r="AO176" s="59">
        <f t="shared" si="144"/>
        <v>221.9773436301067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29.081136490720983</v>
      </c>
      <c r="AV176" s="21">
        <f>EXP(-LN(2)/25)*AV175+(1-EXP(-LN(2)/25))/(LN(2)/25)*Calculateur!AQ176*Calculateur!AS176*VLOOKUP('Données projet'!$B$10,Paramètres!$A$1:$I$89,3,0)*0.475*44/12</f>
        <v>7.6300336149729988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36.711170105693981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179.44051550872138</v>
      </c>
      <c r="BJ176" s="59">
        <f t="shared" si="146"/>
        <v>272.9500808380069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14.938499510046816</v>
      </c>
      <c r="BQ176" s="21">
        <f>EXP(-LN(2)/25)*BQ175+(1-EXP(-LN(2)/25))/(LN(2)/25)*Calculateur!BL176*Calculateur!BN176*VLOOKUP('Données projet'!$B$11,Paramètres!$A$1:$I$89,3,0)*0.475*44/12</f>
        <v>4.2781154373663366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19.216614947413152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-1.5961632016114892E-13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259.87681411271632</v>
      </c>
      <c r="CE176" s="59">
        <f t="shared" si="148"/>
        <v>191.8684235641158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51.679740104146958</v>
      </c>
      <c r="CL176" s="21">
        <f>EXP(-LN(2)/25)*CL175+(1-EXP(-LN(2)/25))/(LN(2)/25)*Calculateur!CG176*Calculateur!CI176*VLOOKUP('Données projet'!$B$12,Paramètres!$A$1:$I$89,3,0)*0.475*44/12</f>
        <v>14.495887746517512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66.175627850664469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5.6843418860808015E-14</v>
      </c>
      <c r="CU176" s="17">
        <f>CT176*VLOOKUP('Données projet'!$B$13,Paramètres!$A$1:$I$89,3,0)*VLOOKUP('Données projet'!$B$13,Paramètres!$A$1:$I$89,5,0)</f>
        <v>4.5224624045658861E-14</v>
      </c>
      <c r="CV176" s="13">
        <f t="shared" si="173"/>
        <v>7.4514601661523691E-13</v>
      </c>
      <c r="CW176" s="20">
        <f t="shared" si="174"/>
        <v>1.3765621991510601E-12</v>
      </c>
      <c r="CX176" s="59">
        <f t="shared" si="122"/>
        <v>293.33333333333468</v>
      </c>
      <c r="CY176" s="59">
        <f ca="1">AVERAGE(OFFSET($CX$3,0,0,'Données projet'!$E$13+1,1))-AVERAGE(OFFSET($H$3,0,0,'Données projet'!$E$13+1,1))</f>
        <v>198.11534486400666</v>
      </c>
      <c r="CZ176" s="59">
        <f t="shared" si="150"/>
        <v>174.29856796517652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12.501574127961476</v>
      </c>
      <c r="DG176" s="21">
        <f>EXP(-LN(2)/25)*DG175+(1-EXP(-LN(2)/25))/(LN(2)/25)*Calculateur!DB176*Calculateur!DD176*VLOOKUP('Données projet'!$B$13,Paramètres!$A$1:$I$89,3,0)*0.475*44/12</f>
        <v>1.9171150482532449</v>
      </c>
      <c r="DH176" s="21">
        <f>EXP(-LN(2)/2)*DH175+(1-EXP(-LN(2)/2))/(LN(2)/2)*DB176*DE176*VLOOKUP('Données projet'!$B$13,Paramètres!$A$1:$I$89,3,0)*0.475*44/12</f>
        <v>2.0456516872372689E-13</v>
      </c>
      <c r="DI176" s="22">
        <f t="shared" si="175"/>
        <v>14.418689176214924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-5.6843418860808015E-14</v>
      </c>
      <c r="DP176" s="17">
        <f>DO176*VLOOKUP('Données projet'!$B$14,Paramètres!$A$1:$I$89,3,0)*VLOOKUP('Données projet'!$B$14,Paramètres!$A$1:$I$89,5,0)</f>
        <v>-5.7639226724859328E-14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247.92503505485405</v>
      </c>
      <c r="DU176" s="59">
        <f t="shared" si="152"/>
        <v>148.26437652597514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69.809433089783624</v>
      </c>
      <c r="EB176" s="21">
        <f>EXP(-LN(2)/25)*EB175+(1-EXP(-LN(2)/25))/(LN(2)/25)*Calculateur!DW176*Calculateur!DY176*VLOOKUP('Données projet'!$B$14,Paramètres!$A$1:$I$89,3,0)*0.475*44/12</f>
        <v>34.329078493051846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104.13851158283546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-5.6843418860808015E-14</v>
      </c>
      <c r="EK176" s="17">
        <f>EJ176*VLOOKUP('Données projet'!$B$15,Paramètres!$A$1:$I$89,3,0)*VLOOKUP('Données projet'!$B$15,Paramètres!$A$1:$I$89,5,0)</f>
        <v>-5.4978954722173515E-14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232.99870507181964</v>
      </c>
      <c r="EP176" s="59">
        <f t="shared" si="154"/>
        <v>140.07662669226278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66.587459254870524</v>
      </c>
      <c r="EW176" s="21">
        <f>EXP(-LN(2)/25)*EW175+(1-EXP(-LN(2)/25))/(LN(2)/25)*Calculateur!ER176*Calculateur!ET176*VLOOKUP('Données projet'!$B$15,Paramètres!$A$1:$I$89,3,0)*0.475*44/12</f>
        <v>32.744659485680231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99.332118740550754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5.6843418860808015E-14</v>
      </c>
      <c r="FF176" s="17">
        <f>FE176*VLOOKUP('Données projet'!$B$16,Paramètres!$A$1:$I$89,3,0)*VLOOKUP('Données projet'!$B$16,Paramètres!$A$1:$I$89,5,0)</f>
        <v>4.4337866711430253E-14</v>
      </c>
      <c r="FG176" s="13">
        <f t="shared" si="182"/>
        <v>7.3222115536967035E-13</v>
      </c>
      <c r="FH176" s="20">
        <f t="shared" si="183"/>
        <v>1.3525069634579169E-12</v>
      </c>
      <c r="FI176" s="59">
        <f t="shared" si="131"/>
        <v>293.33333333333468</v>
      </c>
      <c r="FJ176" s="59">
        <f ca="1">AVERAGE(OFFSET($FI$3,0,0,'Données projet'!$E$16+1,1))-AVERAGE(OFFSET($H$3,0,0,'Données projet'!$E$16+1,1))</f>
        <v>193.47609744163839</v>
      </c>
      <c r="FK176" s="59">
        <f t="shared" si="156"/>
        <v>170.3221892406973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9.9439083888705877</v>
      </c>
      <c r="FR176" s="21">
        <f>EXP(-LN(2)/25)*FR175+(1-EXP(-LN(2)/25))/(LN(2)/25)*Calculateur!FM176*Calculateur!FO176*VLOOKUP('Données projet'!$B$16,Paramètres!$A$1:$I$89,3,0)*0.475*44/12</f>
        <v>1.5248972821844127</v>
      </c>
      <c r="FS176" s="21">
        <f>EXP(-LN(2)/2)*FS175+(1-EXP(-LN(2)/2))/(LN(2)/2)*FM176*FP176*VLOOKUP('Données projet'!$B$16,Paramètres!$A$1:$I$89,3,0)*0.475*44/12</f>
        <v>2.0055408698404627E-13</v>
      </c>
      <c r="FT176" s="22">
        <f t="shared" si="184"/>
        <v>11.4688056710552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>
        <f>FZ176*VLOOKUP('Données projet'!$B$17,Paramètres!$A$1:$I$89,3,0)*VLOOKUP('Données projet'!$B$17,Paramètres!$A$1:$I$89,5,0)</f>
        <v>0</v>
      </c>
      <c r="GB176" s="13" t="e">
        <f t="shared" si="185"/>
        <v>#NUM!</v>
      </c>
      <c r="GC176" s="20" t="e">
        <f t="shared" si="186"/>
        <v>#NUM!</v>
      </c>
      <c r="GD176" s="59" t="e">
        <f t="shared" si="134"/>
        <v>#NUM!</v>
      </c>
      <c r="GE176" s="59">
        <f ca="1">AVERAGE(OFFSET($GD$3,0,0,'Données projet'!$E$17+1,1))-AVERAGE(OFFSET($H$3,0,0,'Données projet'!$E$17+1,1))</f>
        <v>153.43773674911449</v>
      </c>
      <c r="GF176" s="59">
        <f t="shared" si="158"/>
        <v>235.49395036616602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13.071187071290948</v>
      </c>
      <c r="GM176" s="21">
        <f>EXP(-LN(2)/25)*GM175+(1-EXP(-LN(2)/25))/(LN(2)/25)*Calculateur!GH176*Calculateur!GJ176*VLOOKUP('Données projet'!$B$17,Paramètres!$A$1:$I$89,3,0)*0.475*44/12</f>
        <v>3.7433510076955416</v>
      </c>
      <c r="GN176" s="21">
        <f>EXP(-LN(2)/2)*GN175+(1-EXP(-LN(2)/2))/(LN(2)/2)*GH176*GK176*VLOOKUP('Données projet'!$B$17,Paramètres!$A$1:$I$89,3,0)*0.475*44/12</f>
        <v>0</v>
      </c>
      <c r="GO176" s="21">
        <f t="shared" si="187"/>
        <v>16.814538078986491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5.6843418860808015E-14</v>
      </c>
      <c r="GV176" s="17">
        <f>GU176*VLOOKUP('Données projet'!$B$18,Paramètres!$A$1:$I$89,3,0)*VLOOKUP('Données projet'!$B$18,Paramètres!$A$1:$I$89,5,0)</f>
        <v>4.5224624045658861E-14</v>
      </c>
      <c r="GW176" s="13">
        <f t="shared" si="188"/>
        <v>7.4514601661523691E-13</v>
      </c>
      <c r="GX176" s="20">
        <f t="shared" si="189"/>
        <v>1.3765621991510601E-12</v>
      </c>
      <c r="GY176" s="59">
        <f t="shared" si="137"/>
        <v>293.33333333333468</v>
      </c>
      <c r="GZ176" s="59">
        <f ca="1">AVERAGE(OFFSET($GY$3,0,0,'Données projet'!$E$18+1,1))-AVERAGE(OFFSET($H$3,0,0,'Données projet'!$E$18+1,1))</f>
        <v>198.11534486400666</v>
      </c>
      <c r="HA176" s="59">
        <f t="shared" si="160"/>
        <v>174.29856796517652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>
        <f>EXP(-LN(2)/35)*HG175+(1-EXP(-LN(2)/35))/(LN(2)/35)*HC176*HD176*VLOOKUP('Données projet'!$B$18,Paramètres!$A$1:$I$89,3,0)*0.475*44/12</f>
        <v>12.501574127961476</v>
      </c>
      <c r="HH176" s="21">
        <f>EXP(-LN(2)/25)*HH175+(1-EXP(-LN(2)/25))/(LN(2)/25)*Calculateur!HC176*Calculateur!HE176*VLOOKUP('Données projet'!$B$18,Paramètres!$A$1:$I$89,3,0)*0.475*44/12</f>
        <v>1.9171150482532449</v>
      </c>
      <c r="HI176" s="21">
        <f>EXP(-LN(2)/2)*HI175+(1-EXP(-LN(2)/2))/(LN(2)/2)*HC176*HF176*VLOOKUP('Données projet'!$B$18,Paramètres!$A$1:$I$89,3,0)*0.475*44/12</f>
        <v>2.0456516872372689E-13</v>
      </c>
      <c r="HJ176" s="22">
        <f t="shared" si="190"/>
        <v>14.418689176214924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1.1368683772161603E-13</v>
      </c>
      <c r="O177" s="13">
        <f>N177*VLOOKUP('Données projet'!$B$9,Paramètres!$A$1:$I$89,3,0)*VLOOKUP('Données projet'!$B$9,Paramètres!$A$1:$I$89,5,0)</f>
        <v>6.7984728957526396E-14</v>
      </c>
      <c r="P177" s="13">
        <f t="shared" si="141"/>
        <v>1.0682447123141398E-12</v>
      </c>
      <c r="Q177" s="20">
        <f t="shared" si="162"/>
        <v>1.978932943548152E-12</v>
      </c>
      <c r="R177" s="59">
        <f t="shared" si="109"/>
        <v>293.3333333333353</v>
      </c>
      <c r="S177" s="59">
        <f ca="1">AVERAGE(OFFSET($R$3,0,0,'Données projet'!$E$9+1,1))-AVERAGE(OFFSET($H$3,0,0,'Données projet'!$E$9+1,1))</f>
        <v>295.19075440119076</v>
      </c>
      <c r="T177" s="59">
        <f t="shared" si="142"/>
        <v>173.0182327988216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30.889329235140632</v>
      </c>
      <c r="AA177" s="21">
        <f>EXP(-LN(2)/25)*AA176+(1-EXP(-LN(2)/25))/(LN(2)/25)*Calculateur!V177*Calculateur!X177*VLOOKUP('Données projet'!$B$9,Paramètres!$A$1:$I$89,3,0)*0.475*44/12</f>
        <v>8.4363211666613012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39.325650401801937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294.45857786714919</v>
      </c>
      <c r="AO177" s="59">
        <f t="shared" si="144"/>
        <v>221.9773436301067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28.510873141879745</v>
      </c>
      <c r="AV177" s="21">
        <f>EXP(-LN(2)/25)*AV176+(1-EXP(-LN(2)/25))/(LN(2)/25)*Calculateur!AQ177*Calculateur!AS177*VLOOKUP('Données projet'!$B$10,Paramètres!$A$1:$I$89,3,0)*0.475*44/12</f>
        <v>7.4213899445255329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35.932263086405278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179.44051550872138</v>
      </c>
      <c r="BJ177" s="59">
        <f t="shared" si="146"/>
        <v>272.9500808380069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14.645564646239805</v>
      </c>
      <c r="BQ177" s="21">
        <f>EXP(-LN(2)/25)*BQ176+(1-EXP(-LN(2)/25))/(LN(2)/25)*Calculateur!BL177*Calculateur!BN177*VLOOKUP('Données projet'!$B$11,Paramètres!$A$1:$I$89,3,0)*0.475*44/12</f>
        <v>4.1611301457552408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18.806694791995046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-1.5961632016114892E-13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259.87681411271632</v>
      </c>
      <c r="CE177" s="59">
        <f t="shared" si="148"/>
        <v>191.8684235641158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50.66633192223361</v>
      </c>
      <c r="CL177" s="21">
        <f>EXP(-LN(2)/25)*CL176+(1-EXP(-LN(2)/25))/(LN(2)/25)*Calculateur!CG177*Calculateur!CI177*VLOOKUP('Données projet'!$B$12,Paramètres!$A$1:$I$89,3,0)*0.475*44/12</f>
        <v>14.099496933783385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64.765828856016995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5.6843418860808015E-14</v>
      </c>
      <c r="CU177" s="17">
        <f>CT177*VLOOKUP('Données projet'!$B$13,Paramètres!$A$1:$I$89,3,0)*VLOOKUP('Données projet'!$B$13,Paramètres!$A$1:$I$89,5,0)</f>
        <v>4.5224624045658861E-14</v>
      </c>
      <c r="CV177" s="13">
        <f t="shared" si="173"/>
        <v>7.4514601661523691E-13</v>
      </c>
      <c r="CW177" s="20">
        <f t="shared" si="174"/>
        <v>1.3765621991510601E-12</v>
      </c>
      <c r="CX177" s="59">
        <f t="shared" si="122"/>
        <v>293.33333333333468</v>
      </c>
      <c r="CY177" s="59">
        <f ca="1">AVERAGE(OFFSET($CX$3,0,0,'Données projet'!$E$13+1,1))-AVERAGE(OFFSET($H$3,0,0,'Données projet'!$E$13+1,1))</f>
        <v>198.11534486400666</v>
      </c>
      <c r="CZ177" s="59">
        <f t="shared" si="150"/>
        <v>174.29856796517652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12.256425884519443</v>
      </c>
      <c r="DG177" s="21">
        <f>EXP(-LN(2)/25)*DG176+(1-EXP(-LN(2)/25))/(LN(2)/25)*Calculateur!DB177*Calculateur!DD177*VLOOKUP('Données projet'!$B$13,Paramètres!$A$1:$I$89,3,0)*0.475*44/12</f>
        <v>1.864691436442061</v>
      </c>
      <c r="DH177" s="21">
        <f>EXP(-LN(2)/2)*DH176+(1-EXP(-LN(2)/2))/(LN(2)/2)*DB177*DE177*VLOOKUP('Données projet'!$B$13,Paramètres!$A$1:$I$89,3,0)*0.475*44/12</f>
        <v>1.4464941799911752E-13</v>
      </c>
      <c r="DI177" s="22">
        <f t="shared" si="175"/>
        <v>14.121117320961648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-5.6843418860808015E-14</v>
      </c>
      <c r="DP177" s="17">
        <f>DO177*VLOOKUP('Données projet'!$B$14,Paramètres!$A$1:$I$89,3,0)*VLOOKUP('Données projet'!$B$14,Paramètres!$A$1:$I$89,5,0)</f>
        <v>-5.7639226724859328E-14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247.92503505485405</v>
      </c>
      <c r="DU177" s="59">
        <f t="shared" si="152"/>
        <v>148.26437652597514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68.440512686442773</v>
      </c>
      <c r="EB177" s="21">
        <f>EXP(-LN(2)/25)*EB176+(1-EXP(-LN(2)/25))/(LN(2)/25)*Calculateur!DW177*Calculateur!DY177*VLOOKUP('Données projet'!$B$14,Paramètres!$A$1:$I$89,3,0)*0.475*44/12</f>
        <v>33.390348036371563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101.83086072281434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-5.6843418860808015E-14</v>
      </c>
      <c r="EK177" s="17">
        <f>EJ177*VLOOKUP('Données projet'!$B$15,Paramètres!$A$1:$I$89,3,0)*VLOOKUP('Données projet'!$B$15,Paramètres!$A$1:$I$89,5,0)</f>
        <v>-5.4978954722173515E-14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232.99870507181964</v>
      </c>
      <c r="EP177" s="59">
        <f t="shared" si="154"/>
        <v>140.07662669226278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65.281719793222322</v>
      </c>
      <c r="EW177" s="21">
        <f>EXP(-LN(2)/25)*EW176+(1-EXP(-LN(2)/25))/(LN(2)/25)*Calculateur!ER177*Calculateur!ET177*VLOOKUP('Données projet'!$B$15,Paramètres!$A$1:$I$89,3,0)*0.475*44/12</f>
        <v>31.849255050077502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97.130974843299825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5.6843418860808015E-14</v>
      </c>
      <c r="FF177" s="17">
        <f>FE177*VLOOKUP('Données projet'!$B$16,Paramètres!$A$1:$I$89,3,0)*VLOOKUP('Données projet'!$B$16,Paramètres!$A$1:$I$89,5,0)</f>
        <v>4.4337866711430253E-14</v>
      </c>
      <c r="FG177" s="13">
        <f t="shared" si="182"/>
        <v>7.3222115536967035E-13</v>
      </c>
      <c r="FH177" s="20">
        <f t="shared" si="183"/>
        <v>1.3525069634579169E-12</v>
      </c>
      <c r="FI177" s="59">
        <f t="shared" si="131"/>
        <v>293.33333333333468</v>
      </c>
      <c r="FJ177" s="59">
        <f ca="1">AVERAGE(OFFSET($FI$3,0,0,'Données projet'!$E$16+1,1))-AVERAGE(OFFSET($H$3,0,0,'Données projet'!$E$16+1,1))</f>
        <v>193.47609744163839</v>
      </c>
      <c r="FK177" s="59">
        <f t="shared" si="156"/>
        <v>170.3221892406973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9.748914410550066</v>
      </c>
      <c r="FR177" s="21">
        <f>EXP(-LN(2)/25)*FR176+(1-EXP(-LN(2)/25))/(LN(2)/25)*Calculateur!FM177*Calculateur!FO177*VLOOKUP('Données projet'!$B$16,Paramètres!$A$1:$I$89,3,0)*0.475*44/12</f>
        <v>1.4831988858122169</v>
      </c>
      <c r="FS177" s="21">
        <f>EXP(-LN(2)/2)*FS176+(1-EXP(-LN(2)/2))/(LN(2)/2)*FM177*FP177*VLOOKUP('Données projet'!$B$16,Paramètres!$A$1:$I$89,3,0)*0.475*44/12</f>
        <v>1.4181315490109582E-13</v>
      </c>
      <c r="FT177" s="22">
        <f t="shared" si="184"/>
        <v>11.232113296362424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>
        <f>FZ177*VLOOKUP('Données projet'!$B$17,Paramètres!$A$1:$I$89,3,0)*VLOOKUP('Données projet'!$B$17,Paramètres!$A$1:$I$89,5,0)</f>
        <v>0</v>
      </c>
      <c r="GB177" s="13" t="e">
        <f t="shared" si="185"/>
        <v>#NUM!</v>
      </c>
      <c r="GC177" s="20" t="e">
        <f t="shared" si="186"/>
        <v>#NUM!</v>
      </c>
      <c r="GD177" s="59" t="e">
        <f t="shared" si="134"/>
        <v>#NUM!</v>
      </c>
      <c r="GE177" s="59">
        <f ca="1">AVERAGE(OFFSET($GD$3,0,0,'Données projet'!$E$17+1,1))-AVERAGE(OFFSET($H$3,0,0,'Données projet'!$E$17+1,1))</f>
        <v>153.43773674911449</v>
      </c>
      <c r="GF177" s="59">
        <f t="shared" si="158"/>
        <v>235.49395036616602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12.814869065459813</v>
      </c>
      <c r="GM177" s="21">
        <f>EXP(-LN(2)/25)*GM176+(1-EXP(-LN(2)/25))/(LN(2)/25)*Calculateur!GH177*Calculateur!GJ177*VLOOKUP('Données projet'!$B$17,Paramètres!$A$1:$I$89,3,0)*0.475*44/12</f>
        <v>3.640988877535833</v>
      </c>
      <c r="GN177" s="21">
        <f>EXP(-LN(2)/2)*GN176+(1-EXP(-LN(2)/2))/(LN(2)/2)*GH177*GK177*VLOOKUP('Données projet'!$B$17,Paramètres!$A$1:$I$89,3,0)*0.475*44/12</f>
        <v>0</v>
      </c>
      <c r="GO177" s="21">
        <f t="shared" si="187"/>
        <v>16.455857942995646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5.6843418860808015E-14</v>
      </c>
      <c r="GV177" s="17">
        <f>GU177*VLOOKUP('Données projet'!$B$18,Paramètres!$A$1:$I$89,3,0)*VLOOKUP('Données projet'!$B$18,Paramètres!$A$1:$I$89,5,0)</f>
        <v>4.5224624045658861E-14</v>
      </c>
      <c r="GW177" s="13">
        <f t="shared" si="188"/>
        <v>7.4514601661523691E-13</v>
      </c>
      <c r="GX177" s="20">
        <f t="shared" si="189"/>
        <v>1.3765621991510601E-12</v>
      </c>
      <c r="GY177" s="59">
        <f t="shared" si="137"/>
        <v>293.33333333333468</v>
      </c>
      <c r="GZ177" s="59">
        <f ca="1">AVERAGE(OFFSET($GY$3,0,0,'Données projet'!$E$18+1,1))-AVERAGE(OFFSET($H$3,0,0,'Données projet'!$E$18+1,1))</f>
        <v>198.11534486400666</v>
      </c>
      <c r="HA177" s="59">
        <f t="shared" si="160"/>
        <v>174.29856796517652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>
        <f>EXP(-LN(2)/35)*HG176+(1-EXP(-LN(2)/35))/(LN(2)/35)*HC177*HD177*VLOOKUP('Données projet'!$B$18,Paramètres!$A$1:$I$89,3,0)*0.475*44/12</f>
        <v>12.256425884519443</v>
      </c>
      <c r="HH177" s="21">
        <f>EXP(-LN(2)/25)*HH176+(1-EXP(-LN(2)/25))/(LN(2)/25)*Calculateur!HC177*Calculateur!HE177*VLOOKUP('Données projet'!$B$18,Paramètres!$A$1:$I$89,3,0)*0.475*44/12</f>
        <v>1.864691436442061</v>
      </c>
      <c r="HI177" s="21">
        <f>EXP(-LN(2)/2)*HI176+(1-EXP(-LN(2)/2))/(LN(2)/2)*HC177*HF177*VLOOKUP('Données projet'!$B$18,Paramètres!$A$1:$I$89,3,0)*0.475*44/12</f>
        <v>1.4464941799911752E-13</v>
      </c>
      <c r="HJ177" s="22">
        <f t="shared" si="190"/>
        <v>14.121117320961648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1.1368683772161603E-13</v>
      </c>
      <c r="O178" s="13">
        <f>N178*VLOOKUP('Données projet'!$B$9,Paramètres!$A$1:$I$89,3,0)*VLOOKUP('Données projet'!$B$9,Paramètres!$A$1:$I$89,5,0)</f>
        <v>6.7984728957526396E-14</v>
      </c>
      <c r="P178" s="13">
        <f t="shared" si="141"/>
        <v>1.0682447123141398E-12</v>
      </c>
      <c r="Q178" s="20">
        <f t="shared" si="162"/>
        <v>1.978932943548152E-12</v>
      </c>
      <c r="R178" s="59">
        <f t="shared" si="109"/>
        <v>293.3333333333353</v>
      </c>
      <c r="S178" s="59">
        <f ca="1">AVERAGE(OFFSET($R$3,0,0,'Données projet'!$E$9+1,1))-AVERAGE(OFFSET($H$3,0,0,'Données projet'!$E$9+1,1))</f>
        <v>295.19075440119076</v>
      </c>
      <c r="T178" s="59">
        <f t="shared" si="142"/>
        <v>173.0182327988216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30.283608329469999</v>
      </c>
      <c r="AA178" s="21">
        <f>EXP(-LN(2)/25)*AA177+(1-EXP(-LN(2)/25))/(LN(2)/25)*Calculateur!V178*Calculateur!X178*VLOOKUP('Données projet'!$B$9,Paramètres!$A$1:$I$89,3,0)*0.475*44/12</f>
        <v>8.2056295207120993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38.4892378501821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294.45857786714919</v>
      </c>
      <c r="AO178" s="59">
        <f t="shared" si="144"/>
        <v>221.9773436301067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27.95179230948299</v>
      </c>
      <c r="AV178" s="21">
        <f>EXP(-LN(2)/25)*AV177+(1-EXP(-LN(2)/25))/(LN(2)/25)*Calculateur!AQ178*Calculateur!AS178*VLOOKUP('Données projet'!$B$10,Paramètres!$A$1:$I$89,3,0)*0.475*44/12</f>
        <v>7.2184516462185471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35.170243955701537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179.44051550872138</v>
      </c>
      <c r="BJ178" s="59">
        <f t="shared" si="146"/>
        <v>272.9500808380069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14.358374056439425</v>
      </c>
      <c r="BQ178" s="21">
        <f>EXP(-LN(2)/25)*BQ177+(1-EXP(-LN(2)/25))/(LN(2)/25)*Calculateur!BL178*Calculateur!BN178*VLOOKUP('Données projet'!$B$11,Paramètres!$A$1:$I$89,3,0)*0.475*44/12</f>
        <v>4.0473438230952397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18.405717879534663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-1.5961632016114892E-13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259.87681411271632</v>
      </c>
      <c r="CE178" s="59">
        <f t="shared" si="148"/>
        <v>191.8684235641158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49.672796056649624</v>
      </c>
      <c r="CL178" s="21">
        <f>EXP(-LN(2)/25)*CL177+(1-EXP(-LN(2)/25))/(LN(2)/25)*Calculateur!CG178*Calculateur!CI178*VLOOKUP('Données projet'!$B$12,Paramètres!$A$1:$I$89,3,0)*0.475*44/12</f>
        <v>13.71394544866876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63.386741505318383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5.6843418860808015E-14</v>
      </c>
      <c r="CU178" s="17">
        <f>CT178*VLOOKUP('Données projet'!$B$13,Paramètres!$A$1:$I$89,3,0)*VLOOKUP('Données projet'!$B$13,Paramètres!$A$1:$I$89,5,0)</f>
        <v>4.5224624045658861E-14</v>
      </c>
      <c r="CV178" s="13">
        <f t="shared" si="173"/>
        <v>7.4514601661523691E-13</v>
      </c>
      <c r="CW178" s="20">
        <f t="shared" si="174"/>
        <v>1.3765621991510601E-12</v>
      </c>
      <c r="CX178" s="59">
        <f t="shared" si="122"/>
        <v>293.33333333333468</v>
      </c>
      <c r="CY178" s="59">
        <f ca="1">AVERAGE(OFFSET($CX$3,0,0,'Données projet'!$E$13+1,1))-AVERAGE(OFFSET($H$3,0,0,'Données projet'!$E$13+1,1))</f>
        <v>198.11534486400666</v>
      </c>
      <c r="CZ178" s="59">
        <f t="shared" si="150"/>
        <v>174.29856796517652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12.016084848605644</v>
      </c>
      <c r="DG178" s="21">
        <f>EXP(-LN(2)/25)*DG177+(1-EXP(-LN(2)/25))/(LN(2)/25)*Calculateur!DB178*Calculateur!DD178*VLOOKUP('Données projet'!$B$13,Paramètres!$A$1:$I$89,3,0)*0.475*44/12</f>
        <v>1.813701351052692</v>
      </c>
      <c r="DH178" s="21">
        <f>EXP(-LN(2)/2)*DH177+(1-EXP(-LN(2)/2))/(LN(2)/2)*DB178*DE178*VLOOKUP('Données projet'!$B$13,Paramètres!$A$1:$I$89,3,0)*0.475*44/12</f>
        <v>1.0228258436186344E-13</v>
      </c>
      <c r="DI178" s="22">
        <f t="shared" si="175"/>
        <v>13.829786199658439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-5.6843418860808015E-14</v>
      </c>
      <c r="DP178" s="17">
        <f>DO178*VLOOKUP('Données projet'!$B$14,Paramètres!$A$1:$I$89,3,0)*VLOOKUP('Données projet'!$B$14,Paramètres!$A$1:$I$89,5,0)</f>
        <v>-5.7639226724859328E-14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247.92503505485405</v>
      </c>
      <c r="DU178" s="59">
        <f t="shared" si="152"/>
        <v>148.26437652597514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67.098435977252436</v>
      </c>
      <c r="EB178" s="21">
        <f>EXP(-LN(2)/25)*EB177+(1-EXP(-LN(2)/25))/(LN(2)/25)*Calculateur!DW178*Calculateur!DY178*VLOOKUP('Données projet'!$B$14,Paramètres!$A$1:$I$89,3,0)*0.475*44/12</f>
        <v>32.477287213394895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99.575723190647324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-5.6843418860808015E-14</v>
      </c>
      <c r="EK178" s="17">
        <f>EJ178*VLOOKUP('Données projet'!$B$15,Paramètres!$A$1:$I$89,3,0)*VLOOKUP('Données projet'!$B$15,Paramètres!$A$1:$I$89,5,0)</f>
        <v>-5.4978954722173515E-14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232.99870507181964</v>
      </c>
      <c r="EP178" s="59">
        <f t="shared" si="154"/>
        <v>140.07662669226278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64.00158508599462</v>
      </c>
      <c r="EW178" s="21">
        <f>EXP(-LN(2)/25)*EW177+(1-EXP(-LN(2)/25))/(LN(2)/25)*Calculateur!ER178*Calculateur!ET178*VLOOKUP('Données projet'!$B$15,Paramètres!$A$1:$I$89,3,0)*0.475*44/12</f>
        <v>30.978335495853603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94.979920581848219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5.6843418860808015E-14</v>
      </c>
      <c r="FF178" s="17">
        <f>FE178*VLOOKUP('Données projet'!$B$16,Paramètres!$A$1:$I$89,3,0)*VLOOKUP('Données projet'!$B$16,Paramètres!$A$1:$I$89,5,0)</f>
        <v>4.4337866711430253E-14</v>
      </c>
      <c r="FG178" s="13">
        <f t="shared" si="182"/>
        <v>7.3222115536967035E-13</v>
      </c>
      <c r="FH178" s="20">
        <f t="shared" si="183"/>
        <v>1.3525069634579169E-12</v>
      </c>
      <c r="FI178" s="59">
        <f t="shared" si="131"/>
        <v>293.33333333333468</v>
      </c>
      <c r="FJ178" s="59">
        <f ca="1">AVERAGE(OFFSET($FI$3,0,0,'Données projet'!$E$16+1,1))-AVERAGE(OFFSET($H$3,0,0,'Données projet'!$E$16+1,1))</f>
        <v>193.47609744163839</v>
      </c>
      <c r="FK178" s="59">
        <f t="shared" si="156"/>
        <v>170.3221892406973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9.557744145209826</v>
      </c>
      <c r="FR178" s="21">
        <f>EXP(-LN(2)/25)*FR177+(1-EXP(-LN(2)/25))/(LN(2)/25)*Calculateur!FM178*Calculateur!FO178*VLOOKUP('Données projet'!$B$16,Paramètres!$A$1:$I$89,3,0)*0.475*44/12</f>
        <v>1.4426407342816423</v>
      </c>
      <c r="FS178" s="21">
        <f>EXP(-LN(2)/2)*FS177+(1-EXP(-LN(2)/2))/(LN(2)/2)*FM178*FP178*VLOOKUP('Données projet'!$B$16,Paramètres!$A$1:$I$89,3,0)*0.475*44/12</f>
        <v>1.0027704349202314E-13</v>
      </c>
      <c r="FT178" s="22">
        <f t="shared" si="184"/>
        <v>11.000384879491568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>
        <f>FZ178*VLOOKUP('Données projet'!$B$17,Paramètres!$A$1:$I$89,3,0)*VLOOKUP('Données projet'!$B$17,Paramètres!$A$1:$I$89,5,0)</f>
        <v>0</v>
      </c>
      <c r="GB178" s="13" t="e">
        <f t="shared" si="185"/>
        <v>#NUM!</v>
      </c>
      <c r="GC178" s="20" t="e">
        <f t="shared" si="186"/>
        <v>#NUM!</v>
      </c>
      <c r="GD178" s="59" t="e">
        <f t="shared" si="134"/>
        <v>#NUM!</v>
      </c>
      <c r="GE178" s="59">
        <f ca="1">AVERAGE(OFFSET($GD$3,0,0,'Données projet'!$E$17+1,1))-AVERAGE(OFFSET($H$3,0,0,'Données projet'!$E$17+1,1))</f>
        <v>153.43773674911449</v>
      </c>
      <c r="GF178" s="59">
        <f t="shared" si="158"/>
        <v>235.49395036616602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12.56357729938448</v>
      </c>
      <c r="GM178" s="21">
        <f>EXP(-LN(2)/25)*GM177+(1-EXP(-LN(2)/25))/(LN(2)/25)*Calculateur!GH178*Calculateur!GJ178*VLOOKUP('Données projet'!$B$17,Paramètres!$A$1:$I$89,3,0)*0.475*44/12</f>
        <v>3.541425845208332</v>
      </c>
      <c r="GN178" s="21">
        <f>EXP(-LN(2)/2)*GN177+(1-EXP(-LN(2)/2))/(LN(2)/2)*GH178*GK178*VLOOKUP('Données projet'!$B$17,Paramètres!$A$1:$I$89,3,0)*0.475*44/12</f>
        <v>0</v>
      </c>
      <c r="GO178" s="21">
        <f t="shared" si="187"/>
        <v>16.105003144592814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5.6843418860808015E-14</v>
      </c>
      <c r="GV178" s="17">
        <f>GU178*VLOOKUP('Données projet'!$B$18,Paramètres!$A$1:$I$89,3,0)*VLOOKUP('Données projet'!$B$18,Paramètres!$A$1:$I$89,5,0)</f>
        <v>4.5224624045658861E-14</v>
      </c>
      <c r="GW178" s="13">
        <f t="shared" si="188"/>
        <v>7.4514601661523691E-13</v>
      </c>
      <c r="GX178" s="20">
        <f t="shared" si="189"/>
        <v>1.3765621991510601E-12</v>
      </c>
      <c r="GY178" s="59">
        <f t="shared" si="137"/>
        <v>293.33333333333468</v>
      </c>
      <c r="GZ178" s="59">
        <f ca="1">AVERAGE(OFFSET($GY$3,0,0,'Données projet'!$E$18+1,1))-AVERAGE(OFFSET($H$3,0,0,'Données projet'!$E$18+1,1))</f>
        <v>198.11534486400666</v>
      </c>
      <c r="HA178" s="59">
        <f t="shared" si="160"/>
        <v>174.29856796517652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>
        <f>EXP(-LN(2)/35)*HG177+(1-EXP(-LN(2)/35))/(LN(2)/35)*HC178*HD178*VLOOKUP('Données projet'!$B$18,Paramètres!$A$1:$I$89,3,0)*0.475*44/12</f>
        <v>12.016084848605644</v>
      </c>
      <c r="HH178" s="21">
        <f>EXP(-LN(2)/25)*HH177+(1-EXP(-LN(2)/25))/(LN(2)/25)*Calculateur!HC178*Calculateur!HE178*VLOOKUP('Données projet'!$B$18,Paramètres!$A$1:$I$89,3,0)*0.475*44/12</f>
        <v>1.813701351052692</v>
      </c>
      <c r="HI178" s="21">
        <f>EXP(-LN(2)/2)*HI177+(1-EXP(-LN(2)/2))/(LN(2)/2)*HC178*HF178*VLOOKUP('Données projet'!$B$18,Paramètres!$A$1:$I$89,3,0)*0.475*44/12</f>
        <v>1.0228258436186344E-13</v>
      </c>
      <c r="HJ178" s="22">
        <f t="shared" si="190"/>
        <v>13.829786199658439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1.1368683772161603E-13</v>
      </c>
      <c r="O179" s="13">
        <f>N179*VLOOKUP('Données projet'!$B$9,Paramètres!$A$1:$I$89,3,0)*VLOOKUP('Données projet'!$B$9,Paramètres!$A$1:$I$89,5,0)</f>
        <v>6.7984728957526396E-14</v>
      </c>
      <c r="P179" s="13">
        <f t="shared" si="141"/>
        <v>1.0682447123141398E-12</v>
      </c>
      <c r="Q179" s="20">
        <f t="shared" si="162"/>
        <v>1.978932943548152E-12</v>
      </c>
      <c r="R179" s="59">
        <f t="shared" si="109"/>
        <v>293.3333333333353</v>
      </c>
      <c r="S179" s="59">
        <f ca="1">AVERAGE(OFFSET($R$3,0,0,'Données projet'!$E$9+1,1))-AVERAGE(OFFSET($H$3,0,0,'Données projet'!$E$9+1,1))</f>
        <v>295.19075440119076</v>
      </c>
      <c r="T179" s="59">
        <f t="shared" si="142"/>
        <v>173.0182327988216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29.689765241306297</v>
      </c>
      <c r="AA179" s="21">
        <f>EXP(-LN(2)/25)*AA178+(1-EXP(-LN(2)/25))/(LN(2)/25)*Calculateur!V179*Calculateur!X179*VLOOKUP('Données projet'!$B$9,Paramètres!$A$1:$I$89,3,0)*0.475*44/12</f>
        <v>7.9812461499529244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37.671011391259221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294.45857786714919</v>
      </c>
      <c r="AO179" s="59">
        <f t="shared" si="144"/>
        <v>221.9773436301067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27.403674711203898</v>
      </c>
      <c r="AV179" s="21">
        <f>EXP(-LN(2)/25)*AV178+(1-EXP(-LN(2)/25))/(LN(2)/25)*Calculateur!AQ179*Calculateur!AS179*VLOOKUP('Données projet'!$B$10,Paramètres!$A$1:$I$89,3,0)*0.475*44/12</f>
        <v>7.0210627063508264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34.424737417554724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179.44051550872138</v>
      </c>
      <c r="BJ179" s="59">
        <f t="shared" si="146"/>
        <v>272.9500808380069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14.076815098936066</v>
      </c>
      <c r="BQ179" s="21">
        <f>EXP(-LN(2)/25)*BQ178+(1-EXP(-LN(2)/25))/(LN(2)/25)*Calculateur!BL179*Calculateur!BN179*VLOOKUP('Données projet'!$B$11,Paramètres!$A$1:$I$89,3,0)*0.475*44/12</f>
        <v>3.9366689934121388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18.013484092348204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-1.5961632016114892E-13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259.87681411271632</v>
      </c>
      <c r="CE179" s="59">
        <f t="shared" si="148"/>
        <v>191.8684235641158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48.698742823392699</v>
      </c>
      <c r="CL179" s="21">
        <f>EXP(-LN(2)/25)*CL178+(1-EXP(-LN(2)/25))/(LN(2)/25)*Calculateur!CG179*Calculateur!CI179*VLOOKUP('Données projet'!$B$12,Paramètres!$A$1:$I$89,3,0)*0.475*44/12</f>
        <v>13.338936889189865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62.037679712582566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5.6843418860808015E-14</v>
      </c>
      <c r="CU179" s="17">
        <f>CT179*VLOOKUP('Données projet'!$B$13,Paramètres!$A$1:$I$89,3,0)*VLOOKUP('Données projet'!$B$13,Paramètres!$A$1:$I$89,5,0)</f>
        <v>4.5224624045658861E-14</v>
      </c>
      <c r="CV179" s="13">
        <f t="shared" si="173"/>
        <v>7.4514601661523691E-13</v>
      </c>
      <c r="CW179" s="20">
        <f t="shared" si="174"/>
        <v>1.3765621991510601E-12</v>
      </c>
      <c r="CX179" s="59">
        <f t="shared" si="122"/>
        <v>293.33333333333468</v>
      </c>
      <c r="CY179" s="59">
        <f ca="1">AVERAGE(OFFSET($CX$3,0,0,'Données projet'!$E$13+1,1))-AVERAGE(OFFSET($H$3,0,0,'Données projet'!$E$13+1,1))</f>
        <v>198.11534486400666</v>
      </c>
      <c r="CZ179" s="59">
        <f t="shared" si="150"/>
        <v>174.29856796517652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11.780456753812558</v>
      </c>
      <c r="DG179" s="21">
        <f>EXP(-LN(2)/25)*DG178+(1-EXP(-LN(2)/25))/(LN(2)/25)*Calculateur!DB179*Calculateur!DD179*VLOOKUP('Données projet'!$B$13,Paramètres!$A$1:$I$89,3,0)*0.475*44/12</f>
        <v>1.7641055922297475</v>
      </c>
      <c r="DH179" s="21">
        <f>EXP(-LN(2)/2)*DH178+(1-EXP(-LN(2)/2))/(LN(2)/2)*DB179*DE179*VLOOKUP('Données projet'!$B$13,Paramètres!$A$1:$I$89,3,0)*0.475*44/12</f>
        <v>7.2324708999558761E-14</v>
      </c>
      <c r="DI179" s="22">
        <f t="shared" si="175"/>
        <v>13.544562346042378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-5.6843418860808015E-14</v>
      </c>
      <c r="DP179" s="17">
        <f>DO179*VLOOKUP('Données projet'!$B$14,Paramètres!$A$1:$I$89,3,0)*VLOOKUP('Données projet'!$B$14,Paramètres!$A$1:$I$89,5,0)</f>
        <v>-5.7639226724859328E-14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247.92503505485405</v>
      </c>
      <c r="DU179" s="59">
        <f t="shared" si="152"/>
        <v>148.26437652597514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65.782676573743359</v>
      </c>
      <c r="EB179" s="21">
        <f>EXP(-LN(2)/25)*EB178+(1-EXP(-LN(2)/25))/(LN(2)/25)*Calculateur!DW179*Calculateur!DY179*VLOOKUP('Données projet'!$B$14,Paramètres!$A$1:$I$89,3,0)*0.475*44/12</f>
        <v>31.589194086638305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97.37187066038166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-5.6843418860808015E-14</v>
      </c>
      <c r="EK179" s="17">
        <f>EJ179*VLOOKUP('Données projet'!$B$15,Paramètres!$A$1:$I$89,3,0)*VLOOKUP('Données projet'!$B$15,Paramètres!$A$1:$I$89,5,0)</f>
        <v>-5.4978954722173515E-14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232.99870507181964</v>
      </c>
      <c r="EP179" s="59">
        <f t="shared" si="154"/>
        <v>140.07662669226278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62.746553039570571</v>
      </c>
      <c r="EW179" s="21">
        <f>EXP(-LN(2)/25)*EW178+(1-EXP(-LN(2)/25))/(LN(2)/25)*Calculateur!ER179*Calculateur!ET179*VLOOKUP('Données projet'!$B$15,Paramètres!$A$1:$I$89,3,0)*0.475*44/12</f>
        <v>30.131231282639625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92.877784322210204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5.6843418860808015E-14</v>
      </c>
      <c r="FF179" s="17">
        <f>FE179*VLOOKUP('Données projet'!$B$16,Paramètres!$A$1:$I$89,3,0)*VLOOKUP('Données projet'!$B$16,Paramètres!$A$1:$I$89,5,0)</f>
        <v>4.4337866711430253E-14</v>
      </c>
      <c r="FG179" s="13">
        <f t="shared" si="182"/>
        <v>7.3222115536967035E-13</v>
      </c>
      <c r="FH179" s="20">
        <f t="shared" si="183"/>
        <v>1.3525069634579169E-12</v>
      </c>
      <c r="FI179" s="59">
        <f t="shared" si="131"/>
        <v>293.33333333333468</v>
      </c>
      <c r="FJ179" s="59">
        <f ca="1">AVERAGE(OFFSET($FI$3,0,0,'Données projet'!$E$16+1,1))-AVERAGE(OFFSET($H$3,0,0,'Données projet'!$E$16+1,1))</f>
        <v>193.47609744163839</v>
      </c>
      <c r="FK179" s="59">
        <f t="shared" si="156"/>
        <v>170.3221892406973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9.3703226121705594</v>
      </c>
      <c r="FR179" s="21">
        <f>EXP(-LN(2)/25)*FR178+(1-EXP(-LN(2)/25))/(LN(2)/25)*Calculateur!FM179*Calculateur!FO179*VLOOKUP('Données projet'!$B$16,Paramètres!$A$1:$I$89,3,0)*0.475*44/12</f>
        <v>1.4031916475375317</v>
      </c>
      <c r="FS179" s="21">
        <f>EXP(-LN(2)/2)*FS178+(1-EXP(-LN(2)/2))/(LN(2)/2)*FM179*FP179*VLOOKUP('Données projet'!$B$16,Paramètres!$A$1:$I$89,3,0)*0.475*44/12</f>
        <v>7.0906577450547911E-14</v>
      </c>
      <c r="FT179" s="22">
        <f t="shared" si="184"/>
        <v>10.773514259708161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>
        <f>FZ179*VLOOKUP('Données projet'!$B$17,Paramètres!$A$1:$I$89,3,0)*VLOOKUP('Données projet'!$B$17,Paramètres!$A$1:$I$89,5,0)</f>
        <v>0</v>
      </c>
      <c r="GB179" s="13" t="e">
        <f t="shared" si="185"/>
        <v>#NUM!</v>
      </c>
      <c r="GC179" s="20" t="e">
        <f t="shared" si="186"/>
        <v>#NUM!</v>
      </c>
      <c r="GD179" s="59" t="e">
        <f t="shared" si="134"/>
        <v>#NUM!</v>
      </c>
      <c r="GE179" s="59">
        <f ca="1">AVERAGE(OFFSET($GD$3,0,0,'Données projet'!$E$17+1,1))-AVERAGE(OFFSET($H$3,0,0,'Données projet'!$E$17+1,1))</f>
        <v>153.43773674911449</v>
      </c>
      <c r="GF179" s="59">
        <f t="shared" si="158"/>
        <v>235.49395036616602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12.317213211569042</v>
      </c>
      <c r="GM179" s="21">
        <f>EXP(-LN(2)/25)*GM178+(1-EXP(-LN(2)/25))/(LN(2)/25)*Calculateur!GH179*Calculateur!GJ179*VLOOKUP('Données projet'!$B$17,Paramètres!$A$1:$I$89,3,0)*0.475*44/12</f>
        <v>3.444585369235619</v>
      </c>
      <c r="GN179" s="21">
        <f>EXP(-LN(2)/2)*GN178+(1-EXP(-LN(2)/2))/(LN(2)/2)*GH179*GK179*VLOOKUP('Données projet'!$B$17,Paramètres!$A$1:$I$89,3,0)*0.475*44/12</f>
        <v>0</v>
      </c>
      <c r="GO179" s="21">
        <f t="shared" si="187"/>
        <v>15.761798580804662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5.6843418860808015E-14</v>
      </c>
      <c r="GV179" s="17">
        <f>GU179*VLOOKUP('Données projet'!$B$18,Paramètres!$A$1:$I$89,3,0)*VLOOKUP('Données projet'!$B$18,Paramètres!$A$1:$I$89,5,0)</f>
        <v>4.5224624045658861E-14</v>
      </c>
      <c r="GW179" s="13">
        <f t="shared" si="188"/>
        <v>7.4514601661523691E-13</v>
      </c>
      <c r="GX179" s="20">
        <f t="shared" si="189"/>
        <v>1.3765621991510601E-12</v>
      </c>
      <c r="GY179" s="59">
        <f t="shared" si="137"/>
        <v>293.33333333333468</v>
      </c>
      <c r="GZ179" s="59">
        <f ca="1">AVERAGE(OFFSET($GY$3,0,0,'Données projet'!$E$18+1,1))-AVERAGE(OFFSET($H$3,0,0,'Données projet'!$E$18+1,1))</f>
        <v>198.11534486400666</v>
      </c>
      <c r="HA179" s="59">
        <f t="shared" si="160"/>
        <v>174.29856796517652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>
        <f>EXP(-LN(2)/35)*HG178+(1-EXP(-LN(2)/35))/(LN(2)/35)*HC179*HD179*VLOOKUP('Données projet'!$B$18,Paramètres!$A$1:$I$89,3,0)*0.475*44/12</f>
        <v>11.780456753812558</v>
      </c>
      <c r="HH179" s="21">
        <f>EXP(-LN(2)/25)*HH178+(1-EXP(-LN(2)/25))/(LN(2)/25)*Calculateur!HC179*Calculateur!HE179*VLOOKUP('Données projet'!$B$18,Paramètres!$A$1:$I$89,3,0)*0.475*44/12</f>
        <v>1.7641055922297475</v>
      </c>
      <c r="HI179" s="21">
        <f>EXP(-LN(2)/2)*HI178+(1-EXP(-LN(2)/2))/(LN(2)/2)*HC179*HF179*VLOOKUP('Données projet'!$B$18,Paramètres!$A$1:$I$89,3,0)*0.475*44/12</f>
        <v>7.2324708999558761E-14</v>
      </c>
      <c r="HJ179" s="22">
        <f t="shared" si="190"/>
        <v>13.544562346042378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1.1368683772161603E-13</v>
      </c>
      <c r="O180" s="13">
        <f>N180*VLOOKUP('Données projet'!$B$9,Paramètres!$A$1:$I$89,3,0)*VLOOKUP('Données projet'!$B$9,Paramètres!$A$1:$I$89,5,0)</f>
        <v>6.7984728957526396E-14</v>
      </c>
      <c r="P180" s="13">
        <f t="shared" si="141"/>
        <v>1.0682447123141398E-12</v>
      </c>
      <c r="Q180" s="20">
        <f t="shared" si="162"/>
        <v>1.978932943548152E-12</v>
      </c>
      <c r="R180" s="59">
        <f t="shared" si="109"/>
        <v>293.3333333333353</v>
      </c>
      <c r="S180" s="59">
        <f ca="1">AVERAGE(OFFSET($R$3,0,0,'Données projet'!$E$9+1,1))-AVERAGE(OFFSET($H$3,0,0,'Données projet'!$E$9+1,1))</f>
        <v>295.19075440119076</v>
      </c>
      <c r="T180" s="59">
        <f t="shared" si="142"/>
        <v>173.0182327988216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29.107567053892964</v>
      </c>
      <c r="AA180" s="21">
        <f>EXP(-LN(2)/25)*AA179+(1-EXP(-LN(2)/25))/(LN(2)/25)*Calculateur!V180*Calculateur!X180*VLOOKUP('Données projet'!$B$9,Paramètres!$A$1:$I$89,3,0)*0.475*44/12</f>
        <v>7.7629985542669679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36.870565608159936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294.45857786714919</v>
      </c>
      <c r="AO180" s="59">
        <f t="shared" si="144"/>
        <v>221.9773436301067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26.866305364708335</v>
      </c>
      <c r="AV180" s="21">
        <f>EXP(-LN(2)/25)*AV179+(1-EXP(-LN(2)/25))/(LN(2)/25)*Calculateur!AQ180*Calculateur!AS180*VLOOKUP('Données projet'!$B$10,Paramètres!$A$1:$I$89,3,0)*0.475*44/12</f>
        <v>6.8290713774240226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33.69537674213236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179.44051550872138</v>
      </c>
      <c r="BJ180" s="59">
        <f t="shared" si="146"/>
        <v>272.9500808380069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13.800777340855342</v>
      </c>
      <c r="BQ180" s="21">
        <f>EXP(-LN(2)/25)*BQ179+(1-EXP(-LN(2)/25))/(LN(2)/25)*Calculateur!BL180*Calculateur!BN180*VLOOKUP('Données projet'!$B$11,Paramètres!$A$1:$I$89,3,0)*0.475*44/12</f>
        <v>3.8290205727668587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17.629797913622202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-1.5961632016114892E-13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259.87681411271632</v>
      </c>
      <c r="CE180" s="59">
        <f t="shared" si="148"/>
        <v>191.8684235641158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47.74379017992613</v>
      </c>
      <c r="CL180" s="21">
        <f>EXP(-LN(2)/25)*CL179+(1-EXP(-LN(2)/25))/(LN(2)/25)*Calculateur!CG180*Calculateur!CI180*VLOOKUP('Données projet'!$B$12,Paramètres!$A$1:$I$89,3,0)*0.475*44/12</f>
        <v>12.974182958490763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60.717973138416895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5.6843418860808015E-14</v>
      </c>
      <c r="CU180" s="17">
        <f>CT180*VLOOKUP('Données projet'!$B$13,Paramètres!$A$1:$I$89,3,0)*VLOOKUP('Données projet'!$B$13,Paramètres!$A$1:$I$89,5,0)</f>
        <v>4.5224624045658861E-14</v>
      </c>
      <c r="CV180" s="13">
        <f t="shared" si="173"/>
        <v>7.4514601661523691E-13</v>
      </c>
      <c r="CW180" s="20">
        <f t="shared" si="174"/>
        <v>1.3765621991510601E-12</v>
      </c>
      <c r="CX180" s="59">
        <f t="shared" si="122"/>
        <v>293.33333333333468</v>
      </c>
      <c r="CY180" s="59">
        <f ca="1">AVERAGE(OFFSET($CX$3,0,0,'Données projet'!$E$13+1,1))-AVERAGE(OFFSET($H$3,0,0,'Données projet'!$E$13+1,1))</f>
        <v>198.11534486400666</v>
      </c>
      <c r="CZ180" s="59">
        <f t="shared" si="150"/>
        <v>174.29856796517652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11.549449182239417</v>
      </c>
      <c r="DG180" s="21">
        <f>EXP(-LN(2)/25)*DG179+(1-EXP(-LN(2)/25))/(LN(2)/25)*Calculateur!DB180*Calculateur!DD180*VLOOKUP('Données projet'!$B$13,Paramètres!$A$1:$I$89,3,0)*0.475*44/12</f>
        <v>1.7158660320399439</v>
      </c>
      <c r="DH180" s="21">
        <f>EXP(-LN(2)/2)*DH179+(1-EXP(-LN(2)/2))/(LN(2)/2)*DB180*DE180*VLOOKUP('Données projet'!$B$13,Paramètres!$A$1:$I$89,3,0)*0.475*44/12</f>
        <v>5.1141292180931722E-14</v>
      </c>
      <c r="DI180" s="22">
        <f t="shared" si="175"/>
        <v>13.265315214279413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-5.6843418860808015E-14</v>
      </c>
      <c r="DP180" s="17">
        <f>DO180*VLOOKUP('Données projet'!$B$14,Paramètres!$A$1:$I$89,3,0)*VLOOKUP('Données projet'!$B$14,Paramètres!$A$1:$I$89,5,0)</f>
        <v>-5.7639226724859328E-14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247.92503505485405</v>
      </c>
      <c r="DU180" s="59">
        <f t="shared" si="152"/>
        <v>148.26437652597514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64.4927184096031</v>
      </c>
      <c r="EB180" s="21">
        <f>EXP(-LN(2)/25)*EB179+(1-EXP(-LN(2)/25))/(LN(2)/25)*Calculateur!DW180*Calculateur!DY180*VLOOKUP('Données projet'!$B$14,Paramètres!$A$1:$I$89,3,0)*0.475*44/12</f>
        <v>30.725385913135661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95.218104322738753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-5.6843418860808015E-14</v>
      </c>
      <c r="EK180" s="17">
        <f>EJ180*VLOOKUP('Données projet'!$B$15,Paramètres!$A$1:$I$89,3,0)*VLOOKUP('Données projet'!$B$15,Paramètres!$A$1:$I$89,5,0)</f>
        <v>-5.4978954722173515E-14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232.99870507181964</v>
      </c>
      <c r="EP180" s="59">
        <f t="shared" si="154"/>
        <v>140.07662669226278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61.516131406082941</v>
      </c>
      <c r="EW180" s="21">
        <f>EXP(-LN(2)/25)*EW179+(1-EXP(-LN(2)/25))/(LN(2)/25)*Calculateur!ER180*Calculateur!ET180*VLOOKUP('Données projet'!$B$15,Paramètres!$A$1:$I$89,3,0)*0.475*44/12</f>
        <v>29.307291178683258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90.823422584766206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5.6843418860808015E-14</v>
      </c>
      <c r="FF180" s="17">
        <f>FE180*VLOOKUP('Données projet'!$B$16,Paramètres!$A$1:$I$89,3,0)*VLOOKUP('Données projet'!$B$16,Paramètres!$A$1:$I$89,5,0)</f>
        <v>4.4337866711430253E-14</v>
      </c>
      <c r="FG180" s="13">
        <f t="shared" si="182"/>
        <v>7.3222115536967035E-13</v>
      </c>
      <c r="FH180" s="20">
        <f t="shared" si="183"/>
        <v>1.3525069634579169E-12</v>
      </c>
      <c r="FI180" s="59">
        <f t="shared" si="131"/>
        <v>293.33333333333468</v>
      </c>
      <c r="FJ180" s="59">
        <f ca="1">AVERAGE(OFFSET($FI$3,0,0,'Données projet'!$E$16+1,1))-AVERAGE(OFFSET($H$3,0,0,'Données projet'!$E$16+1,1))</f>
        <v>193.47609744163839</v>
      </c>
      <c r="FK180" s="59">
        <f t="shared" si="156"/>
        <v>170.3221892406973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9.1865763010783468</v>
      </c>
      <c r="FR180" s="21">
        <f>EXP(-LN(2)/25)*FR179+(1-EXP(-LN(2)/25))/(LN(2)/25)*Calculateur!FM180*Calculateur!FO180*VLOOKUP('Données projet'!$B$16,Paramètres!$A$1:$I$89,3,0)*0.475*44/12</f>
        <v>1.3648212981449761</v>
      </c>
      <c r="FS180" s="21">
        <f>EXP(-LN(2)/2)*FS179+(1-EXP(-LN(2)/2))/(LN(2)/2)*FM180*FP180*VLOOKUP('Données projet'!$B$16,Paramètres!$A$1:$I$89,3,0)*0.475*44/12</f>
        <v>5.0138521746011568E-14</v>
      </c>
      <c r="FT180" s="22">
        <f t="shared" si="184"/>
        <v>10.551397599223373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>
        <f>FZ180*VLOOKUP('Données projet'!$B$17,Paramètres!$A$1:$I$89,3,0)*VLOOKUP('Données projet'!$B$17,Paramètres!$A$1:$I$89,5,0)</f>
        <v>0</v>
      </c>
      <c r="GB180" s="13" t="e">
        <f t="shared" si="185"/>
        <v>#NUM!</v>
      </c>
      <c r="GC180" s="20" t="e">
        <f t="shared" si="186"/>
        <v>#NUM!</v>
      </c>
      <c r="GD180" s="59" t="e">
        <f t="shared" si="134"/>
        <v>#NUM!</v>
      </c>
      <c r="GE180" s="59">
        <f ca="1">AVERAGE(OFFSET($GD$3,0,0,'Données projet'!$E$17+1,1))-AVERAGE(OFFSET($H$3,0,0,'Données projet'!$E$17+1,1))</f>
        <v>153.43773674911449</v>
      </c>
      <c r="GF180" s="59">
        <f t="shared" si="158"/>
        <v>235.49395036616602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12.07568017324841</v>
      </c>
      <c r="GM180" s="21">
        <f>EXP(-LN(2)/25)*GM179+(1-EXP(-LN(2)/25))/(LN(2)/25)*Calculateur!GH180*Calculateur!GJ180*VLOOKUP('Données projet'!$B$17,Paramètres!$A$1:$I$89,3,0)*0.475*44/12</f>
        <v>3.3503930011709993</v>
      </c>
      <c r="GN180" s="21">
        <f>EXP(-LN(2)/2)*GN179+(1-EXP(-LN(2)/2))/(LN(2)/2)*GH180*GK180*VLOOKUP('Données projet'!$B$17,Paramètres!$A$1:$I$89,3,0)*0.475*44/12</f>
        <v>0</v>
      </c>
      <c r="GO180" s="21">
        <f t="shared" si="187"/>
        <v>15.426073174419409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5.6843418860808015E-14</v>
      </c>
      <c r="GV180" s="17">
        <f>GU180*VLOOKUP('Données projet'!$B$18,Paramètres!$A$1:$I$89,3,0)*VLOOKUP('Données projet'!$B$18,Paramètres!$A$1:$I$89,5,0)</f>
        <v>4.5224624045658861E-14</v>
      </c>
      <c r="GW180" s="13">
        <f t="shared" si="188"/>
        <v>7.4514601661523691E-13</v>
      </c>
      <c r="GX180" s="20">
        <f t="shared" si="189"/>
        <v>1.3765621991510601E-12</v>
      </c>
      <c r="GY180" s="59">
        <f t="shared" si="137"/>
        <v>293.33333333333468</v>
      </c>
      <c r="GZ180" s="59">
        <f ca="1">AVERAGE(OFFSET($GY$3,0,0,'Données projet'!$E$18+1,1))-AVERAGE(OFFSET($H$3,0,0,'Données projet'!$E$18+1,1))</f>
        <v>198.11534486400666</v>
      </c>
      <c r="HA180" s="59">
        <f t="shared" si="160"/>
        <v>174.29856796517652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>
        <f>EXP(-LN(2)/35)*HG179+(1-EXP(-LN(2)/35))/(LN(2)/35)*HC180*HD180*VLOOKUP('Données projet'!$B$18,Paramètres!$A$1:$I$89,3,0)*0.475*44/12</f>
        <v>11.549449182239417</v>
      </c>
      <c r="HH180" s="21">
        <f>EXP(-LN(2)/25)*HH179+(1-EXP(-LN(2)/25))/(LN(2)/25)*Calculateur!HC180*Calculateur!HE180*VLOOKUP('Données projet'!$B$18,Paramètres!$A$1:$I$89,3,0)*0.475*44/12</f>
        <v>1.7158660320399439</v>
      </c>
      <c r="HI180" s="21">
        <f>EXP(-LN(2)/2)*HI179+(1-EXP(-LN(2)/2))/(LN(2)/2)*HC180*HF180*VLOOKUP('Données projet'!$B$18,Paramètres!$A$1:$I$89,3,0)*0.475*44/12</f>
        <v>5.1141292180931722E-14</v>
      </c>
      <c r="HJ180" s="22">
        <f t="shared" si="190"/>
        <v>13.265315214279413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1.1368683772161603E-13</v>
      </c>
      <c r="O181" s="13">
        <f>N181*VLOOKUP('Données projet'!$B$9,Paramètres!$A$1:$I$89,3,0)*VLOOKUP('Données projet'!$B$9,Paramètres!$A$1:$I$89,5,0)</f>
        <v>6.7984728957526396E-14</v>
      </c>
      <c r="P181" s="13">
        <f t="shared" si="141"/>
        <v>1.0682447123141398E-12</v>
      </c>
      <c r="Q181" s="20">
        <f t="shared" si="162"/>
        <v>1.978932943548152E-12</v>
      </c>
      <c r="R181" s="59">
        <f t="shared" si="109"/>
        <v>293.3333333333353</v>
      </c>
      <c r="S181" s="59">
        <f ca="1">AVERAGE(OFFSET($R$3,0,0,'Données projet'!$E$9+1,1))-AVERAGE(OFFSET($H$3,0,0,'Données projet'!$E$9+1,1))</f>
        <v>295.19075440119076</v>
      </c>
      <c r="T181" s="59">
        <f t="shared" si="142"/>
        <v>173.0182327988216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28.536785417828977</v>
      </c>
      <c r="AA181" s="21">
        <f>EXP(-LN(2)/25)*AA180+(1-EXP(-LN(2)/25))/(LN(2)/25)*Calculateur!V181*Calculateur!X181*VLOOKUP('Données projet'!$B$9,Paramètres!$A$1:$I$89,3,0)*0.475*44/12</f>
        <v>7.5507189505621861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36.087504368391166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294.45857786714919</v>
      </c>
      <c r="AO181" s="59">
        <f t="shared" si="144"/>
        <v>221.9773436301067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26.339473503334613</v>
      </c>
      <c r="AV181" s="21">
        <f>EXP(-LN(2)/25)*AV180+(1-EXP(-LN(2)/25))/(LN(2)/25)*Calculateur!AQ181*Calculateur!AS181*VLOOKUP('Données projet'!$B$10,Paramètres!$A$1:$I$89,3,0)*0.475*44/12</f>
        <v>6.6423300614831069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32.981803564817717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179.44051550872138</v>
      </c>
      <c r="BJ181" s="59">
        <f t="shared" si="146"/>
        <v>272.9500808380069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13.530152514844174</v>
      </c>
      <c r="BQ181" s="21">
        <f>EXP(-LN(2)/25)*BQ180+(1-EXP(-LN(2)/25))/(LN(2)/25)*Calculateur!BL181*Calculateur!BN181*VLOOKUP('Données projet'!$B$11,Paramètres!$A$1:$I$89,3,0)*0.475*44/12</f>
        <v>3.7243158038451085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17.254468318689284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-1.5961632016114892E-13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259.87681411271632</v>
      </c>
      <c r="CE181" s="59">
        <f t="shared" si="148"/>
        <v>191.8684235641158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46.807563575334342</v>
      </c>
      <c r="CL181" s="21">
        <f>EXP(-LN(2)/25)*CL180+(1-EXP(-LN(2)/25))/(LN(2)/25)*Calculateur!CG181*Calculateur!CI181*VLOOKUP('Données projet'!$B$12,Paramètres!$A$1:$I$89,3,0)*0.475*44/12</f>
        <v>12.619403243208204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59.426966818542546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5.6843418860808015E-14</v>
      </c>
      <c r="CU181" s="17">
        <f>CT181*VLOOKUP('Données projet'!$B$13,Paramètres!$A$1:$I$89,3,0)*VLOOKUP('Données projet'!$B$13,Paramètres!$A$1:$I$89,5,0)</f>
        <v>4.5224624045658861E-14</v>
      </c>
      <c r="CV181" s="13">
        <f t="shared" si="173"/>
        <v>7.4514601661523691E-13</v>
      </c>
      <c r="CW181" s="20">
        <f t="shared" si="174"/>
        <v>1.3765621991510601E-12</v>
      </c>
      <c r="CX181" s="59">
        <f t="shared" si="122"/>
        <v>293.33333333333468</v>
      </c>
      <c r="CY181" s="59">
        <f ca="1">AVERAGE(OFFSET($CX$3,0,0,'Données projet'!$E$13+1,1))-AVERAGE(OFFSET($H$3,0,0,'Données projet'!$E$13+1,1))</f>
        <v>198.11534486400666</v>
      </c>
      <c r="CZ181" s="59">
        <f t="shared" si="150"/>
        <v>174.29856796517652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11.322971528244119</v>
      </c>
      <c r="DG181" s="21">
        <f>EXP(-LN(2)/25)*DG180+(1-EXP(-LN(2)/25))/(LN(2)/25)*Calculateur!DB181*Calculateur!DD181*VLOOKUP('Données projet'!$B$13,Paramètres!$A$1:$I$89,3,0)*0.475*44/12</f>
        <v>1.6689455851603388</v>
      </c>
      <c r="DH181" s="21">
        <f>EXP(-LN(2)/2)*DH180+(1-EXP(-LN(2)/2))/(LN(2)/2)*DB181*DE181*VLOOKUP('Données projet'!$B$13,Paramètres!$A$1:$I$89,3,0)*0.475*44/12</f>
        <v>3.616235449977938E-14</v>
      </c>
      <c r="DI181" s="22">
        <f t="shared" si="175"/>
        <v>12.991917113404494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-5.6843418860808015E-14</v>
      </c>
      <c r="DP181" s="17">
        <f>DO181*VLOOKUP('Données projet'!$B$14,Paramètres!$A$1:$I$89,3,0)*VLOOKUP('Données projet'!$B$14,Paramètres!$A$1:$I$89,5,0)</f>
        <v>-5.7639226724859328E-14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247.92503505485405</v>
      </c>
      <c r="DU181" s="59">
        <f t="shared" si="152"/>
        <v>148.26437652597514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63.22805553826484</v>
      </c>
      <c r="EB181" s="21">
        <f>EXP(-LN(2)/25)*EB180+(1-EXP(-LN(2)/25))/(LN(2)/25)*Calculateur!DW181*Calculateur!DY181*VLOOKUP('Données projet'!$B$14,Paramètres!$A$1:$I$89,3,0)*0.475*44/12</f>
        <v>29.885198619563145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93.113254157827981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-5.6843418860808015E-14</v>
      </c>
      <c r="EK181" s="17">
        <f>EJ181*VLOOKUP('Données projet'!$B$15,Paramètres!$A$1:$I$89,3,0)*VLOOKUP('Données projet'!$B$15,Paramètres!$A$1:$I$89,5,0)</f>
        <v>-5.4978954722173515E-14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232.99870507181964</v>
      </c>
      <c r="EP181" s="59">
        <f t="shared" si="154"/>
        <v>140.07662669226278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60.309837590344905</v>
      </c>
      <c r="EW181" s="21">
        <f>EXP(-LN(2)/25)*EW180+(1-EXP(-LN(2)/25))/(LN(2)/25)*Calculateur!ER181*Calculateur!ET181*VLOOKUP('Données projet'!$B$15,Paramètres!$A$1:$I$89,3,0)*0.475*44/12</f>
        <v>28.505881760198704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88.815719350543617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5.6843418860808015E-14</v>
      </c>
      <c r="FF181" s="17">
        <f>FE181*VLOOKUP('Données projet'!$B$16,Paramètres!$A$1:$I$89,3,0)*VLOOKUP('Données projet'!$B$16,Paramètres!$A$1:$I$89,5,0)</f>
        <v>4.4337866711430253E-14</v>
      </c>
      <c r="FG181" s="13">
        <f t="shared" si="182"/>
        <v>7.3222115536967035E-13</v>
      </c>
      <c r="FH181" s="20">
        <f t="shared" si="183"/>
        <v>1.3525069634579169E-12</v>
      </c>
      <c r="FI181" s="59">
        <f t="shared" si="131"/>
        <v>293.33333333333468</v>
      </c>
      <c r="FJ181" s="59">
        <f ca="1">AVERAGE(OFFSET($FI$3,0,0,'Données projet'!$E$16+1,1))-AVERAGE(OFFSET($H$3,0,0,'Données projet'!$E$16+1,1))</f>
        <v>193.47609744163839</v>
      </c>
      <c r="FK181" s="59">
        <f t="shared" si="156"/>
        <v>170.3221892406973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9.0064331430724689</v>
      </c>
      <c r="FR181" s="21">
        <f>EXP(-LN(2)/25)*FR180+(1-EXP(-LN(2)/25))/(LN(2)/25)*Calculateur!FM181*Calculateur!FO181*VLOOKUP('Données projet'!$B$16,Paramètres!$A$1:$I$89,3,0)*0.475*44/12</f>
        <v>1.3275001879743691</v>
      </c>
      <c r="FS181" s="21">
        <f>EXP(-LN(2)/2)*FS180+(1-EXP(-LN(2)/2))/(LN(2)/2)*FM181*FP181*VLOOKUP('Données projet'!$B$16,Paramètres!$A$1:$I$89,3,0)*0.475*44/12</f>
        <v>3.5453288725273956E-14</v>
      </c>
      <c r="FT181" s="22">
        <f t="shared" si="184"/>
        <v>10.333933331046874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>
        <f>FZ181*VLOOKUP('Données projet'!$B$17,Paramètres!$A$1:$I$89,3,0)*VLOOKUP('Données projet'!$B$17,Paramètres!$A$1:$I$89,5,0)</f>
        <v>0</v>
      </c>
      <c r="GB181" s="13" t="e">
        <f t="shared" si="185"/>
        <v>#NUM!</v>
      </c>
      <c r="GC181" s="20" t="e">
        <f t="shared" si="186"/>
        <v>#NUM!</v>
      </c>
      <c r="GD181" s="59" t="e">
        <f t="shared" si="134"/>
        <v>#NUM!</v>
      </c>
      <c r="GE181" s="59">
        <f ca="1">AVERAGE(OFFSET($GD$3,0,0,'Données projet'!$E$17+1,1))-AVERAGE(OFFSET($H$3,0,0,'Données projet'!$E$17+1,1))</f>
        <v>153.43773674911449</v>
      </c>
      <c r="GF181" s="59">
        <f t="shared" si="158"/>
        <v>235.49395036616602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11.838883450488638</v>
      </c>
      <c r="GM181" s="21">
        <f>EXP(-LN(2)/25)*GM180+(1-EXP(-LN(2)/25))/(LN(2)/25)*Calculateur!GH181*Calculateur!GJ181*VLOOKUP('Données projet'!$B$17,Paramètres!$A$1:$I$89,3,0)*0.475*44/12</f>
        <v>3.2587763283644677</v>
      </c>
      <c r="GN181" s="21">
        <f>EXP(-LN(2)/2)*GN180+(1-EXP(-LN(2)/2))/(LN(2)/2)*GH181*GK181*VLOOKUP('Données projet'!$B$17,Paramètres!$A$1:$I$89,3,0)*0.475*44/12</f>
        <v>0</v>
      </c>
      <c r="GO181" s="21">
        <f t="shared" si="187"/>
        <v>15.097659778853105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5.6843418860808015E-14</v>
      </c>
      <c r="GV181" s="17">
        <f>GU181*VLOOKUP('Données projet'!$B$18,Paramètres!$A$1:$I$89,3,0)*VLOOKUP('Données projet'!$B$18,Paramètres!$A$1:$I$89,5,0)</f>
        <v>4.5224624045658861E-14</v>
      </c>
      <c r="GW181" s="13">
        <f t="shared" si="188"/>
        <v>7.4514601661523691E-13</v>
      </c>
      <c r="GX181" s="20">
        <f t="shared" si="189"/>
        <v>1.3765621991510601E-12</v>
      </c>
      <c r="GY181" s="59">
        <f t="shared" si="137"/>
        <v>293.33333333333468</v>
      </c>
      <c r="GZ181" s="59">
        <f ca="1">AVERAGE(OFFSET($GY$3,0,0,'Données projet'!$E$18+1,1))-AVERAGE(OFFSET($H$3,0,0,'Données projet'!$E$18+1,1))</f>
        <v>198.11534486400666</v>
      </c>
      <c r="HA181" s="59">
        <f t="shared" si="160"/>
        <v>174.29856796517652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>
        <f>EXP(-LN(2)/35)*HG180+(1-EXP(-LN(2)/35))/(LN(2)/35)*HC181*HD181*VLOOKUP('Données projet'!$B$18,Paramètres!$A$1:$I$89,3,0)*0.475*44/12</f>
        <v>11.322971528244119</v>
      </c>
      <c r="HH181" s="21">
        <f>EXP(-LN(2)/25)*HH180+(1-EXP(-LN(2)/25))/(LN(2)/25)*Calculateur!HC181*Calculateur!HE181*VLOOKUP('Données projet'!$B$18,Paramètres!$A$1:$I$89,3,0)*0.475*44/12</f>
        <v>1.6689455851603388</v>
      </c>
      <c r="HI181" s="21">
        <f>EXP(-LN(2)/2)*HI180+(1-EXP(-LN(2)/2))/(LN(2)/2)*HC181*HF181*VLOOKUP('Données projet'!$B$18,Paramètres!$A$1:$I$89,3,0)*0.475*44/12</f>
        <v>3.616235449977938E-14</v>
      </c>
      <c r="HJ181" s="22">
        <f t="shared" si="190"/>
        <v>12.991917113404494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1.1368683772161603E-13</v>
      </c>
      <c r="O182" s="13">
        <f>N182*VLOOKUP('Données projet'!$B$9,Paramètres!$A$1:$I$89,3,0)*VLOOKUP('Données projet'!$B$9,Paramètres!$A$1:$I$89,5,0)</f>
        <v>6.7984728957526396E-14</v>
      </c>
      <c r="P182" s="13">
        <f t="shared" si="141"/>
        <v>1.0682447123141398E-12</v>
      </c>
      <c r="Q182" s="20">
        <f t="shared" si="162"/>
        <v>1.978932943548152E-12</v>
      </c>
      <c r="R182" s="59">
        <f t="shared" si="109"/>
        <v>293.3333333333353</v>
      </c>
      <c r="S182" s="59">
        <f ca="1">AVERAGE(OFFSET($R$3,0,0,'Données projet'!$E$9+1,1))-AVERAGE(OFFSET($H$3,0,0,'Données projet'!$E$9+1,1))</f>
        <v>295.19075440119076</v>
      </c>
      <c r="T182" s="59">
        <f t="shared" si="142"/>
        <v>173.0182327988216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27.977196461505784</v>
      </c>
      <c r="AA182" s="21">
        <f>EXP(-LN(2)/25)*AA181+(1-EXP(-LN(2)/25))/(LN(2)/25)*Calculateur!V182*Calculateur!X182*VLOOKUP('Données projet'!$B$9,Paramètres!$A$1:$I$89,3,0)*0.475*44/12</f>
        <v>7.3442441437840111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35.321440605289794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294.45857786714919</v>
      </c>
      <c r="AO182" s="59">
        <f t="shared" si="144"/>
        <v>221.9773436301067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25.822972493426722</v>
      </c>
      <c r="AV182" s="21">
        <f>EXP(-LN(2)/25)*AV181+(1-EXP(-LN(2)/25))/(LN(2)/25)*Calculateur!AQ182*Calculateur!AS182*VLOOKUP('Données projet'!$B$10,Paramètres!$A$1:$I$89,3,0)*0.475*44/12</f>
        <v>6.4606951966468946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32.283667690073614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179.44051550872138</v>
      </c>
      <c r="BJ182" s="59">
        <f t="shared" si="146"/>
        <v>272.9500808380069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13.264834476606239</v>
      </c>
      <c r="BQ182" s="21">
        <f>EXP(-LN(2)/25)*BQ181+(1-EXP(-LN(2)/25))/(LN(2)/25)*Calculateur!BL182*Calculateur!BN182*VLOOKUP('Données projet'!$B$11,Paramètres!$A$1:$I$89,3,0)*0.475*44/12</f>
        <v>3.6224741923357078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16.887308668941948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-1.5961632016114892E-13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259.87681411271632</v>
      </c>
      <c r="CE182" s="59">
        <f t="shared" si="148"/>
        <v>191.8684235641158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45.889695803416757</v>
      </c>
      <c r="CL182" s="21">
        <f>EXP(-LN(2)/25)*CL181+(1-EXP(-LN(2)/25))/(LN(2)/25)*Calculateur!CG182*Calculateur!CI182*VLOOKUP('Données projet'!$B$12,Paramètres!$A$1:$I$89,3,0)*0.475*44/12</f>
        <v>12.274324997897102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58.16402080131386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5.6843418860808015E-14</v>
      </c>
      <c r="CU182" s="17">
        <f>CT182*VLOOKUP('Données projet'!$B$13,Paramètres!$A$1:$I$89,3,0)*VLOOKUP('Données projet'!$B$13,Paramètres!$A$1:$I$89,5,0)</f>
        <v>4.5224624045658861E-14</v>
      </c>
      <c r="CV182" s="13">
        <f t="shared" si="173"/>
        <v>7.4514601661523691E-13</v>
      </c>
      <c r="CW182" s="20">
        <f t="shared" si="174"/>
        <v>1.3765621991510601E-12</v>
      </c>
      <c r="CX182" s="59">
        <f t="shared" si="122"/>
        <v>293.33333333333468</v>
      </c>
      <c r="CY182" s="59">
        <f ca="1">AVERAGE(OFFSET($CX$3,0,0,'Données projet'!$E$13+1,1))-AVERAGE(OFFSET($H$3,0,0,'Données projet'!$E$13+1,1))</f>
        <v>198.11534486400666</v>
      </c>
      <c r="CZ182" s="59">
        <f t="shared" si="150"/>
        <v>174.29856796517652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11.10093496290594</v>
      </c>
      <c r="DG182" s="21">
        <f>EXP(-LN(2)/25)*DG181+(1-EXP(-LN(2)/25))/(LN(2)/25)*Calculateur!DB182*Calculateur!DD182*VLOOKUP('Données projet'!$B$13,Paramètres!$A$1:$I$89,3,0)*0.475*44/12</f>
        <v>1.6233081803680953</v>
      </c>
      <c r="DH182" s="21">
        <f>EXP(-LN(2)/2)*DH181+(1-EXP(-LN(2)/2))/(LN(2)/2)*DB182*DE182*VLOOKUP('Données projet'!$B$13,Paramètres!$A$1:$I$89,3,0)*0.475*44/12</f>
        <v>2.5570646090465861E-14</v>
      </c>
      <c r="DI182" s="22">
        <f t="shared" si="175"/>
        <v>12.724243143274061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-5.6843418860808015E-14</v>
      </c>
      <c r="DP182" s="17">
        <f>DO182*VLOOKUP('Données projet'!$B$14,Paramètres!$A$1:$I$89,3,0)*VLOOKUP('Données projet'!$B$14,Paramètres!$A$1:$I$89,5,0)</f>
        <v>-5.7639226724859328E-14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247.92503505485405</v>
      </c>
      <c r="DU182" s="59">
        <f t="shared" si="152"/>
        <v>148.26437652597514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61.988191934465334</v>
      </c>
      <c r="EB182" s="21">
        <f>EXP(-LN(2)/25)*EB181+(1-EXP(-LN(2)/25))/(LN(2)/25)*Calculateur!DW182*Calculateur!DY182*VLOOKUP('Données projet'!$B$14,Paramètres!$A$1:$I$89,3,0)*0.475*44/12</f>
        <v>29.067986291716899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91.056178226182226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-5.6843418860808015E-14</v>
      </c>
      <c r="EK182" s="17">
        <f>EJ182*VLOOKUP('Données projet'!$B$15,Paramètres!$A$1:$I$89,3,0)*VLOOKUP('Données projet'!$B$15,Paramètres!$A$1:$I$89,5,0)</f>
        <v>-5.4978954722173515E-14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232.99870507181964</v>
      </c>
      <c r="EP182" s="59">
        <f t="shared" si="154"/>
        <v>140.07662669226278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59.127198460566916</v>
      </c>
      <c r="EW182" s="21">
        <f>EXP(-LN(2)/25)*EW181+(1-EXP(-LN(2)/25))/(LN(2)/25)*Calculateur!ER182*Calculateur!ET182*VLOOKUP('Données projet'!$B$15,Paramètres!$A$1:$I$89,3,0)*0.475*44/12</f>
        <v>27.726386924406899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86.853585384973812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5.6843418860808015E-14</v>
      </c>
      <c r="FF182" s="17">
        <f>FE182*VLOOKUP('Données projet'!$B$16,Paramètres!$A$1:$I$89,3,0)*VLOOKUP('Données projet'!$B$16,Paramètres!$A$1:$I$89,5,0)</f>
        <v>4.4337866711430253E-14</v>
      </c>
      <c r="FG182" s="13">
        <f t="shared" si="182"/>
        <v>7.3222115536967035E-13</v>
      </c>
      <c r="FH182" s="20">
        <f t="shared" si="183"/>
        <v>1.3525069634579169E-12</v>
      </c>
      <c r="FI182" s="59">
        <f t="shared" si="131"/>
        <v>293.33333333333468</v>
      </c>
      <c r="FJ182" s="59">
        <f ca="1">AVERAGE(OFFSET($FI$3,0,0,'Données projet'!$E$16+1,1))-AVERAGE(OFFSET($H$3,0,0,'Données projet'!$E$16+1,1))</f>
        <v>193.47609744163839</v>
      </c>
      <c r="FK182" s="59">
        <f t="shared" si="156"/>
        <v>170.3221892406973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8.8298224825186082</v>
      </c>
      <c r="FR182" s="21">
        <f>EXP(-LN(2)/25)*FR181+(1-EXP(-LN(2)/25))/(LN(2)/25)*Calculateur!FM182*Calculateur!FO182*VLOOKUP('Données projet'!$B$16,Paramètres!$A$1:$I$89,3,0)*0.475*44/12</f>
        <v>1.291199625524009</v>
      </c>
      <c r="FS182" s="21">
        <f>EXP(-LN(2)/2)*FS181+(1-EXP(-LN(2)/2))/(LN(2)/2)*FM182*FP182*VLOOKUP('Données projet'!$B$16,Paramètres!$A$1:$I$89,3,0)*0.475*44/12</f>
        <v>2.5069260873005784E-14</v>
      </c>
      <c r="FT182" s="22">
        <f t="shared" si="184"/>
        <v>10.121022108042641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>
        <f>FZ182*VLOOKUP('Données projet'!$B$17,Paramètres!$A$1:$I$89,3,0)*VLOOKUP('Données projet'!$B$17,Paramètres!$A$1:$I$89,5,0)</f>
        <v>0</v>
      </c>
      <c r="GB182" s="13" t="e">
        <f t="shared" si="185"/>
        <v>#NUM!</v>
      </c>
      <c r="GC182" s="20" t="e">
        <f t="shared" si="186"/>
        <v>#NUM!</v>
      </c>
      <c r="GD182" s="59" t="e">
        <f t="shared" si="134"/>
        <v>#NUM!</v>
      </c>
      <c r="GE182" s="59">
        <f ca="1">AVERAGE(OFFSET($GD$3,0,0,'Données projet'!$E$17+1,1))-AVERAGE(OFFSET($H$3,0,0,'Données projet'!$E$17+1,1))</f>
        <v>153.43773674911449</v>
      </c>
      <c r="GF182" s="59">
        <f t="shared" si="158"/>
        <v>235.49395036616602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11.606730167030445</v>
      </c>
      <c r="GM182" s="21">
        <f>EXP(-LN(2)/25)*GM181+(1-EXP(-LN(2)/25))/(LN(2)/25)*Calculateur!GH182*Calculateur!GJ182*VLOOKUP('Données projet'!$B$17,Paramètres!$A$1:$I$89,3,0)*0.475*44/12</f>
        <v>3.1696649182937424</v>
      </c>
      <c r="GN182" s="21">
        <f>EXP(-LN(2)/2)*GN181+(1-EXP(-LN(2)/2))/(LN(2)/2)*GH182*GK182*VLOOKUP('Données projet'!$B$17,Paramètres!$A$1:$I$89,3,0)*0.475*44/12</f>
        <v>0</v>
      </c>
      <c r="GO182" s="21">
        <f t="shared" si="187"/>
        <v>14.776395085324188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5.6843418860808015E-14</v>
      </c>
      <c r="GV182" s="17">
        <f>GU182*VLOOKUP('Données projet'!$B$18,Paramètres!$A$1:$I$89,3,0)*VLOOKUP('Données projet'!$B$18,Paramètres!$A$1:$I$89,5,0)</f>
        <v>4.5224624045658861E-14</v>
      </c>
      <c r="GW182" s="13">
        <f t="shared" si="188"/>
        <v>7.4514601661523691E-13</v>
      </c>
      <c r="GX182" s="20">
        <f t="shared" si="189"/>
        <v>1.3765621991510601E-12</v>
      </c>
      <c r="GY182" s="59">
        <f t="shared" si="137"/>
        <v>293.33333333333468</v>
      </c>
      <c r="GZ182" s="59">
        <f ca="1">AVERAGE(OFFSET($GY$3,0,0,'Données projet'!$E$18+1,1))-AVERAGE(OFFSET($H$3,0,0,'Données projet'!$E$18+1,1))</f>
        <v>198.11534486400666</v>
      </c>
      <c r="HA182" s="59">
        <f t="shared" si="160"/>
        <v>174.29856796517652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>
        <f>EXP(-LN(2)/35)*HG181+(1-EXP(-LN(2)/35))/(LN(2)/35)*HC182*HD182*VLOOKUP('Données projet'!$B$18,Paramètres!$A$1:$I$89,3,0)*0.475*44/12</f>
        <v>11.10093496290594</v>
      </c>
      <c r="HH182" s="21">
        <f>EXP(-LN(2)/25)*HH181+(1-EXP(-LN(2)/25))/(LN(2)/25)*Calculateur!HC182*Calculateur!HE182*VLOOKUP('Données projet'!$B$18,Paramètres!$A$1:$I$89,3,0)*0.475*44/12</f>
        <v>1.6233081803680953</v>
      </c>
      <c r="HI182" s="21">
        <f>EXP(-LN(2)/2)*HI181+(1-EXP(-LN(2)/2))/(LN(2)/2)*HC182*HF182*VLOOKUP('Données projet'!$B$18,Paramètres!$A$1:$I$89,3,0)*0.475*44/12</f>
        <v>2.5570646090465861E-14</v>
      </c>
      <c r="HJ182" s="22">
        <f t="shared" si="190"/>
        <v>12.724243143274061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1.1368683772161603E-13</v>
      </c>
      <c r="O183" s="13">
        <f>N183*VLOOKUP('Données projet'!$B$9,Paramètres!$A$1:$I$89,3,0)*VLOOKUP('Données projet'!$B$9,Paramètres!$A$1:$I$89,5,0)</f>
        <v>6.7984728957526396E-14</v>
      </c>
      <c r="P183" s="13">
        <f t="shared" si="141"/>
        <v>1.0682447123141398E-12</v>
      </c>
      <c r="Q183" s="20">
        <f t="shared" si="162"/>
        <v>1.978932943548152E-12</v>
      </c>
      <c r="R183" s="59">
        <f t="shared" si="109"/>
        <v>293.3333333333353</v>
      </c>
      <c r="S183" s="59">
        <f ca="1">AVERAGE(OFFSET($R$3,0,0,'Données projet'!$E$9+1,1))-AVERAGE(OFFSET($H$3,0,0,'Données projet'!$E$9+1,1))</f>
        <v>295.19075440119076</v>
      </c>
      <c r="T183" s="59">
        <f t="shared" si="142"/>
        <v>173.0182327988216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27.428580703300526</v>
      </c>
      <c r="AA183" s="21">
        <f>EXP(-LN(2)/25)*AA182+(1-EXP(-LN(2)/25))/(LN(2)/25)*Calculateur!V183*Calculateur!X183*VLOOKUP('Données projet'!$B$9,Paramètres!$A$1:$I$89,3,0)*0.475*44/12</f>
        <v>7.1434154014552229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34.571996104755748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294.45857786714919</v>
      </c>
      <c r="AO183" s="59">
        <f t="shared" si="144"/>
        <v>221.9773436301067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25.316599753288617</v>
      </c>
      <c r="AV183" s="21">
        <f>EXP(-LN(2)/25)*AV182+(1-EXP(-LN(2)/25))/(LN(2)/25)*Calculateur!AQ183*Calculateur!AS183*VLOOKUP('Données projet'!$B$10,Paramètres!$A$1:$I$89,3,0)*0.475*44/12</f>
        <v>6.2840271467413906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31.600626900030008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179.44051550872138</v>
      </c>
      <c r="BJ183" s="59">
        <f t="shared" si="146"/>
        <v>272.9500808380069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13.004719163270126</v>
      </c>
      <c r="BQ183" s="21">
        <f>EXP(-LN(2)/25)*BQ182+(1-EXP(-LN(2)/25))/(LN(2)/25)*Calculateur!BL183*Calculateur!BN183*VLOOKUP('Données projet'!$B$11,Paramètres!$A$1:$I$89,3,0)*0.475*44/12</f>
        <v>3.5234174450486493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16.528136608318775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-1.5961632016114892E-13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259.87681411271632</v>
      </c>
      <c r="CE183" s="59">
        <f t="shared" si="148"/>
        <v>191.8684235641158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44.989826858662418</v>
      </c>
      <c r="CL183" s="21">
        <f>EXP(-LN(2)/25)*CL182+(1-EXP(-LN(2)/25))/(LN(2)/25)*Calculateur!CG183*Calculateur!CI183*VLOOKUP('Données projet'!$B$12,Paramètres!$A$1:$I$89,3,0)*0.475*44/12</f>
        <v>11.938682935350908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56.928509794013323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5.6843418860808015E-14</v>
      </c>
      <c r="CU183" s="17">
        <f>CT183*VLOOKUP('Données projet'!$B$13,Paramètres!$A$1:$I$89,3,0)*VLOOKUP('Données projet'!$B$13,Paramètres!$A$1:$I$89,5,0)</f>
        <v>4.5224624045658861E-14</v>
      </c>
      <c r="CV183" s="13">
        <f t="shared" si="173"/>
        <v>7.4514601661523691E-13</v>
      </c>
      <c r="CW183" s="20">
        <f t="shared" si="174"/>
        <v>1.3765621991510601E-12</v>
      </c>
      <c r="CX183" s="59">
        <f t="shared" si="122"/>
        <v>293.33333333333468</v>
      </c>
      <c r="CY183" s="59">
        <f ca="1">AVERAGE(OFFSET($CX$3,0,0,'Données projet'!$E$13+1,1))-AVERAGE(OFFSET($H$3,0,0,'Données projet'!$E$13+1,1))</f>
        <v>198.11534486400666</v>
      </c>
      <c r="CZ183" s="59">
        <f t="shared" si="150"/>
        <v>174.29856796517652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10.88325239918511</v>
      </c>
      <c r="DG183" s="21">
        <f>EXP(-LN(2)/25)*DG182+(1-EXP(-LN(2)/25))/(LN(2)/25)*Calculateur!DB183*Calculateur!DD183*VLOOKUP('Données projet'!$B$13,Paramètres!$A$1:$I$89,3,0)*0.475*44/12</f>
        <v>1.5789187328098626</v>
      </c>
      <c r="DH183" s="21">
        <f>EXP(-LN(2)/2)*DH182+(1-EXP(-LN(2)/2))/(LN(2)/2)*DB183*DE183*VLOOKUP('Données projet'!$B$13,Paramètres!$A$1:$I$89,3,0)*0.475*44/12</f>
        <v>1.808117724988969E-14</v>
      </c>
      <c r="DI183" s="22">
        <f t="shared" si="175"/>
        <v>12.462171131994991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-5.6843418860808015E-14</v>
      </c>
      <c r="DP183" s="17">
        <f>DO183*VLOOKUP('Données projet'!$B$14,Paramètres!$A$1:$I$89,3,0)*VLOOKUP('Données projet'!$B$14,Paramètres!$A$1:$I$89,5,0)</f>
        <v>-5.7639226724859328E-14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247.92503505485405</v>
      </c>
      <c r="DU183" s="59">
        <f t="shared" si="152"/>
        <v>148.26437652597514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60.772641299694214</v>
      </c>
      <c r="EB183" s="21">
        <f>EXP(-LN(2)/25)*EB182+(1-EXP(-LN(2)/25))/(LN(2)/25)*Calculateur!DW183*Calculateur!DY183*VLOOKUP('Données projet'!$B$14,Paramètres!$A$1:$I$89,3,0)*0.475*44/12</f>
        <v>28.273120677950939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89.045761977645157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-5.6843418860808015E-14</v>
      </c>
      <c r="EK183" s="17">
        <f>EJ183*VLOOKUP('Données projet'!$B$15,Paramètres!$A$1:$I$89,3,0)*VLOOKUP('Données projet'!$B$15,Paramètres!$A$1:$I$89,5,0)</f>
        <v>-5.4978954722173515E-14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232.99870507181964</v>
      </c>
      <c r="EP183" s="59">
        <f t="shared" si="154"/>
        <v>140.07662669226278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57.967750162785229</v>
      </c>
      <c r="EW183" s="21">
        <f>EXP(-LN(2)/25)*EW182+(1-EXP(-LN(2)/25))/(LN(2)/25)*Calculateur!ER183*Calculateur!ET183*VLOOKUP('Données projet'!$B$15,Paramètres!$A$1:$I$89,3,0)*0.475*44/12</f>
        <v>26.968207415891673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84.935957578676906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5.6843418860808015E-14</v>
      </c>
      <c r="FF183" s="17">
        <f>FE183*VLOOKUP('Données projet'!$B$16,Paramètres!$A$1:$I$89,3,0)*VLOOKUP('Données projet'!$B$16,Paramètres!$A$1:$I$89,5,0)</f>
        <v>4.4337866711430253E-14</v>
      </c>
      <c r="FG183" s="13">
        <f t="shared" si="182"/>
        <v>7.3222115536967035E-13</v>
      </c>
      <c r="FH183" s="20">
        <f t="shared" si="183"/>
        <v>1.3525069634579169E-12</v>
      </c>
      <c r="FI183" s="59">
        <f t="shared" si="131"/>
        <v>293.33333333333468</v>
      </c>
      <c r="FJ183" s="59">
        <f ca="1">AVERAGE(OFFSET($FI$3,0,0,'Données projet'!$E$16+1,1))-AVERAGE(OFFSET($H$3,0,0,'Données projet'!$E$16+1,1))</f>
        <v>193.47609744163839</v>
      </c>
      <c r="FK183" s="59">
        <f t="shared" si="156"/>
        <v>170.3221892406973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8.6566750492963429</v>
      </c>
      <c r="FR183" s="21">
        <f>EXP(-LN(2)/25)*FR182+(1-EXP(-LN(2)/25))/(LN(2)/25)*Calculateur!FM183*Calculateur!FO183*VLOOKUP('Données projet'!$B$16,Paramètres!$A$1:$I$89,3,0)*0.475*44/12</f>
        <v>1.2558917038628177</v>
      </c>
      <c r="FS183" s="21">
        <f>EXP(-LN(2)/2)*FS182+(1-EXP(-LN(2)/2))/(LN(2)/2)*FM183*FP183*VLOOKUP('Données projet'!$B$16,Paramètres!$A$1:$I$89,3,0)*0.475*44/12</f>
        <v>1.7726644362636978E-14</v>
      </c>
      <c r="FT183" s="22">
        <f t="shared" si="184"/>
        <v>9.9125667531591777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>
        <f>FZ183*VLOOKUP('Données projet'!$B$17,Paramètres!$A$1:$I$89,3,0)*VLOOKUP('Données projet'!$B$17,Paramètres!$A$1:$I$89,5,0)</f>
        <v>0</v>
      </c>
      <c r="GB183" s="13" t="e">
        <f t="shared" si="185"/>
        <v>#NUM!</v>
      </c>
      <c r="GC183" s="20" t="e">
        <f t="shared" si="186"/>
        <v>#NUM!</v>
      </c>
      <c r="GD183" s="59" t="e">
        <f t="shared" si="134"/>
        <v>#NUM!</v>
      </c>
      <c r="GE183" s="59">
        <f ca="1">AVERAGE(OFFSET($GD$3,0,0,'Données projet'!$E$17+1,1))-AVERAGE(OFFSET($H$3,0,0,'Données projet'!$E$17+1,1))</f>
        <v>153.43773674911449</v>
      </c>
      <c r="GF183" s="59">
        <f t="shared" si="158"/>
        <v>235.49395036616602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11.379129267861346</v>
      </c>
      <c r="GM183" s="21">
        <f>EXP(-LN(2)/25)*GM182+(1-EXP(-LN(2)/25))/(LN(2)/25)*Calculateur!GH183*Calculateur!GJ183*VLOOKUP('Données projet'!$B$17,Paramètres!$A$1:$I$89,3,0)*0.475*44/12</f>
        <v>3.0829902644175662</v>
      </c>
      <c r="GN183" s="21">
        <f>EXP(-LN(2)/2)*GN182+(1-EXP(-LN(2)/2))/(LN(2)/2)*GH183*GK183*VLOOKUP('Données projet'!$B$17,Paramètres!$A$1:$I$89,3,0)*0.475*44/12</f>
        <v>0</v>
      </c>
      <c r="GO183" s="21">
        <f t="shared" si="187"/>
        <v>14.462119532278912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5.6843418860808015E-14</v>
      </c>
      <c r="GV183" s="17">
        <f>GU183*VLOOKUP('Données projet'!$B$18,Paramètres!$A$1:$I$89,3,0)*VLOOKUP('Données projet'!$B$18,Paramètres!$A$1:$I$89,5,0)</f>
        <v>4.5224624045658861E-14</v>
      </c>
      <c r="GW183" s="13">
        <f t="shared" si="188"/>
        <v>7.4514601661523691E-13</v>
      </c>
      <c r="GX183" s="20">
        <f t="shared" si="189"/>
        <v>1.3765621991510601E-12</v>
      </c>
      <c r="GY183" s="59">
        <f t="shared" si="137"/>
        <v>293.33333333333468</v>
      </c>
      <c r="GZ183" s="59">
        <f ca="1">AVERAGE(OFFSET($GY$3,0,0,'Données projet'!$E$18+1,1))-AVERAGE(OFFSET($H$3,0,0,'Données projet'!$E$18+1,1))</f>
        <v>198.11534486400666</v>
      </c>
      <c r="HA183" s="59">
        <f t="shared" si="160"/>
        <v>174.29856796517652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>
        <f>EXP(-LN(2)/35)*HG182+(1-EXP(-LN(2)/35))/(LN(2)/35)*HC183*HD183*VLOOKUP('Données projet'!$B$18,Paramètres!$A$1:$I$89,3,0)*0.475*44/12</f>
        <v>10.88325239918511</v>
      </c>
      <c r="HH183" s="21">
        <f>EXP(-LN(2)/25)*HH182+(1-EXP(-LN(2)/25))/(LN(2)/25)*Calculateur!HC183*Calculateur!HE183*VLOOKUP('Données projet'!$B$18,Paramètres!$A$1:$I$89,3,0)*0.475*44/12</f>
        <v>1.5789187328098626</v>
      </c>
      <c r="HI183" s="21">
        <f>EXP(-LN(2)/2)*HI182+(1-EXP(-LN(2)/2))/(LN(2)/2)*HC183*HF183*VLOOKUP('Données projet'!$B$18,Paramètres!$A$1:$I$89,3,0)*0.475*44/12</f>
        <v>1.808117724988969E-14</v>
      </c>
      <c r="HJ183" s="22">
        <f t="shared" si="190"/>
        <v>12.462171131994991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1.1368683772161603E-13</v>
      </c>
      <c r="O184" s="13">
        <f>N184*VLOOKUP('Données projet'!$B$9,Paramètres!$A$1:$I$89,3,0)*VLOOKUP('Données projet'!$B$9,Paramètres!$A$1:$I$89,5,0)</f>
        <v>6.7984728957526396E-14</v>
      </c>
      <c r="P184" s="13">
        <f t="shared" si="141"/>
        <v>1.0682447123141398E-12</v>
      </c>
      <c r="Q184" s="20">
        <f t="shared" si="162"/>
        <v>1.978932943548152E-12</v>
      </c>
      <c r="R184" s="59">
        <f t="shared" si="109"/>
        <v>293.3333333333353</v>
      </c>
      <c r="S184" s="59">
        <f ca="1">AVERAGE(OFFSET($R$3,0,0,'Données projet'!$E$9+1,1))-AVERAGE(OFFSET($H$3,0,0,'Données projet'!$E$9+1,1))</f>
        <v>295.19075440119076</v>
      </c>
      <c r="T184" s="59">
        <f t="shared" si="142"/>
        <v>173.0182327988216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26.890722965491104</v>
      </c>
      <c r="AA184" s="21">
        <f>EXP(-LN(2)/25)*AA183+(1-EXP(-LN(2)/25))/(LN(2)/25)*Calculateur!V184*Calculateur!X184*VLOOKUP('Données projet'!$B$9,Paramètres!$A$1:$I$89,3,0)*0.475*44/12</f>
        <v>6.9480783316465402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33.838801297137643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294.45857786714919</v>
      </c>
      <c r="AO184" s="59">
        <f t="shared" si="144"/>
        <v>221.9773436301067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24.820156673727745</v>
      </c>
      <c r="AV184" s="21">
        <f>EXP(-LN(2)/25)*AV183+(1-EXP(-LN(2)/25))/(LN(2)/25)*Calculateur!AQ184*Calculateur!AS184*VLOOKUP('Données projet'!$B$10,Paramètres!$A$1:$I$89,3,0)*0.475*44/12</f>
        <v>6.1121900939511216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30.932346767678865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179.44051550872138</v>
      </c>
      <c r="BJ184" s="59">
        <f t="shared" si="146"/>
        <v>272.9500808380069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12.74970455257386</v>
      </c>
      <c r="BQ184" s="21">
        <f>EXP(-LN(2)/25)*BQ183+(1-EXP(-LN(2)/25))/(LN(2)/25)*Calculateur!BL184*Calculateur!BN184*VLOOKUP('Données projet'!$B$11,Paramètres!$A$1:$I$89,3,0)*0.475*44/12</f>
        <v>3.4270694097253234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16.176773962299183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-1.5961632016114892E-13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259.87681411271632</v>
      </c>
      <c r="CE184" s="59">
        <f t="shared" si="148"/>
        <v>191.8684235641158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44.107603795048853</v>
      </c>
      <c r="CL184" s="21">
        <f>EXP(-LN(2)/25)*CL183+(1-EXP(-LN(2)/25))/(LN(2)/25)*Calculateur!CG184*Calculateur!CI184*VLOOKUP('Données projet'!$B$12,Paramètres!$A$1:$I$89,3,0)*0.475*44/12</f>
        <v>11.612219022655689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55.719822817704539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5.6843418860808015E-14</v>
      </c>
      <c r="CU184" s="17">
        <f>CT184*VLOOKUP('Données projet'!$B$13,Paramètres!$A$1:$I$89,3,0)*VLOOKUP('Données projet'!$B$13,Paramètres!$A$1:$I$89,5,0)</f>
        <v>4.5224624045658861E-14</v>
      </c>
      <c r="CV184" s="13">
        <f t="shared" si="173"/>
        <v>7.4514601661523691E-13</v>
      </c>
      <c r="CW184" s="20">
        <f t="shared" si="174"/>
        <v>1.3765621991510601E-12</v>
      </c>
      <c r="CX184" s="59">
        <f t="shared" si="122"/>
        <v>293.33333333333468</v>
      </c>
      <c r="CY184" s="59">
        <f ca="1">AVERAGE(OFFSET($CX$3,0,0,'Données projet'!$E$13+1,1))-AVERAGE(OFFSET($H$3,0,0,'Données projet'!$E$13+1,1))</f>
        <v>198.11534486400666</v>
      </c>
      <c r="CZ184" s="59">
        <f t="shared" si="150"/>
        <v>174.29856796517652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10.669838457765593</v>
      </c>
      <c r="DG184" s="21">
        <f>EXP(-LN(2)/25)*DG183+(1-EXP(-LN(2)/25))/(LN(2)/25)*Calculateur!DB184*Calculateur!DD184*VLOOKUP('Données projet'!$B$13,Paramètres!$A$1:$I$89,3,0)*0.475*44/12</f>
        <v>1.5357431170294493</v>
      </c>
      <c r="DH184" s="21">
        <f>EXP(-LN(2)/2)*DH183+(1-EXP(-LN(2)/2))/(LN(2)/2)*DB184*DE184*VLOOKUP('Données projet'!$B$13,Paramètres!$A$1:$I$89,3,0)*0.475*44/12</f>
        <v>1.278532304523293E-14</v>
      </c>
      <c r="DI184" s="22">
        <f t="shared" si="175"/>
        <v>12.205581574795055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-5.6843418860808015E-14</v>
      </c>
      <c r="DP184" s="17">
        <f>DO184*VLOOKUP('Données projet'!$B$14,Paramètres!$A$1:$I$89,3,0)*VLOOKUP('Données projet'!$B$14,Paramètres!$A$1:$I$89,5,0)</f>
        <v>-5.7639226724859328E-14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247.92503505485405</v>
      </c>
      <c r="DU184" s="59">
        <f t="shared" si="152"/>
        <v>148.26437652597514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59.580926871458274</v>
      </c>
      <c r="EB184" s="21">
        <f>EXP(-LN(2)/25)*EB183+(1-EXP(-LN(2)/25))/(LN(2)/25)*Calculateur!DW184*Calculateur!DY184*VLOOKUP('Données projet'!$B$14,Paramètres!$A$1:$I$89,3,0)*0.475*44/12</f>
        <v>27.499990706193572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87.080917577651846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-5.6843418860808015E-14</v>
      </c>
      <c r="EK184" s="17">
        <f>EJ184*VLOOKUP('Données projet'!$B$15,Paramètres!$A$1:$I$89,3,0)*VLOOKUP('Données projet'!$B$15,Paramètres!$A$1:$I$89,5,0)</f>
        <v>-5.4978954722173515E-14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232.99870507181964</v>
      </c>
      <c r="EP184" s="59">
        <f t="shared" si="154"/>
        <v>140.07662669226278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56.831037938929413</v>
      </c>
      <c r="EW184" s="21">
        <f>EXP(-LN(2)/25)*EW183+(1-EXP(-LN(2)/25))/(LN(2)/25)*Calculateur!ER184*Calculateur!ET184*VLOOKUP('Données projet'!$B$15,Paramètres!$A$1:$I$89,3,0)*0.475*44/12</f>
        <v>26.230760365907724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83.06179830483714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5.6843418860808015E-14</v>
      </c>
      <c r="FF184" s="17">
        <f>FE184*VLOOKUP('Données projet'!$B$16,Paramètres!$A$1:$I$89,3,0)*VLOOKUP('Données projet'!$B$16,Paramètres!$A$1:$I$89,5,0)</f>
        <v>4.4337866711430253E-14</v>
      </c>
      <c r="FG184" s="13">
        <f t="shared" si="182"/>
        <v>7.3222115536967035E-13</v>
      </c>
      <c r="FH184" s="20">
        <f t="shared" si="183"/>
        <v>1.3525069634579169E-12</v>
      </c>
      <c r="FI184" s="59">
        <f t="shared" si="131"/>
        <v>293.33333333333468</v>
      </c>
      <c r="FJ184" s="59">
        <f ca="1">AVERAGE(OFFSET($FI$3,0,0,'Données projet'!$E$16+1,1))-AVERAGE(OFFSET($H$3,0,0,'Données projet'!$E$16+1,1))</f>
        <v>193.47609744163839</v>
      </c>
      <c r="FK184" s="59">
        <f t="shared" si="156"/>
        <v>170.3221892406973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8.4869229316300601</v>
      </c>
      <c r="FR184" s="21">
        <f>EXP(-LN(2)/25)*FR183+(1-EXP(-LN(2)/25))/(LN(2)/25)*Calculateur!FM184*Calculateur!FO184*VLOOKUP('Données projet'!$B$16,Paramètres!$A$1:$I$89,3,0)*0.475*44/12</f>
        <v>1.2215492791762146</v>
      </c>
      <c r="FS184" s="21">
        <f>EXP(-LN(2)/2)*FS183+(1-EXP(-LN(2)/2))/(LN(2)/2)*FM184*FP184*VLOOKUP('Données projet'!$B$16,Paramètres!$A$1:$I$89,3,0)*0.475*44/12</f>
        <v>1.2534630436502892E-14</v>
      </c>
      <c r="FT184" s="22">
        <f t="shared" si="184"/>
        <v>9.7084722108062866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>
        <f>FZ184*VLOOKUP('Données projet'!$B$17,Paramètres!$A$1:$I$89,3,0)*VLOOKUP('Données projet'!$B$17,Paramètres!$A$1:$I$89,5,0)</f>
        <v>0</v>
      </c>
      <c r="GB184" s="13" t="e">
        <f t="shared" si="185"/>
        <v>#NUM!</v>
      </c>
      <c r="GC184" s="20" t="e">
        <f t="shared" si="186"/>
        <v>#NUM!</v>
      </c>
      <c r="GD184" s="59" t="e">
        <f t="shared" si="134"/>
        <v>#NUM!</v>
      </c>
      <c r="GE184" s="59">
        <f ca="1">AVERAGE(OFFSET($GD$3,0,0,'Données projet'!$E$17+1,1))-AVERAGE(OFFSET($H$3,0,0,'Données projet'!$E$17+1,1))</f>
        <v>153.43773674911449</v>
      </c>
      <c r="GF184" s="59">
        <f t="shared" si="158"/>
        <v>235.49395036616602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11.155991483502113</v>
      </c>
      <c r="GM184" s="21">
        <f>EXP(-LN(2)/25)*GM183+(1-EXP(-LN(2)/25))/(LN(2)/25)*Calculateur!GH184*Calculateur!GJ184*VLOOKUP('Données projet'!$B$17,Paramètres!$A$1:$I$89,3,0)*0.475*44/12</f>
        <v>2.9986857335096562</v>
      </c>
      <c r="GN184" s="21">
        <f>EXP(-LN(2)/2)*GN183+(1-EXP(-LN(2)/2))/(LN(2)/2)*GH184*GK184*VLOOKUP('Données projet'!$B$17,Paramètres!$A$1:$I$89,3,0)*0.475*44/12</f>
        <v>0</v>
      </c>
      <c r="GO184" s="21">
        <f t="shared" si="187"/>
        <v>14.15467721701177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5.6843418860808015E-14</v>
      </c>
      <c r="GV184" s="17">
        <f>GU184*VLOOKUP('Données projet'!$B$18,Paramètres!$A$1:$I$89,3,0)*VLOOKUP('Données projet'!$B$18,Paramètres!$A$1:$I$89,5,0)</f>
        <v>4.5224624045658861E-14</v>
      </c>
      <c r="GW184" s="13">
        <f t="shared" si="188"/>
        <v>7.4514601661523691E-13</v>
      </c>
      <c r="GX184" s="20">
        <f t="shared" si="189"/>
        <v>1.3765621991510601E-12</v>
      </c>
      <c r="GY184" s="59">
        <f t="shared" si="137"/>
        <v>293.33333333333468</v>
      </c>
      <c r="GZ184" s="59">
        <f ca="1">AVERAGE(OFFSET($GY$3,0,0,'Données projet'!$E$18+1,1))-AVERAGE(OFFSET($H$3,0,0,'Données projet'!$E$18+1,1))</f>
        <v>198.11534486400666</v>
      </c>
      <c r="HA184" s="59">
        <f t="shared" si="160"/>
        <v>174.29856796517652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>
        <f>EXP(-LN(2)/35)*HG183+(1-EXP(-LN(2)/35))/(LN(2)/35)*HC184*HD184*VLOOKUP('Données projet'!$B$18,Paramètres!$A$1:$I$89,3,0)*0.475*44/12</f>
        <v>10.669838457765593</v>
      </c>
      <c r="HH184" s="21">
        <f>EXP(-LN(2)/25)*HH183+(1-EXP(-LN(2)/25))/(LN(2)/25)*Calculateur!HC184*Calculateur!HE184*VLOOKUP('Données projet'!$B$18,Paramètres!$A$1:$I$89,3,0)*0.475*44/12</f>
        <v>1.5357431170294493</v>
      </c>
      <c r="HI184" s="21">
        <f>EXP(-LN(2)/2)*HI183+(1-EXP(-LN(2)/2))/(LN(2)/2)*HC184*HF184*VLOOKUP('Données projet'!$B$18,Paramètres!$A$1:$I$89,3,0)*0.475*44/12</f>
        <v>1.278532304523293E-14</v>
      </c>
      <c r="HJ184" s="22">
        <f t="shared" si="190"/>
        <v>12.205581574795055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1.1368683772161603E-13</v>
      </c>
      <c r="O185" s="13">
        <f>N185*VLOOKUP('Données projet'!$B$9,Paramètres!$A$1:$I$89,3,0)*VLOOKUP('Données projet'!$B$9,Paramètres!$A$1:$I$89,5,0)</f>
        <v>6.7984728957526396E-14</v>
      </c>
      <c r="P185" s="13">
        <f t="shared" si="141"/>
        <v>1.0682447123141398E-12</v>
      </c>
      <c r="Q185" s="20">
        <f t="shared" si="162"/>
        <v>1.978932943548152E-12</v>
      </c>
      <c r="R185" s="59">
        <f t="shared" si="109"/>
        <v>293.3333333333353</v>
      </c>
      <c r="S185" s="59">
        <f ca="1">AVERAGE(OFFSET($R$3,0,0,'Données projet'!$E$9+1,1))-AVERAGE(OFFSET($H$3,0,0,'Données projet'!$E$9+1,1))</f>
        <v>295.19075440119076</v>
      </c>
      <c r="T185" s="59">
        <f t="shared" si="142"/>
        <v>173.0182327988216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26.363412289859298</v>
      </c>
      <c r="AA185" s="21">
        <f>EXP(-LN(2)/25)*AA184+(1-EXP(-LN(2)/25))/(LN(2)/25)*Calculateur!V185*Calculateur!X185*VLOOKUP('Données projet'!$B$9,Paramètres!$A$1:$I$89,3,0)*0.475*44/12</f>
        <v>6.7580827642841061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33.121495054143402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294.45857786714919</v>
      </c>
      <c r="AO185" s="59">
        <f t="shared" si="144"/>
        <v>221.9773436301067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24.333448540156681</v>
      </c>
      <c r="AV185" s="21">
        <f>EXP(-LN(2)/25)*AV184+(1-EXP(-LN(2)/25))/(LN(2)/25)*Calculateur!AQ185*Calculateur!AS185*VLOOKUP('Données projet'!$B$10,Paramètres!$A$1:$I$89,3,0)*0.475*44/12</f>
        <v>5.9450519344059209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30.278500474562602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179.44051550872138</v>
      </c>
      <c r="BJ185" s="59">
        <f t="shared" si="146"/>
        <v>272.9500808380069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12.499690622849792</v>
      </c>
      <c r="BQ185" s="21">
        <f>EXP(-LN(2)/25)*BQ184+(1-EXP(-LN(2)/25))/(LN(2)/25)*Calculateur!BL185*Calculateur!BN185*VLOOKUP('Données projet'!$B$11,Paramètres!$A$1:$I$89,3,0)*0.475*44/12</f>
        <v>3.333356016494637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15.833046639344429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-1.5961632016114892E-13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259.87681411271632</v>
      </c>
      <c r="CE185" s="59">
        <f t="shared" si="148"/>
        <v>191.8684235641158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43.242680587609811</v>
      </c>
      <c r="CL185" s="21">
        <f>EXP(-LN(2)/25)*CL184+(1-EXP(-LN(2)/25))/(LN(2)/25)*Calculateur!CG185*Calculateur!CI185*VLOOKUP('Données projet'!$B$12,Paramètres!$A$1:$I$89,3,0)*0.475*44/12</f>
        <v>11.29468228282111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54.537362870430925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5.6843418860808015E-14</v>
      </c>
      <c r="CU185" s="17">
        <f>CT185*VLOOKUP('Données projet'!$B$13,Paramètres!$A$1:$I$89,3,0)*VLOOKUP('Données projet'!$B$13,Paramètres!$A$1:$I$89,5,0)</f>
        <v>4.5224624045658861E-14</v>
      </c>
      <c r="CV185" s="13">
        <f t="shared" si="173"/>
        <v>7.4514601661523691E-13</v>
      </c>
      <c r="CW185" s="20">
        <f t="shared" si="174"/>
        <v>1.3765621991510601E-12</v>
      </c>
      <c r="CX185" s="59">
        <f t="shared" si="122"/>
        <v>293.33333333333468</v>
      </c>
      <c r="CY185" s="59">
        <f ca="1">AVERAGE(OFFSET($CX$3,0,0,'Données projet'!$E$13+1,1))-AVERAGE(OFFSET($H$3,0,0,'Données projet'!$E$13+1,1))</f>
        <v>198.11534486400666</v>
      </c>
      <c r="CZ185" s="59">
        <f t="shared" si="150"/>
        <v>174.29856796517652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10.460609433567662</v>
      </c>
      <c r="DG185" s="21">
        <f>EXP(-LN(2)/25)*DG184+(1-EXP(-LN(2)/25))/(LN(2)/25)*Calculateur!DB185*Calculateur!DD185*VLOOKUP('Données projet'!$B$13,Paramètres!$A$1:$I$89,3,0)*0.475*44/12</f>
        <v>1.4937481407330584</v>
      </c>
      <c r="DH185" s="21">
        <f>EXP(-LN(2)/2)*DH184+(1-EXP(-LN(2)/2))/(LN(2)/2)*DB185*DE185*VLOOKUP('Données projet'!$B$13,Paramètres!$A$1:$I$89,3,0)*0.475*44/12</f>
        <v>9.0405886249448451E-15</v>
      </c>
      <c r="DI185" s="22">
        <f t="shared" si="175"/>
        <v>11.95435757430073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-5.6843418860808015E-14</v>
      </c>
      <c r="DP185" s="17">
        <f>DO185*VLOOKUP('Données projet'!$B$14,Paramètres!$A$1:$I$89,3,0)*VLOOKUP('Données projet'!$B$14,Paramètres!$A$1:$I$89,5,0)</f>
        <v>-5.7639226724859328E-14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247.92503505485405</v>
      </c>
      <c r="DU185" s="59">
        <f t="shared" si="152"/>
        <v>148.26437652597514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58.412581236286016</v>
      </c>
      <c r="EB185" s="21">
        <f>EXP(-LN(2)/25)*EB184+(1-EXP(-LN(2)/25))/(LN(2)/25)*Calculateur!DW185*Calculateur!DY185*VLOOKUP('Données projet'!$B$14,Paramètres!$A$1:$I$89,3,0)*0.475*44/12</f>
        <v>26.74800201417105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85.160583250457066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-5.6843418860808015E-14</v>
      </c>
      <c r="EK185" s="17">
        <f>EJ185*VLOOKUP('Données projet'!$B$15,Paramètres!$A$1:$I$89,3,0)*VLOOKUP('Données projet'!$B$15,Paramètres!$A$1:$I$89,5,0)</f>
        <v>-5.4978954722173515E-14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232.99870507181964</v>
      </c>
      <c r="EP185" s="59">
        <f t="shared" si="154"/>
        <v>140.07662669226278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55.71661594845741</v>
      </c>
      <c r="EW185" s="21">
        <f>EXP(-LN(2)/25)*EW184+(1-EXP(-LN(2)/25))/(LN(2)/25)*Calculateur!ER185*Calculateur!ET185*VLOOKUP('Données projet'!$B$15,Paramètres!$A$1:$I$89,3,0)*0.475*44/12</f>
        <v>25.51347884428624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81.230094792743643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5.6843418860808015E-14</v>
      </c>
      <c r="FF185" s="17">
        <f>FE185*VLOOKUP('Données projet'!$B$16,Paramètres!$A$1:$I$89,3,0)*VLOOKUP('Données projet'!$B$16,Paramètres!$A$1:$I$89,5,0)</f>
        <v>4.4337866711430253E-14</v>
      </c>
      <c r="FG185" s="13">
        <f t="shared" si="182"/>
        <v>7.3222115536967035E-13</v>
      </c>
      <c r="FH185" s="20">
        <f t="shared" si="183"/>
        <v>1.3525069634579169E-12</v>
      </c>
      <c r="FI185" s="59">
        <f t="shared" si="131"/>
        <v>293.33333333333468</v>
      </c>
      <c r="FJ185" s="59">
        <f ca="1">AVERAGE(OFFSET($FI$3,0,0,'Données projet'!$E$16+1,1))-AVERAGE(OFFSET($H$3,0,0,'Données projet'!$E$16+1,1))</f>
        <v>193.47609744163839</v>
      </c>
      <c r="FK185" s="59">
        <f t="shared" si="156"/>
        <v>170.3221892406973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8.320499549452645</v>
      </c>
      <c r="FR185" s="21">
        <f>EXP(-LN(2)/25)*FR184+(1-EXP(-LN(2)/25))/(LN(2)/25)*Calculateur!FM185*Calculateur!FO185*VLOOKUP('Données projet'!$B$16,Paramètres!$A$1:$I$89,3,0)*0.475*44/12</f>
        <v>1.1881459498986564</v>
      </c>
      <c r="FS185" s="21">
        <f>EXP(-LN(2)/2)*FS184+(1-EXP(-LN(2)/2))/(LN(2)/2)*FM185*FP185*VLOOKUP('Données projet'!$B$16,Paramètres!$A$1:$I$89,3,0)*0.475*44/12</f>
        <v>8.8633221813184889E-15</v>
      </c>
      <c r="FT185" s="22">
        <f t="shared" si="184"/>
        <v>9.5086454993513101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>
        <f>FZ185*VLOOKUP('Données projet'!$B$17,Paramètres!$A$1:$I$89,3,0)*VLOOKUP('Données projet'!$B$17,Paramètres!$A$1:$I$89,5,0)</f>
        <v>0</v>
      </c>
      <c r="GB185" s="13" t="e">
        <f t="shared" si="185"/>
        <v>#NUM!</v>
      </c>
      <c r="GC185" s="20" t="e">
        <f t="shared" si="186"/>
        <v>#NUM!</v>
      </c>
      <c r="GD185" s="59" t="e">
        <f t="shared" si="134"/>
        <v>#NUM!</v>
      </c>
      <c r="GE185" s="59">
        <f ca="1">AVERAGE(OFFSET($GD$3,0,0,'Données projet'!$E$17+1,1))-AVERAGE(OFFSET($H$3,0,0,'Données projet'!$E$17+1,1))</f>
        <v>153.43773674911449</v>
      </c>
      <c r="GF185" s="59">
        <f t="shared" si="158"/>
        <v>235.49395036616602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10.937229294993555</v>
      </c>
      <c r="GM185" s="21">
        <f>EXP(-LN(2)/25)*GM184+(1-EXP(-LN(2)/25))/(LN(2)/25)*Calculateur!GH185*Calculateur!GJ185*VLOOKUP('Données projet'!$B$17,Paramètres!$A$1:$I$89,3,0)*0.475*44/12</f>
        <v>2.9166865144328056</v>
      </c>
      <c r="GN185" s="21">
        <f>EXP(-LN(2)/2)*GN184+(1-EXP(-LN(2)/2))/(LN(2)/2)*GH185*GK185*VLOOKUP('Données projet'!$B$17,Paramètres!$A$1:$I$89,3,0)*0.475*44/12</f>
        <v>0</v>
      </c>
      <c r="GO185" s="21">
        <f t="shared" si="187"/>
        <v>13.853915809426361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5.6843418860808015E-14</v>
      </c>
      <c r="GV185" s="17">
        <f>GU185*VLOOKUP('Données projet'!$B$18,Paramètres!$A$1:$I$89,3,0)*VLOOKUP('Données projet'!$B$18,Paramètres!$A$1:$I$89,5,0)</f>
        <v>4.5224624045658861E-14</v>
      </c>
      <c r="GW185" s="13">
        <f t="shared" si="188"/>
        <v>7.4514601661523691E-13</v>
      </c>
      <c r="GX185" s="20">
        <f t="shared" si="189"/>
        <v>1.3765621991510601E-12</v>
      </c>
      <c r="GY185" s="59">
        <f t="shared" si="137"/>
        <v>293.33333333333468</v>
      </c>
      <c r="GZ185" s="59">
        <f ca="1">AVERAGE(OFFSET($GY$3,0,0,'Données projet'!$E$18+1,1))-AVERAGE(OFFSET($H$3,0,0,'Données projet'!$E$18+1,1))</f>
        <v>198.11534486400666</v>
      </c>
      <c r="HA185" s="59">
        <f t="shared" si="160"/>
        <v>174.29856796517652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>
        <f>EXP(-LN(2)/35)*HG184+(1-EXP(-LN(2)/35))/(LN(2)/35)*HC185*HD185*VLOOKUP('Données projet'!$B$18,Paramètres!$A$1:$I$89,3,0)*0.475*44/12</f>
        <v>10.460609433567662</v>
      </c>
      <c r="HH185" s="21">
        <f>EXP(-LN(2)/25)*HH184+(1-EXP(-LN(2)/25))/(LN(2)/25)*Calculateur!HC185*Calculateur!HE185*VLOOKUP('Données projet'!$B$18,Paramètres!$A$1:$I$89,3,0)*0.475*44/12</f>
        <v>1.4937481407330584</v>
      </c>
      <c r="HI185" s="21">
        <f>EXP(-LN(2)/2)*HI184+(1-EXP(-LN(2)/2))/(LN(2)/2)*HC185*HF185*VLOOKUP('Données projet'!$B$18,Paramètres!$A$1:$I$89,3,0)*0.475*44/12</f>
        <v>9.0405886249448451E-15</v>
      </c>
      <c r="HJ185" s="22">
        <f t="shared" si="190"/>
        <v>11.95435757430073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1.1368683772161603E-13</v>
      </c>
      <c r="O186" s="13">
        <f>N186*VLOOKUP('Données projet'!$B$9,Paramètres!$A$1:$I$89,3,0)*VLOOKUP('Données projet'!$B$9,Paramètres!$A$1:$I$89,5,0)</f>
        <v>6.7984728957526396E-14</v>
      </c>
      <c r="P186" s="13">
        <f t="shared" si="141"/>
        <v>1.0682447123141398E-12</v>
      </c>
      <c r="Q186" s="20">
        <f t="shared" si="162"/>
        <v>1.978932943548152E-12</v>
      </c>
      <c r="R186" s="59">
        <f t="shared" si="109"/>
        <v>293.3333333333353</v>
      </c>
      <c r="S186" s="59">
        <f ca="1">AVERAGE(OFFSET($R$3,0,0,'Données projet'!$E$9+1,1))-AVERAGE(OFFSET($H$3,0,0,'Données projet'!$E$9+1,1))</f>
        <v>295.19075440119076</v>
      </c>
      <c r="T186" s="59">
        <f t="shared" si="142"/>
        <v>173.0182327988216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25.846441854948875</v>
      </c>
      <c r="AA186" s="21">
        <f>EXP(-LN(2)/25)*AA185+(1-EXP(-LN(2)/25))/(LN(2)/25)*Calculateur!V186*Calculateur!X186*VLOOKUP('Données projet'!$B$9,Paramètres!$A$1:$I$89,3,0)*0.475*44/12</f>
        <v>6.5732826357026308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32.419724490651504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294.45857786714919</v>
      </c>
      <c r="AO186" s="59">
        <f t="shared" si="144"/>
        <v>221.9773436301067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23.856284456222298</v>
      </c>
      <c r="AV186" s="21">
        <f>EXP(-LN(2)/25)*AV185+(1-EXP(-LN(2)/25))/(LN(2)/25)*Calculateur!AQ186*Calculateur!AS186*VLOOKUP('Données projet'!$B$10,Paramètres!$A$1:$I$89,3,0)*0.475*44/12</f>
        <v>5.7824841766228978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29.638768632845196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179.44051550872138</v>
      </c>
      <c r="BJ186" s="59">
        <f t="shared" si="146"/>
        <v>272.9500808380069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12.254579313794174</v>
      </c>
      <c r="BQ186" s="21">
        <f>EXP(-LN(2)/25)*BQ185+(1-EXP(-LN(2)/25))/(LN(2)/25)*Calculateur!BL186*Calculateur!BN186*VLOOKUP('Données projet'!$B$11,Paramètres!$A$1:$I$89,3,0)*0.475*44/12</f>
        <v>3.2422052209300167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15.496784534724192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-1.5961632016114892E-13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259.87681411271632</v>
      </c>
      <c r="CE186" s="59">
        <f t="shared" si="148"/>
        <v>191.8684235641158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42.394717996717581</v>
      </c>
      <c r="CL186" s="21">
        <f>EXP(-LN(2)/25)*CL185+(1-EXP(-LN(2)/25))/(LN(2)/25)*Calculateur!CG186*Calculateur!CI186*VLOOKUP('Données projet'!$B$12,Paramètres!$A$1:$I$89,3,0)*0.475*44/12</f>
        <v>10.98582860183584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53.380546598553423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5.6843418860808015E-14</v>
      </c>
      <c r="CU186" s="17">
        <f>CT186*VLOOKUP('Données projet'!$B$13,Paramètres!$A$1:$I$89,3,0)*VLOOKUP('Données projet'!$B$13,Paramètres!$A$1:$I$89,5,0)</f>
        <v>4.5224624045658861E-14</v>
      </c>
      <c r="CV186" s="13">
        <f t="shared" si="173"/>
        <v>7.4514601661523691E-13</v>
      </c>
      <c r="CW186" s="20">
        <f t="shared" si="174"/>
        <v>1.3765621991510601E-12</v>
      </c>
      <c r="CX186" s="59">
        <f t="shared" si="122"/>
        <v>293.33333333333468</v>
      </c>
      <c r="CY186" s="59">
        <f ca="1">AVERAGE(OFFSET($CX$3,0,0,'Données projet'!$E$13+1,1))-AVERAGE(OFFSET($H$3,0,0,'Données projet'!$E$13+1,1))</f>
        <v>198.11534486400666</v>
      </c>
      <c r="CZ186" s="59">
        <f t="shared" si="150"/>
        <v>174.29856796517652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10.255483262917148</v>
      </c>
      <c r="DG186" s="21">
        <f>EXP(-LN(2)/25)*DG185+(1-EXP(-LN(2)/25))/(LN(2)/25)*Calculateur!DB186*Calculateur!DD186*VLOOKUP('Données projet'!$B$13,Paramètres!$A$1:$I$89,3,0)*0.475*44/12</f>
        <v>1.4529015192719121</v>
      </c>
      <c r="DH186" s="21">
        <f>EXP(-LN(2)/2)*DH185+(1-EXP(-LN(2)/2))/(LN(2)/2)*DB186*DE186*VLOOKUP('Données projet'!$B$13,Paramètres!$A$1:$I$89,3,0)*0.475*44/12</f>
        <v>6.3926615226164652E-15</v>
      </c>
      <c r="DI186" s="22">
        <f t="shared" si="175"/>
        <v>11.708384782189066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-5.6843418860808015E-14</v>
      </c>
      <c r="DP186" s="17">
        <f>DO186*VLOOKUP('Données projet'!$B$14,Paramètres!$A$1:$I$89,3,0)*VLOOKUP('Données projet'!$B$14,Paramètres!$A$1:$I$89,5,0)</f>
        <v>-5.7639226724859328E-14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247.92503505485405</v>
      </c>
      <c r="DU186" s="59">
        <f t="shared" si="152"/>
        <v>148.26437652597514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57.267146146399014</v>
      </c>
      <c r="EB186" s="21">
        <f>EXP(-LN(2)/25)*EB185+(1-EXP(-LN(2)/25))/(LN(2)/25)*Calculateur!DW186*Calculateur!DY186*VLOOKUP('Données projet'!$B$14,Paramètres!$A$1:$I$89,3,0)*0.475*44/12</f>
        <v>26.016576492477249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83.28372263887627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-5.6843418860808015E-14</v>
      </c>
      <c r="EK186" s="17">
        <f>EJ186*VLOOKUP('Données projet'!$B$15,Paramètres!$A$1:$I$89,3,0)*VLOOKUP('Données projet'!$B$15,Paramètres!$A$1:$I$89,5,0)</f>
        <v>-5.4978954722173515E-14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232.99870507181964</v>
      </c>
      <c r="EP186" s="59">
        <f t="shared" si="154"/>
        <v>140.07662669226278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54.624047093488265</v>
      </c>
      <c r="EW186" s="21">
        <f>EXP(-LN(2)/25)*EW185+(1-EXP(-LN(2)/25))/(LN(2)/25)*Calculateur!ER186*Calculateur!ET186*VLOOKUP('Données projet'!$B$15,Paramètres!$A$1:$I$89,3,0)*0.475*44/12</f>
        <v>24.815811423593694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79.439858517081959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5.6843418860808015E-14</v>
      </c>
      <c r="FF186" s="17">
        <f>FE186*VLOOKUP('Données projet'!$B$16,Paramètres!$A$1:$I$89,3,0)*VLOOKUP('Données projet'!$B$16,Paramètres!$A$1:$I$89,5,0)</f>
        <v>4.4337866711430253E-14</v>
      </c>
      <c r="FG186" s="13">
        <f t="shared" si="182"/>
        <v>7.3222115536967035E-13</v>
      </c>
      <c r="FH186" s="20">
        <f t="shared" si="183"/>
        <v>1.3525069634579169E-12</v>
      </c>
      <c r="FI186" s="59">
        <f t="shared" si="131"/>
        <v>293.33333333333468</v>
      </c>
      <c r="FJ186" s="59">
        <f ca="1">AVERAGE(OFFSET($FI$3,0,0,'Données projet'!$E$16+1,1))-AVERAGE(OFFSET($H$3,0,0,'Données projet'!$E$16+1,1))</f>
        <v>193.47609744163839</v>
      </c>
      <c r="FK186" s="59">
        <f t="shared" si="156"/>
        <v>170.3221892406973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8.1573396282914885</v>
      </c>
      <c r="FR186" s="21">
        <f>EXP(-LN(2)/25)*FR185+(1-EXP(-LN(2)/25))/(LN(2)/25)*Calculateur!FM186*Calculateur!FO186*VLOOKUP('Données projet'!$B$16,Paramètres!$A$1:$I$89,3,0)*0.475*44/12</f>
        <v>1.1556560364167976</v>
      </c>
      <c r="FS186" s="21">
        <f>EXP(-LN(2)/2)*FS185+(1-EXP(-LN(2)/2))/(LN(2)/2)*FM186*FP186*VLOOKUP('Données projet'!$B$16,Paramètres!$A$1:$I$89,3,0)*0.475*44/12</f>
        <v>6.2673152182514459E-15</v>
      </c>
      <c r="FT186" s="22">
        <f t="shared" si="184"/>
        <v>9.3129956647082928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>
        <f>FZ186*VLOOKUP('Données projet'!$B$17,Paramètres!$A$1:$I$89,3,0)*VLOOKUP('Données projet'!$B$17,Paramètres!$A$1:$I$89,5,0)</f>
        <v>0</v>
      </c>
      <c r="GB186" s="13" t="e">
        <f t="shared" si="185"/>
        <v>#NUM!</v>
      </c>
      <c r="GC186" s="20" t="e">
        <f t="shared" si="186"/>
        <v>#NUM!</v>
      </c>
      <c r="GD186" s="59" t="e">
        <f t="shared" si="134"/>
        <v>#NUM!</v>
      </c>
      <c r="GE186" s="59">
        <f ca="1">AVERAGE(OFFSET($GD$3,0,0,'Données projet'!$E$17+1,1))-AVERAGE(OFFSET($H$3,0,0,'Données projet'!$E$17+1,1))</f>
        <v>153.43773674911449</v>
      </c>
      <c r="GF186" s="59">
        <f t="shared" si="158"/>
        <v>235.49395036616602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10.722756899569889</v>
      </c>
      <c r="GM186" s="21">
        <f>EXP(-LN(2)/25)*GM185+(1-EXP(-LN(2)/25))/(LN(2)/25)*Calculateur!GH186*Calculateur!GJ186*VLOOKUP('Données projet'!$B$17,Paramètres!$A$1:$I$89,3,0)*0.475*44/12</f>
        <v>2.8369295683137628</v>
      </c>
      <c r="GN186" s="21">
        <f>EXP(-LN(2)/2)*GN185+(1-EXP(-LN(2)/2))/(LN(2)/2)*GH186*GK186*VLOOKUP('Données projet'!$B$17,Paramètres!$A$1:$I$89,3,0)*0.475*44/12</f>
        <v>0</v>
      </c>
      <c r="GO186" s="21">
        <f t="shared" si="187"/>
        <v>13.559686467883651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5.6843418860808015E-14</v>
      </c>
      <c r="GV186" s="17">
        <f>GU186*VLOOKUP('Données projet'!$B$18,Paramètres!$A$1:$I$89,3,0)*VLOOKUP('Données projet'!$B$18,Paramètres!$A$1:$I$89,5,0)</f>
        <v>4.5224624045658861E-14</v>
      </c>
      <c r="GW186" s="13">
        <f t="shared" si="188"/>
        <v>7.4514601661523691E-13</v>
      </c>
      <c r="GX186" s="20">
        <f t="shared" si="189"/>
        <v>1.3765621991510601E-12</v>
      </c>
      <c r="GY186" s="59">
        <f t="shared" si="137"/>
        <v>293.33333333333468</v>
      </c>
      <c r="GZ186" s="59">
        <f ca="1">AVERAGE(OFFSET($GY$3,0,0,'Données projet'!$E$18+1,1))-AVERAGE(OFFSET($H$3,0,0,'Données projet'!$E$18+1,1))</f>
        <v>198.11534486400666</v>
      </c>
      <c r="HA186" s="59">
        <f t="shared" si="160"/>
        <v>174.29856796517652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>
        <f>EXP(-LN(2)/35)*HG185+(1-EXP(-LN(2)/35))/(LN(2)/35)*HC186*HD186*VLOOKUP('Données projet'!$B$18,Paramètres!$A$1:$I$89,3,0)*0.475*44/12</f>
        <v>10.255483262917148</v>
      </c>
      <c r="HH186" s="21">
        <f>EXP(-LN(2)/25)*HH185+(1-EXP(-LN(2)/25))/(LN(2)/25)*Calculateur!HC186*Calculateur!HE186*VLOOKUP('Données projet'!$B$18,Paramètres!$A$1:$I$89,3,0)*0.475*44/12</f>
        <v>1.4529015192719121</v>
      </c>
      <c r="HI186" s="21">
        <f>EXP(-LN(2)/2)*HI185+(1-EXP(-LN(2)/2))/(LN(2)/2)*HC186*HF186*VLOOKUP('Données projet'!$B$18,Paramètres!$A$1:$I$89,3,0)*0.475*44/12</f>
        <v>6.3926615226164652E-15</v>
      </c>
      <c r="HJ186" s="22">
        <f t="shared" si="190"/>
        <v>11.708384782189066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1.1368683772161603E-13</v>
      </c>
      <c r="O187" s="13">
        <f>N187*VLOOKUP('Données projet'!$B$9,Paramètres!$A$1:$I$89,3,0)*VLOOKUP('Données projet'!$B$9,Paramètres!$A$1:$I$89,5,0)</f>
        <v>6.7984728957526396E-14</v>
      </c>
      <c r="P187" s="13">
        <f t="shared" si="141"/>
        <v>1.0682447123141398E-12</v>
      </c>
      <c r="Q187" s="20">
        <f t="shared" si="162"/>
        <v>1.978932943548152E-12</v>
      </c>
      <c r="R187" s="59">
        <f t="shared" si="109"/>
        <v>293.3333333333353</v>
      </c>
      <c r="S187" s="59">
        <f ca="1">AVERAGE(OFFSET($R$3,0,0,'Données projet'!$E$9+1,1))-AVERAGE(OFFSET($H$3,0,0,'Données projet'!$E$9+1,1))</f>
        <v>295.19075440119076</v>
      </c>
      <c r="T187" s="59">
        <f t="shared" si="142"/>
        <v>173.0182327988216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25.339608894946217</v>
      </c>
      <c r="AA187" s="21">
        <f>EXP(-LN(2)/25)*AA186+(1-EXP(-LN(2)/25))/(LN(2)/25)*Calculateur!V187*Calculateur!X187*VLOOKUP('Données projet'!$B$9,Paramètres!$A$1:$I$89,3,0)*0.475*44/12</f>
        <v>6.3935358763554317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31.733144771301649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294.45857786714919</v>
      </c>
      <c r="AO187" s="59">
        <f t="shared" si="144"/>
        <v>221.9773436301067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23.388477268932515</v>
      </c>
      <c r="AV187" s="21">
        <f>EXP(-LN(2)/25)*AV186+(1-EXP(-LN(2)/25))/(LN(2)/25)*Calculateur!AQ187*Calculateur!AS187*VLOOKUP('Données projet'!$B$10,Paramètres!$A$1:$I$89,3,0)*0.475*44/12</f>
        <v>5.6243618427255182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29.012839111658032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179.44051550872138</v>
      </c>
      <c r="BJ187" s="59">
        <f t="shared" si="146"/>
        <v>272.9500808380069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12.014274488006</v>
      </c>
      <c r="BQ187" s="21">
        <f>EXP(-LN(2)/25)*BQ186+(1-EXP(-LN(2)/25))/(LN(2)/25)*Calculateur!BL187*Calculateur!BN187*VLOOKUP('Données projet'!$B$11,Paramètres!$A$1:$I$89,3,0)*0.475*44/12</f>
        <v>3.1535469486635228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15.167821436669524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-1.5961632016114892E-13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259.87681411271632</v>
      </c>
      <c r="CE187" s="59">
        <f t="shared" si="148"/>
        <v>191.8684235641158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41.563383435026637</v>
      </c>
      <c r="CL187" s="21">
        <f>EXP(-LN(2)/25)*CL186+(1-EXP(-LN(2)/25))/(LN(2)/25)*Calculateur!CG187*Calculateur!CI187*VLOOKUP('Données projet'!$B$12,Paramètres!$A$1:$I$89,3,0)*0.475*44/12</f>
        <v>10.68542054099902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52.248803976025656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5.6843418860808015E-14</v>
      </c>
      <c r="CU187" s="17">
        <f>CT187*VLOOKUP('Données projet'!$B$13,Paramètres!$A$1:$I$89,3,0)*VLOOKUP('Données projet'!$B$13,Paramètres!$A$1:$I$89,5,0)</f>
        <v>4.5224624045658861E-14</v>
      </c>
      <c r="CV187" s="13">
        <f t="shared" si="173"/>
        <v>7.4514601661523691E-13</v>
      </c>
      <c r="CW187" s="20">
        <f t="shared" si="174"/>
        <v>1.3765621991510601E-12</v>
      </c>
      <c r="CX187" s="59">
        <f t="shared" si="122"/>
        <v>293.33333333333468</v>
      </c>
      <c r="CY187" s="59">
        <f ca="1">AVERAGE(OFFSET($CX$3,0,0,'Données projet'!$E$13+1,1))-AVERAGE(OFFSET($H$3,0,0,'Données projet'!$E$13+1,1))</f>
        <v>198.11534486400666</v>
      </c>
      <c r="CZ187" s="59">
        <f t="shared" si="150"/>
        <v>174.29856796517652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10.05437949135848</v>
      </c>
      <c r="DG187" s="21">
        <f>EXP(-LN(2)/25)*DG186+(1-EXP(-LN(2)/25))/(LN(2)/25)*Calculateur!DB187*Calculateur!DD187*VLOOKUP('Données projet'!$B$13,Paramètres!$A$1:$I$89,3,0)*0.475*44/12</f>
        <v>1.4131718508226514</v>
      </c>
      <c r="DH187" s="21">
        <f>EXP(-LN(2)/2)*DH186+(1-EXP(-LN(2)/2))/(LN(2)/2)*DB187*DE187*VLOOKUP('Données projet'!$B$13,Paramètres!$A$1:$I$89,3,0)*0.475*44/12</f>
        <v>4.5202943124724226E-15</v>
      </c>
      <c r="DI187" s="22">
        <f t="shared" si="175"/>
        <v>11.467551342181137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-5.6843418860808015E-14</v>
      </c>
      <c r="DP187" s="17">
        <f>DO187*VLOOKUP('Données projet'!$B$14,Paramètres!$A$1:$I$89,3,0)*VLOOKUP('Données projet'!$B$14,Paramètres!$A$1:$I$89,5,0)</f>
        <v>-5.7639226724859328E-14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247.92503505485405</v>
      </c>
      <c r="DU187" s="59">
        <f t="shared" si="152"/>
        <v>148.26437652597514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56.144172339978276</v>
      </c>
      <c r="EB187" s="21">
        <f>EXP(-LN(2)/25)*EB186+(1-EXP(-LN(2)/25))/(LN(2)/25)*Calculateur!DW187*Calculateur!DY187*VLOOKUP('Données projet'!$B$14,Paramètres!$A$1:$I$89,3,0)*0.475*44/12</f>
        <v>25.305151840138162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81.449324180116434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-5.6843418860808015E-14</v>
      </c>
      <c r="EK187" s="17">
        <f>EJ187*VLOOKUP('Données projet'!$B$15,Paramètres!$A$1:$I$89,3,0)*VLOOKUP('Données projet'!$B$15,Paramètres!$A$1:$I$89,5,0)</f>
        <v>-5.4978954722173515E-14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232.99870507181964</v>
      </c>
      <c r="EP187" s="59">
        <f t="shared" si="154"/>
        <v>140.07662669226278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53.552902847363868</v>
      </c>
      <c r="EW187" s="21">
        <f>EXP(-LN(2)/25)*EW186+(1-EXP(-LN(2)/25))/(LN(2)/25)*Calculateur!ER187*Calculateur!ET187*VLOOKUP('Données projet'!$B$15,Paramètres!$A$1:$I$89,3,0)*0.475*44/12</f>
        <v>24.137221755208717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77.690124602572581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5.6843418860808015E-14</v>
      </c>
      <c r="FF187" s="17">
        <f>FE187*VLOOKUP('Données projet'!$B$16,Paramètres!$A$1:$I$89,3,0)*VLOOKUP('Données projet'!$B$16,Paramètres!$A$1:$I$89,5,0)</f>
        <v>4.4337866711430253E-14</v>
      </c>
      <c r="FG187" s="13">
        <f t="shared" si="182"/>
        <v>7.3222115536967035E-13</v>
      </c>
      <c r="FH187" s="20">
        <f t="shared" si="183"/>
        <v>1.3525069634579169E-12</v>
      </c>
      <c r="FI187" s="59">
        <f t="shared" si="131"/>
        <v>293.33333333333468</v>
      </c>
      <c r="FJ187" s="59">
        <f ca="1">AVERAGE(OFFSET($FI$3,0,0,'Données projet'!$E$16+1,1))-AVERAGE(OFFSET($H$3,0,0,'Données projet'!$E$16+1,1))</f>
        <v>193.47609744163839</v>
      </c>
      <c r="FK187" s="59">
        <f t="shared" si="156"/>
        <v>170.3221892406973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7.9973791736665776</v>
      </c>
      <c r="FR187" s="21">
        <f>EXP(-LN(2)/25)*FR186+(1-EXP(-LN(2)/25))/(LN(2)/25)*Calculateur!FM187*Calculateur!FO187*VLOOKUP('Données projet'!$B$16,Paramètres!$A$1:$I$89,3,0)*0.475*44/12</f>
        <v>1.1240545613276707</v>
      </c>
      <c r="FS187" s="21">
        <f>EXP(-LN(2)/2)*FS186+(1-EXP(-LN(2)/2))/(LN(2)/2)*FM187*FP187*VLOOKUP('Données projet'!$B$16,Paramètres!$A$1:$I$89,3,0)*0.475*44/12</f>
        <v>4.4316610906592445E-15</v>
      </c>
      <c r="FT187" s="22">
        <f t="shared" si="184"/>
        <v>9.1214337349942518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>
        <f>FZ187*VLOOKUP('Données projet'!$B$17,Paramètres!$A$1:$I$89,3,0)*VLOOKUP('Données projet'!$B$17,Paramètres!$A$1:$I$89,5,0)</f>
        <v>0</v>
      </c>
      <c r="GB187" s="13" t="e">
        <f t="shared" si="185"/>
        <v>#NUM!</v>
      </c>
      <c r="GC187" s="20" t="e">
        <f t="shared" si="186"/>
        <v>#NUM!</v>
      </c>
      <c r="GD187" s="59" t="e">
        <f t="shared" si="134"/>
        <v>#NUM!</v>
      </c>
      <c r="GE187" s="59">
        <f ca="1">AVERAGE(OFFSET($GD$3,0,0,'Données projet'!$E$17+1,1))-AVERAGE(OFFSET($H$3,0,0,'Données projet'!$E$17+1,1))</f>
        <v>153.43773674911449</v>
      </c>
      <c r="GF187" s="59">
        <f t="shared" si="158"/>
        <v>235.49395036616602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10.512490177005239</v>
      </c>
      <c r="GM187" s="21">
        <f>EXP(-LN(2)/25)*GM186+(1-EXP(-LN(2)/25))/(LN(2)/25)*Calculateur!GH187*Calculateur!GJ187*VLOOKUP('Données projet'!$B$17,Paramètres!$A$1:$I$89,3,0)*0.475*44/12</f>
        <v>2.7593535800805808</v>
      </c>
      <c r="GN187" s="21">
        <f>EXP(-LN(2)/2)*GN186+(1-EXP(-LN(2)/2))/(LN(2)/2)*GH187*GK187*VLOOKUP('Données projet'!$B$17,Paramètres!$A$1:$I$89,3,0)*0.475*44/12</f>
        <v>0</v>
      </c>
      <c r="GO187" s="21">
        <f t="shared" si="187"/>
        <v>13.271843757085819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5.6843418860808015E-14</v>
      </c>
      <c r="GV187" s="17">
        <f>GU187*VLOOKUP('Données projet'!$B$18,Paramètres!$A$1:$I$89,3,0)*VLOOKUP('Données projet'!$B$18,Paramètres!$A$1:$I$89,5,0)</f>
        <v>4.5224624045658861E-14</v>
      </c>
      <c r="GW187" s="13">
        <f t="shared" si="188"/>
        <v>7.4514601661523691E-13</v>
      </c>
      <c r="GX187" s="20">
        <f t="shared" si="189"/>
        <v>1.3765621991510601E-12</v>
      </c>
      <c r="GY187" s="59">
        <f t="shared" si="137"/>
        <v>293.33333333333468</v>
      </c>
      <c r="GZ187" s="59">
        <f ca="1">AVERAGE(OFFSET($GY$3,0,0,'Données projet'!$E$18+1,1))-AVERAGE(OFFSET($H$3,0,0,'Données projet'!$E$18+1,1))</f>
        <v>198.11534486400666</v>
      </c>
      <c r="HA187" s="59">
        <f t="shared" si="160"/>
        <v>174.29856796517652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>
        <f>EXP(-LN(2)/35)*HG186+(1-EXP(-LN(2)/35))/(LN(2)/35)*HC187*HD187*VLOOKUP('Données projet'!$B$18,Paramètres!$A$1:$I$89,3,0)*0.475*44/12</f>
        <v>10.05437949135848</v>
      </c>
      <c r="HH187" s="21">
        <f>EXP(-LN(2)/25)*HH186+(1-EXP(-LN(2)/25))/(LN(2)/25)*Calculateur!HC187*Calculateur!HE187*VLOOKUP('Données projet'!$B$18,Paramètres!$A$1:$I$89,3,0)*0.475*44/12</f>
        <v>1.4131718508226514</v>
      </c>
      <c r="HI187" s="21">
        <f>EXP(-LN(2)/2)*HI186+(1-EXP(-LN(2)/2))/(LN(2)/2)*HC187*HF187*VLOOKUP('Données projet'!$B$18,Paramètres!$A$1:$I$89,3,0)*0.475*44/12</f>
        <v>4.5202943124724226E-15</v>
      </c>
      <c r="HJ187" s="22">
        <f t="shared" si="190"/>
        <v>11.467551342181137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1.1368683772161603E-13</v>
      </c>
      <c r="O188" s="13">
        <f>N188*VLOOKUP('Données projet'!$B$9,Paramètres!$A$1:$I$89,3,0)*VLOOKUP('Données projet'!$B$9,Paramètres!$A$1:$I$89,5,0)</f>
        <v>6.7984728957526396E-14</v>
      </c>
      <c r="P188" s="13">
        <f t="shared" si="141"/>
        <v>1.0682447123141398E-12</v>
      </c>
      <c r="Q188" s="20">
        <f t="shared" si="162"/>
        <v>1.978932943548152E-12</v>
      </c>
      <c r="R188" s="59">
        <f t="shared" si="109"/>
        <v>293.3333333333353</v>
      </c>
      <c r="S188" s="59">
        <f ca="1">AVERAGE(OFFSET($R$3,0,0,'Données projet'!$E$9+1,1))-AVERAGE(OFFSET($H$3,0,0,'Données projet'!$E$9+1,1))</f>
        <v>295.19075440119076</v>
      </c>
      <c r="T188" s="59">
        <f t="shared" si="142"/>
        <v>173.0182327988216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24.842714620151629</v>
      </c>
      <c r="AA188" s="21">
        <f>EXP(-LN(2)/25)*AA187+(1-EXP(-LN(2)/25))/(LN(2)/25)*Calculateur!V188*Calculateur!X188*VLOOKUP('Données projet'!$B$9,Paramètres!$A$1:$I$89,3,0)*0.475*44/12</f>
        <v>6.2187043015950536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31.061418921746682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294.45857786714919</v>
      </c>
      <c r="AO188" s="59">
        <f t="shared" si="144"/>
        <v>221.9773436301067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22.929843495251276</v>
      </c>
      <c r="AV188" s="21">
        <f>EXP(-LN(2)/25)*AV187+(1-EXP(-LN(2)/25))/(LN(2)/25)*Calculateur!AQ188*Calculateur!AS188*VLOOKUP('Données projet'!$B$10,Paramètres!$A$1:$I$89,3,0)*0.475*44/12</f>
        <v>5.4705633723638538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28.400406867615132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179.44051550872138</v>
      </c>
      <c r="BJ188" s="59">
        <f t="shared" si="146"/>
        <v>272.9500808380069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11.778681893280062</v>
      </c>
      <c r="BQ188" s="21">
        <f>EXP(-LN(2)/25)*BQ187+(1-EXP(-LN(2)/25))/(LN(2)/25)*Calculateur!BL188*Calculateur!BN188*VLOOKUP('Données projet'!$B$11,Paramètres!$A$1:$I$89,3,0)*0.475*44/12</f>
        <v>3.0673130415144922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14.845994934794554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-1.5961632016114892E-13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259.87681411271632</v>
      </c>
      <c r="CE188" s="59">
        <f t="shared" si="148"/>
        <v>191.8684235641158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40.748350837026443</v>
      </c>
      <c r="CL188" s="21">
        <f>EXP(-LN(2)/25)*CL187+(1-EXP(-LN(2)/25))/(LN(2)/25)*Calculateur!CG188*Calculateur!CI188*VLOOKUP('Données projet'!$B$12,Paramètres!$A$1:$I$89,3,0)*0.475*44/12</f>
        <v>10.393227154383558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51.141577991410003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5.6843418860808015E-14</v>
      </c>
      <c r="CU188" s="17">
        <f>CT188*VLOOKUP('Données projet'!$B$13,Paramètres!$A$1:$I$89,3,0)*VLOOKUP('Données projet'!$B$13,Paramètres!$A$1:$I$89,5,0)</f>
        <v>4.5224624045658861E-14</v>
      </c>
      <c r="CV188" s="13">
        <f t="shared" si="173"/>
        <v>7.4514601661523691E-13</v>
      </c>
      <c r="CW188" s="20">
        <f t="shared" si="174"/>
        <v>1.3765621991510601E-12</v>
      </c>
      <c r="CX188" s="59">
        <f t="shared" si="122"/>
        <v>293.33333333333468</v>
      </c>
      <c r="CY188" s="59">
        <f ca="1">AVERAGE(OFFSET($CX$3,0,0,'Données projet'!$E$13+1,1))-AVERAGE(OFFSET($H$3,0,0,'Données projet'!$E$13+1,1))</f>
        <v>198.11534486400666</v>
      </c>
      <c r="CZ188" s="59">
        <f t="shared" si="150"/>
        <v>174.29856796517652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9.8572192420988891</v>
      </c>
      <c r="DG188" s="21">
        <f>EXP(-LN(2)/25)*DG187+(1-EXP(-LN(2)/25))/(LN(2)/25)*Calculateur!DB188*Calculateur!DD188*VLOOKUP('Données projet'!$B$13,Paramètres!$A$1:$I$89,3,0)*0.475*44/12</f>
        <v>1.3745285922464283</v>
      </c>
      <c r="DH188" s="21">
        <f>EXP(-LN(2)/2)*DH187+(1-EXP(-LN(2)/2))/(LN(2)/2)*DB188*DE188*VLOOKUP('Données projet'!$B$13,Paramètres!$A$1:$I$89,3,0)*0.475*44/12</f>
        <v>3.1963307613082326E-15</v>
      </c>
      <c r="DI188" s="22">
        <f t="shared" si="175"/>
        <v>11.23174783434532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-5.6843418860808015E-14</v>
      </c>
      <c r="DP188" s="17">
        <f>DO188*VLOOKUP('Données projet'!$B$14,Paramètres!$A$1:$I$89,3,0)*VLOOKUP('Données projet'!$B$14,Paramètres!$A$1:$I$89,5,0)</f>
        <v>-5.7639226724859328E-14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247.92503505485405</v>
      </c>
      <c r="DU188" s="59">
        <f t="shared" si="152"/>
        <v>148.26437652597514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55.043219364955057</v>
      </c>
      <c r="EB188" s="21">
        <f>EXP(-LN(2)/25)*EB187+(1-EXP(-LN(2)/25))/(LN(2)/25)*Calculateur!DW188*Calculateur!DY188*VLOOKUP('Données projet'!$B$14,Paramètres!$A$1:$I$89,3,0)*0.475*44/12</f>
        <v>24.613181132329483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79.656400497284537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-5.6843418860808015E-14</v>
      </c>
      <c r="EK188" s="17">
        <f>EJ188*VLOOKUP('Données projet'!$B$15,Paramètres!$A$1:$I$89,3,0)*VLOOKUP('Données projet'!$B$15,Paramètres!$A$1:$I$89,5,0)</f>
        <v>-5.4978954722173515E-14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232.99870507181964</v>
      </c>
      <c r="EP188" s="59">
        <f t="shared" si="154"/>
        <v>140.07662669226278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52.502763086572493</v>
      </c>
      <c r="EW188" s="21">
        <f>EXP(-LN(2)/25)*EW187+(1-EXP(-LN(2)/25))/(LN(2)/25)*Calculateur!ER188*Calculateur!ET188*VLOOKUP('Données projet'!$B$15,Paramètres!$A$1:$I$89,3,0)*0.475*44/12</f>
        <v>23.477188156991208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75.979951243563704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5.6843418860808015E-14</v>
      </c>
      <c r="FF188" s="17">
        <f>FE188*VLOOKUP('Données projet'!$B$16,Paramètres!$A$1:$I$89,3,0)*VLOOKUP('Données projet'!$B$16,Paramètres!$A$1:$I$89,5,0)</f>
        <v>4.4337866711430253E-14</v>
      </c>
      <c r="FG188" s="13">
        <f t="shared" si="182"/>
        <v>7.3222115536967035E-13</v>
      </c>
      <c r="FH188" s="20">
        <f t="shared" si="183"/>
        <v>1.3525069634579169E-12</v>
      </c>
      <c r="FI188" s="59">
        <f t="shared" si="131"/>
        <v>293.33333333333468</v>
      </c>
      <c r="FJ188" s="59">
        <f ca="1">AVERAGE(OFFSET($FI$3,0,0,'Données projet'!$E$16+1,1))-AVERAGE(OFFSET($H$3,0,0,'Données projet'!$E$16+1,1))</f>
        <v>193.47609744163839</v>
      </c>
      <c r="FK188" s="59">
        <f t="shared" si="156"/>
        <v>170.3221892406973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7.840555445990617</v>
      </c>
      <c r="FR188" s="21">
        <f>EXP(-LN(2)/25)*FR187+(1-EXP(-LN(2)/25))/(LN(2)/25)*Calculateur!FM188*Calculateur!FO188*VLOOKUP('Données projet'!$B$16,Paramètres!$A$1:$I$89,3,0)*0.475*44/12</f>
        <v>1.0933172302367051</v>
      </c>
      <c r="FS188" s="21">
        <f>EXP(-LN(2)/2)*FS187+(1-EXP(-LN(2)/2))/(LN(2)/2)*FM188*FP188*VLOOKUP('Données projet'!$B$16,Paramètres!$A$1:$I$89,3,0)*0.475*44/12</f>
        <v>3.133657609125723E-15</v>
      </c>
      <c r="FT188" s="22">
        <f t="shared" si="184"/>
        <v>8.9338726762273257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>
        <f>FZ188*VLOOKUP('Données projet'!$B$17,Paramètres!$A$1:$I$89,3,0)*VLOOKUP('Données projet'!$B$17,Paramètres!$A$1:$I$89,5,0)</f>
        <v>0</v>
      </c>
      <c r="GB188" s="13" t="e">
        <f t="shared" si="185"/>
        <v>#NUM!</v>
      </c>
      <c r="GC188" s="20" t="e">
        <f t="shared" si="186"/>
        <v>#NUM!</v>
      </c>
      <c r="GD188" s="59" t="e">
        <f t="shared" si="134"/>
        <v>#NUM!</v>
      </c>
      <c r="GE188" s="59">
        <f ca="1">AVERAGE(OFFSET($GD$3,0,0,'Données projet'!$E$17+1,1))-AVERAGE(OFFSET($H$3,0,0,'Données projet'!$E$17+1,1))</f>
        <v>153.43773674911449</v>
      </c>
      <c r="GF188" s="59">
        <f t="shared" si="158"/>
        <v>235.49395036616602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10.306346656620043</v>
      </c>
      <c r="GM188" s="21">
        <f>EXP(-LN(2)/25)*GM187+(1-EXP(-LN(2)/25))/(LN(2)/25)*Calculateur!GH188*Calculateur!GJ188*VLOOKUP('Données projet'!$B$17,Paramètres!$A$1:$I$89,3,0)*0.475*44/12</f>
        <v>2.683898911325179</v>
      </c>
      <c r="GN188" s="21">
        <f>EXP(-LN(2)/2)*GN187+(1-EXP(-LN(2)/2))/(LN(2)/2)*GH188*GK188*VLOOKUP('Données projet'!$B$17,Paramètres!$A$1:$I$89,3,0)*0.475*44/12</f>
        <v>0</v>
      </c>
      <c r="GO188" s="21">
        <f t="shared" si="187"/>
        <v>12.990245567945223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5.6843418860808015E-14</v>
      </c>
      <c r="GV188" s="17">
        <f>GU188*VLOOKUP('Données projet'!$B$18,Paramètres!$A$1:$I$89,3,0)*VLOOKUP('Données projet'!$B$18,Paramètres!$A$1:$I$89,5,0)</f>
        <v>4.5224624045658861E-14</v>
      </c>
      <c r="GW188" s="13">
        <f t="shared" si="188"/>
        <v>7.4514601661523691E-13</v>
      </c>
      <c r="GX188" s="20">
        <f t="shared" si="189"/>
        <v>1.3765621991510601E-12</v>
      </c>
      <c r="GY188" s="59">
        <f t="shared" si="137"/>
        <v>293.33333333333468</v>
      </c>
      <c r="GZ188" s="59">
        <f ca="1">AVERAGE(OFFSET($GY$3,0,0,'Données projet'!$E$18+1,1))-AVERAGE(OFFSET($H$3,0,0,'Données projet'!$E$18+1,1))</f>
        <v>198.11534486400666</v>
      </c>
      <c r="HA188" s="59">
        <f t="shared" si="160"/>
        <v>174.29856796517652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>
        <f>EXP(-LN(2)/35)*HG187+(1-EXP(-LN(2)/35))/(LN(2)/35)*HC188*HD188*VLOOKUP('Données projet'!$B$18,Paramètres!$A$1:$I$89,3,0)*0.475*44/12</f>
        <v>9.8572192420988891</v>
      </c>
      <c r="HH188" s="21">
        <f>EXP(-LN(2)/25)*HH187+(1-EXP(-LN(2)/25))/(LN(2)/25)*Calculateur!HC188*Calculateur!HE188*VLOOKUP('Données projet'!$B$18,Paramètres!$A$1:$I$89,3,0)*0.475*44/12</f>
        <v>1.3745285922464283</v>
      </c>
      <c r="HI188" s="21">
        <f>EXP(-LN(2)/2)*HI187+(1-EXP(-LN(2)/2))/(LN(2)/2)*HC188*HF188*VLOOKUP('Données projet'!$B$18,Paramètres!$A$1:$I$89,3,0)*0.475*44/12</f>
        <v>3.1963307613082326E-15</v>
      </c>
      <c r="HJ188" s="22">
        <f t="shared" si="190"/>
        <v>11.23174783434532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1.1368683772161603E-13</v>
      </c>
      <c r="O189" s="13">
        <f>N189*VLOOKUP('Données projet'!$B$9,Paramètres!$A$1:$I$89,3,0)*VLOOKUP('Données projet'!$B$9,Paramètres!$A$1:$I$89,5,0)</f>
        <v>6.7984728957526396E-14</v>
      </c>
      <c r="P189" s="13">
        <f t="shared" si="141"/>
        <v>1.0682447123141398E-12</v>
      </c>
      <c r="Q189" s="20">
        <f t="shared" si="162"/>
        <v>1.978932943548152E-12</v>
      </c>
      <c r="R189" s="59">
        <f t="shared" si="109"/>
        <v>293.3333333333353</v>
      </c>
      <c r="S189" s="59">
        <f ca="1">AVERAGE(OFFSET($R$3,0,0,'Données projet'!$E$9+1,1))-AVERAGE(OFFSET($H$3,0,0,'Données projet'!$E$9+1,1))</f>
        <v>295.19075440119076</v>
      </c>
      <c r="T189" s="59">
        <f t="shared" si="142"/>
        <v>173.0182327988216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24.355564139010184</v>
      </c>
      <c r="AA189" s="21">
        <f>EXP(-LN(2)/25)*AA188+(1-EXP(-LN(2)/25))/(LN(2)/25)*Calculateur!V189*Calculateur!X189*VLOOKUP('Données projet'!$B$9,Paramètres!$A$1:$I$89,3,0)*0.475*44/12</f>
        <v>6.0486535054404911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30.404217644450675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294.45857786714919</v>
      </c>
      <c r="AO189" s="59">
        <f t="shared" si="144"/>
        <v>221.9773436301067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22.480203250132945</v>
      </c>
      <c r="AV189" s="21">
        <f>EXP(-LN(2)/25)*AV188+(1-EXP(-LN(2)/25))/(LN(2)/25)*Calculateur!AQ189*Calculateur!AS189*VLOOKUP('Données projet'!$B$10,Paramètres!$A$1:$I$89,3,0)*0.475*44/12</f>
        <v>5.3209705292621399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27.801173779395086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179.44051550872138</v>
      </c>
      <c r="BJ189" s="59">
        <f t="shared" si="146"/>
        <v>272.9500808380069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11.547709125639406</v>
      </c>
      <c r="BQ189" s="21">
        <f>EXP(-LN(2)/25)*BQ188+(1-EXP(-LN(2)/25))/(LN(2)/25)*Calculateur!BL189*Calculateur!BN189*VLOOKUP('Données projet'!$B$11,Paramètres!$A$1:$I$89,3,0)*0.475*44/12</f>
        <v>2.9834372050912958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14.531146330730701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-1.5961632016114892E-13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259.87681411271632</v>
      </c>
      <c r="CE189" s="59">
        <f t="shared" si="148"/>
        <v>191.8684235641158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39.949300531152232</v>
      </c>
      <c r="CL189" s="21">
        <f>EXP(-LN(2)/25)*CL188+(1-EXP(-LN(2)/25))/(LN(2)/25)*Calculateur!CG189*Calculateur!CI189*VLOOKUP('Données projet'!$B$12,Paramètres!$A$1:$I$89,3,0)*0.475*44/12</f>
        <v>10.109023811290877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50.058324342443107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5.6843418860808015E-14</v>
      </c>
      <c r="CU189" s="17">
        <f>CT189*VLOOKUP('Données projet'!$B$13,Paramètres!$A$1:$I$89,3,0)*VLOOKUP('Données projet'!$B$13,Paramètres!$A$1:$I$89,5,0)</f>
        <v>4.5224624045658861E-14</v>
      </c>
      <c r="CV189" s="13">
        <f t="shared" si="173"/>
        <v>7.4514601661523691E-13</v>
      </c>
      <c r="CW189" s="20">
        <f t="shared" si="174"/>
        <v>1.3765621991510601E-12</v>
      </c>
      <c r="CX189" s="59">
        <f t="shared" si="122"/>
        <v>293.33333333333468</v>
      </c>
      <c r="CY189" s="59">
        <f ca="1">AVERAGE(OFFSET($CX$3,0,0,'Données projet'!$E$13+1,1))-AVERAGE(OFFSET($H$3,0,0,'Données projet'!$E$13+1,1))</f>
        <v>198.11534486400666</v>
      </c>
      <c r="CZ189" s="59">
        <f t="shared" si="150"/>
        <v>174.29856796517652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9.6639251850714007</v>
      </c>
      <c r="DG189" s="21">
        <f>EXP(-LN(2)/25)*DG188+(1-EXP(-LN(2)/25))/(LN(2)/25)*Calculateur!DB189*Calculateur!DD189*VLOOKUP('Données projet'!$B$13,Paramètres!$A$1:$I$89,3,0)*0.475*44/12</f>
        <v>1.3369420356081325</v>
      </c>
      <c r="DH189" s="21">
        <f>EXP(-LN(2)/2)*DH188+(1-EXP(-LN(2)/2))/(LN(2)/2)*DB189*DE189*VLOOKUP('Données projet'!$B$13,Paramètres!$A$1:$I$89,3,0)*0.475*44/12</f>
        <v>2.2601471562362113E-15</v>
      </c>
      <c r="DI189" s="22">
        <f t="shared" si="175"/>
        <v>11.000867220679535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-5.6843418860808015E-14</v>
      </c>
      <c r="DP189" s="17">
        <f>DO189*VLOOKUP('Données projet'!$B$14,Paramètres!$A$1:$I$89,3,0)*VLOOKUP('Données projet'!$B$14,Paramètres!$A$1:$I$89,5,0)</f>
        <v>-5.7639226724859328E-14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247.92503505485405</v>
      </c>
      <c r="DU189" s="59">
        <f t="shared" si="152"/>
        <v>148.26437652597514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53.963855406257039</v>
      </c>
      <c r="EB189" s="21">
        <f>EXP(-LN(2)/25)*EB188+(1-EXP(-LN(2)/25))/(LN(2)/25)*Calculateur!DW189*Calculateur!DY189*VLOOKUP('Données projet'!$B$14,Paramètres!$A$1:$I$89,3,0)*0.475*44/12</f>
        <v>23.940132399914994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77.90398780617204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-5.6843418860808015E-14</v>
      </c>
      <c r="EK189" s="17">
        <f>EJ189*VLOOKUP('Données projet'!$B$15,Paramètres!$A$1:$I$89,3,0)*VLOOKUP('Données projet'!$B$15,Paramètres!$A$1:$I$89,5,0)</f>
        <v>-5.4978954722173515E-14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232.99870507181964</v>
      </c>
      <c r="EP189" s="59">
        <f t="shared" si="154"/>
        <v>140.07662669226278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51.473215925968226</v>
      </c>
      <c r="EW189" s="21">
        <f>EXP(-LN(2)/25)*EW188+(1-EXP(-LN(2)/25))/(LN(2)/25)*Calculateur!ER189*Calculateur!ET189*VLOOKUP('Données projet'!$B$15,Paramètres!$A$1:$I$89,3,0)*0.475*44/12</f>
        <v>22.835203212226617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74.308419138194836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5.6843418860808015E-14</v>
      </c>
      <c r="FF189" s="17">
        <f>FE189*VLOOKUP('Données projet'!$B$16,Paramètres!$A$1:$I$89,3,0)*VLOOKUP('Données projet'!$B$16,Paramètres!$A$1:$I$89,5,0)</f>
        <v>4.4337866711430253E-14</v>
      </c>
      <c r="FG189" s="13">
        <f t="shared" si="182"/>
        <v>7.3222115536967035E-13</v>
      </c>
      <c r="FH189" s="20">
        <f t="shared" si="183"/>
        <v>1.3525069634579169E-12</v>
      </c>
      <c r="FI189" s="59">
        <f t="shared" si="131"/>
        <v>293.33333333333468</v>
      </c>
      <c r="FJ189" s="59">
        <f ca="1">AVERAGE(OFFSET($FI$3,0,0,'Données projet'!$E$16+1,1))-AVERAGE(OFFSET($H$3,0,0,'Données projet'!$E$16+1,1))</f>
        <v>193.47609744163839</v>
      </c>
      <c r="FK189" s="59">
        <f t="shared" si="156"/>
        <v>170.3221892406973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7.6868069359613536</v>
      </c>
      <c r="FR189" s="21">
        <f>EXP(-LN(2)/25)*FR188+(1-EXP(-LN(2)/25))/(LN(2)/25)*Calculateur!FM189*Calculateur!FO189*VLOOKUP('Données projet'!$B$16,Paramètres!$A$1:$I$89,3,0)*0.475*44/12</f>
        <v>1.063420413080828</v>
      </c>
      <c r="FS189" s="21">
        <f>EXP(-LN(2)/2)*FS188+(1-EXP(-LN(2)/2))/(LN(2)/2)*FM189*FP189*VLOOKUP('Données projet'!$B$16,Paramètres!$A$1:$I$89,3,0)*0.475*44/12</f>
        <v>2.2158305453296222E-15</v>
      </c>
      <c r="FT189" s="22">
        <f t="shared" si="184"/>
        <v>8.7502273490421825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>
        <f>FZ189*VLOOKUP('Données projet'!$B$17,Paramètres!$A$1:$I$89,3,0)*VLOOKUP('Données projet'!$B$17,Paramètres!$A$1:$I$89,5,0)</f>
        <v>0</v>
      </c>
      <c r="GB189" s="13" t="e">
        <f t="shared" si="185"/>
        <v>#NUM!</v>
      </c>
      <c r="GC189" s="20" t="e">
        <f t="shared" si="186"/>
        <v>#NUM!</v>
      </c>
      <c r="GD189" s="59" t="e">
        <f t="shared" si="134"/>
        <v>#NUM!</v>
      </c>
      <c r="GE189" s="59">
        <f ca="1">AVERAGE(OFFSET($GD$3,0,0,'Données projet'!$E$17+1,1))-AVERAGE(OFFSET($H$3,0,0,'Données projet'!$E$17+1,1))</f>
        <v>153.43773674911449</v>
      </c>
      <c r="GF189" s="59">
        <f t="shared" si="158"/>
        <v>235.49395036616602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10.104245484934468</v>
      </c>
      <c r="GM189" s="21">
        <f>EXP(-LN(2)/25)*GM188+(1-EXP(-LN(2)/25))/(LN(2)/25)*Calculateur!GH189*Calculateur!GJ189*VLOOKUP('Données projet'!$B$17,Paramètres!$A$1:$I$89,3,0)*0.475*44/12</f>
        <v>2.6105075544548821</v>
      </c>
      <c r="GN189" s="21">
        <f>EXP(-LN(2)/2)*GN188+(1-EXP(-LN(2)/2))/(LN(2)/2)*GH189*GK189*VLOOKUP('Données projet'!$B$17,Paramètres!$A$1:$I$89,3,0)*0.475*44/12</f>
        <v>0</v>
      </c>
      <c r="GO189" s="21">
        <f t="shared" si="187"/>
        <v>12.71475303938935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5.6843418860808015E-14</v>
      </c>
      <c r="GV189" s="17">
        <f>GU189*VLOOKUP('Données projet'!$B$18,Paramètres!$A$1:$I$89,3,0)*VLOOKUP('Données projet'!$B$18,Paramètres!$A$1:$I$89,5,0)</f>
        <v>4.5224624045658861E-14</v>
      </c>
      <c r="GW189" s="13">
        <f t="shared" si="188"/>
        <v>7.4514601661523691E-13</v>
      </c>
      <c r="GX189" s="20">
        <f t="shared" si="189"/>
        <v>1.3765621991510601E-12</v>
      </c>
      <c r="GY189" s="59">
        <f t="shared" si="137"/>
        <v>293.33333333333468</v>
      </c>
      <c r="GZ189" s="59">
        <f ca="1">AVERAGE(OFFSET($GY$3,0,0,'Données projet'!$E$18+1,1))-AVERAGE(OFFSET($H$3,0,0,'Données projet'!$E$18+1,1))</f>
        <v>198.11534486400666</v>
      </c>
      <c r="HA189" s="59">
        <f t="shared" si="160"/>
        <v>174.29856796517652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>
        <f>EXP(-LN(2)/35)*HG188+(1-EXP(-LN(2)/35))/(LN(2)/35)*HC189*HD189*VLOOKUP('Données projet'!$B$18,Paramètres!$A$1:$I$89,3,0)*0.475*44/12</f>
        <v>9.6639251850714007</v>
      </c>
      <c r="HH189" s="21">
        <f>EXP(-LN(2)/25)*HH188+(1-EXP(-LN(2)/25))/(LN(2)/25)*Calculateur!HC189*Calculateur!HE189*VLOOKUP('Données projet'!$B$18,Paramètres!$A$1:$I$89,3,0)*0.475*44/12</f>
        <v>1.3369420356081325</v>
      </c>
      <c r="HI189" s="21">
        <f>EXP(-LN(2)/2)*HI188+(1-EXP(-LN(2)/2))/(LN(2)/2)*HC189*HF189*VLOOKUP('Données projet'!$B$18,Paramètres!$A$1:$I$89,3,0)*0.475*44/12</f>
        <v>2.2601471562362113E-15</v>
      </c>
      <c r="HJ189" s="22">
        <f t="shared" si="190"/>
        <v>11.000867220679535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1.1368683772161603E-13</v>
      </c>
      <c r="O190" s="13">
        <f>N190*VLOOKUP('Données projet'!$B$9,Paramètres!$A$1:$I$89,3,0)*VLOOKUP('Données projet'!$B$9,Paramètres!$A$1:$I$89,5,0)</f>
        <v>6.7984728957526396E-14</v>
      </c>
      <c r="P190" s="13">
        <f t="shared" si="141"/>
        <v>1.0682447123141398E-12</v>
      </c>
      <c r="Q190" s="20">
        <f t="shared" si="162"/>
        <v>1.978932943548152E-12</v>
      </c>
      <c r="R190" s="59">
        <f t="shared" si="109"/>
        <v>293.3333333333353</v>
      </c>
      <c r="S190" s="59">
        <f ca="1">AVERAGE(OFFSET($R$3,0,0,'Données projet'!$E$9+1,1))-AVERAGE(OFFSET($H$3,0,0,'Données projet'!$E$9+1,1))</f>
        <v>295.19075440119076</v>
      </c>
      <c r="T190" s="59">
        <f t="shared" si="142"/>
        <v>173.0182327988216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23.877966381671467</v>
      </c>
      <c r="AA190" s="21">
        <f>EXP(-LN(2)/25)*AA189+(1-EXP(-LN(2)/25))/(LN(2)/25)*Calculateur!V190*Calculateur!X190*VLOOKUP('Données projet'!$B$9,Paramètres!$A$1:$I$89,3,0)*0.475*44/12</f>
        <v>5.8832527572493571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29.761219138920822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294.45857786714919</v>
      </c>
      <c r="AO190" s="59">
        <f t="shared" si="144"/>
        <v>221.9773436301067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22.039380175967917</v>
      </c>
      <c r="AV190" s="21">
        <f>EXP(-LN(2)/25)*AV189+(1-EXP(-LN(2)/25))/(LN(2)/25)*Calculateur!AQ190*Calculateur!AS190*VLOOKUP('Données projet'!$B$10,Paramètres!$A$1:$I$89,3,0)*0.475*44/12</f>
        <v>5.1754683103217873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27.214848486289704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179.44051550872138</v>
      </c>
      <c r="BJ190" s="59">
        <f t="shared" si="146"/>
        <v>272.9500808380069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11.321265593092704</v>
      </c>
      <c r="BQ190" s="21">
        <f>EXP(-LN(2)/25)*BQ189+(1-EXP(-LN(2)/25))/(LN(2)/25)*Calculateur!BL190*Calculateur!BN190*VLOOKUP('Données projet'!$B$11,Paramètres!$A$1:$I$89,3,0)*0.475*44/12</f>
        <v>2.9018549578259303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14.223120550918635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-1.5961632016114892E-13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259.87681411271632</v>
      </c>
      <c r="CE190" s="59">
        <f t="shared" si="148"/>
        <v>191.8684235641158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39.16591911440365</v>
      </c>
      <c r="CL190" s="21">
        <f>EXP(-LN(2)/25)*CL189+(1-EXP(-LN(2)/25))/(LN(2)/25)*Calculateur!CG190*Calculateur!CI190*VLOOKUP('Données projet'!$B$12,Paramètres!$A$1:$I$89,3,0)*0.475*44/12</f>
        <v>9.8325920235606699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48.998511137964321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5.6843418860808015E-14</v>
      </c>
      <c r="CU190" s="17">
        <f>CT190*VLOOKUP('Données projet'!$B$13,Paramètres!$A$1:$I$89,3,0)*VLOOKUP('Données projet'!$B$13,Paramètres!$A$1:$I$89,5,0)</f>
        <v>4.5224624045658861E-14</v>
      </c>
      <c r="CV190" s="13">
        <f t="shared" si="173"/>
        <v>7.4514601661523691E-13</v>
      </c>
      <c r="CW190" s="20">
        <f t="shared" si="174"/>
        <v>1.3765621991510601E-12</v>
      </c>
      <c r="CX190" s="59">
        <f t="shared" si="122"/>
        <v>293.33333333333468</v>
      </c>
      <c r="CY190" s="59">
        <f ca="1">AVERAGE(OFFSET($CX$3,0,0,'Données projet'!$E$13+1,1))-AVERAGE(OFFSET($H$3,0,0,'Données projet'!$E$13+1,1))</f>
        <v>198.11534486400666</v>
      </c>
      <c r="CZ190" s="59">
        <f t="shared" si="150"/>
        <v>174.29856796517652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9.4744215066044895</v>
      </c>
      <c r="DG190" s="21">
        <f>EXP(-LN(2)/25)*DG189+(1-EXP(-LN(2)/25))/(LN(2)/25)*Calculateur!DB190*Calculateur!DD190*VLOOKUP('Données projet'!$B$13,Paramètres!$A$1:$I$89,3,0)*0.475*44/12</f>
        <v>1.3003832853377022</v>
      </c>
      <c r="DH190" s="21">
        <f>EXP(-LN(2)/2)*DH189+(1-EXP(-LN(2)/2))/(LN(2)/2)*DB190*DE190*VLOOKUP('Données projet'!$B$13,Paramètres!$A$1:$I$89,3,0)*0.475*44/12</f>
        <v>1.5981653806541163E-15</v>
      </c>
      <c r="DI190" s="22">
        <f t="shared" si="175"/>
        <v>10.774804791942193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-5.6843418860808015E-14</v>
      </c>
      <c r="DP190" s="17">
        <f>DO190*VLOOKUP('Données projet'!$B$14,Paramètres!$A$1:$I$89,3,0)*VLOOKUP('Données projet'!$B$14,Paramètres!$A$1:$I$89,5,0)</f>
        <v>-5.7639226724859328E-14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247.92503505485405</v>
      </c>
      <c r="DU190" s="59">
        <f t="shared" si="152"/>
        <v>148.26437652597514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52.905657116442079</v>
      </c>
      <c r="EB190" s="21">
        <f>EXP(-LN(2)/25)*EB189+(1-EXP(-LN(2)/25))/(LN(2)/25)*Calculateur!DW190*Calculateur!DY190*VLOOKUP('Données projet'!$B$14,Paramètres!$A$1:$I$89,3,0)*0.475*44/12</f>
        <v>23.28548822048247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76.191145336924549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-5.6843418860808015E-14</v>
      </c>
      <c r="EK190" s="17">
        <f>EJ190*VLOOKUP('Données projet'!$B$15,Paramètres!$A$1:$I$89,3,0)*VLOOKUP('Données projet'!$B$15,Paramètres!$A$1:$I$89,5,0)</f>
        <v>-5.4978954722173515E-14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232.99870507181964</v>
      </c>
      <c r="EP190" s="59">
        <f t="shared" si="154"/>
        <v>140.07662669226278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50.463857557221651</v>
      </c>
      <c r="EW190" s="21">
        <f>EXP(-LN(2)/25)*EW189+(1-EXP(-LN(2)/25))/(LN(2)/25)*Calculateur!ER190*Calculateur!ET190*VLOOKUP('Données projet'!$B$15,Paramètres!$A$1:$I$89,3,0)*0.475*44/12</f>
        <v>22.210773379537134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72.674630936758788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5.6843418860808015E-14</v>
      </c>
      <c r="FF190" s="17">
        <f>FE190*VLOOKUP('Données projet'!$B$16,Paramètres!$A$1:$I$89,3,0)*VLOOKUP('Données projet'!$B$16,Paramètres!$A$1:$I$89,5,0)</f>
        <v>4.4337866711430253E-14</v>
      </c>
      <c r="FG190" s="13">
        <f t="shared" si="182"/>
        <v>7.3222115536967035E-13</v>
      </c>
      <c r="FH190" s="20">
        <f t="shared" si="183"/>
        <v>1.3525069634579169E-12</v>
      </c>
      <c r="FI190" s="59">
        <f t="shared" si="131"/>
        <v>293.33333333333468</v>
      </c>
      <c r="FJ190" s="59">
        <f ca="1">AVERAGE(OFFSET($FI$3,0,0,'Données projet'!$E$16+1,1))-AVERAGE(OFFSET($H$3,0,0,'Données projet'!$E$16+1,1))</f>
        <v>193.47609744163839</v>
      </c>
      <c r="FK190" s="59">
        <f t="shared" si="156"/>
        <v>170.3221892406973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7.5360733404364328</v>
      </c>
      <c r="FR190" s="21">
        <f>EXP(-LN(2)/25)*FR189+(1-EXP(-LN(2)/25))/(LN(2)/25)*Calculateur!FM190*Calculateur!FO190*VLOOKUP('Données projet'!$B$16,Paramètres!$A$1:$I$89,3,0)*0.475*44/12</f>
        <v>1.0343411259622837</v>
      </c>
      <c r="FS190" s="21">
        <f>EXP(-LN(2)/2)*FS189+(1-EXP(-LN(2)/2))/(LN(2)/2)*FM190*FP190*VLOOKUP('Données projet'!$B$16,Paramètres!$A$1:$I$89,3,0)*0.475*44/12</f>
        <v>1.5668288045628615E-15</v>
      </c>
      <c r="FT190" s="22">
        <f t="shared" si="184"/>
        <v>8.5704144663987183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>
        <f>FZ190*VLOOKUP('Données projet'!$B$17,Paramètres!$A$1:$I$89,3,0)*VLOOKUP('Données projet'!$B$17,Paramètres!$A$1:$I$89,5,0)</f>
        <v>0</v>
      </c>
      <c r="GB190" s="13" t="e">
        <f t="shared" si="185"/>
        <v>#NUM!</v>
      </c>
      <c r="GC190" s="20" t="e">
        <f t="shared" si="186"/>
        <v>#NUM!</v>
      </c>
      <c r="GD190" s="59" t="e">
        <f t="shared" si="134"/>
        <v>#NUM!</v>
      </c>
      <c r="GE190" s="59">
        <f ca="1">AVERAGE(OFFSET($GD$3,0,0,'Données projet'!$E$17+1,1))-AVERAGE(OFFSET($H$3,0,0,'Données projet'!$E$17+1,1))</f>
        <v>153.43773674911449</v>
      </c>
      <c r="GF190" s="59">
        <f t="shared" si="158"/>
        <v>235.49395036616602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9.9061073939561055</v>
      </c>
      <c r="GM190" s="21">
        <f>EXP(-LN(2)/25)*GM189+(1-EXP(-LN(2)/25))/(LN(2)/25)*Calculateur!GH190*Calculateur!GJ190*VLOOKUP('Données projet'!$B$17,Paramètres!$A$1:$I$89,3,0)*0.475*44/12</f>
        <v>2.5391230880976874</v>
      </c>
      <c r="GN190" s="21">
        <f>EXP(-LN(2)/2)*GN189+(1-EXP(-LN(2)/2))/(LN(2)/2)*GH190*GK190*VLOOKUP('Données projet'!$B$17,Paramètres!$A$1:$I$89,3,0)*0.475*44/12</f>
        <v>0</v>
      </c>
      <c r="GO190" s="21">
        <f t="shared" si="187"/>
        <v>12.445230482053793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5.6843418860808015E-14</v>
      </c>
      <c r="GV190" s="17">
        <f>GU190*VLOOKUP('Données projet'!$B$18,Paramètres!$A$1:$I$89,3,0)*VLOOKUP('Données projet'!$B$18,Paramètres!$A$1:$I$89,5,0)</f>
        <v>4.5224624045658861E-14</v>
      </c>
      <c r="GW190" s="13">
        <f t="shared" si="188"/>
        <v>7.4514601661523691E-13</v>
      </c>
      <c r="GX190" s="20">
        <f t="shared" si="189"/>
        <v>1.3765621991510601E-12</v>
      </c>
      <c r="GY190" s="59">
        <f t="shared" si="137"/>
        <v>293.33333333333468</v>
      </c>
      <c r="GZ190" s="59">
        <f ca="1">AVERAGE(OFFSET($GY$3,0,0,'Données projet'!$E$18+1,1))-AVERAGE(OFFSET($H$3,0,0,'Données projet'!$E$18+1,1))</f>
        <v>198.11534486400666</v>
      </c>
      <c r="HA190" s="59">
        <f t="shared" si="160"/>
        <v>174.29856796517652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>
        <f>EXP(-LN(2)/35)*HG189+(1-EXP(-LN(2)/35))/(LN(2)/35)*HC190*HD190*VLOOKUP('Données projet'!$B$18,Paramètres!$A$1:$I$89,3,0)*0.475*44/12</f>
        <v>9.4744215066044895</v>
      </c>
      <c r="HH190" s="21">
        <f>EXP(-LN(2)/25)*HH189+(1-EXP(-LN(2)/25))/(LN(2)/25)*Calculateur!HC190*Calculateur!HE190*VLOOKUP('Données projet'!$B$18,Paramètres!$A$1:$I$89,3,0)*0.475*44/12</f>
        <v>1.3003832853377022</v>
      </c>
      <c r="HI190" s="21">
        <f>EXP(-LN(2)/2)*HI189+(1-EXP(-LN(2)/2))/(LN(2)/2)*HC190*HF190*VLOOKUP('Données projet'!$B$18,Paramètres!$A$1:$I$89,3,0)*0.475*44/12</f>
        <v>1.5981653806541163E-15</v>
      </c>
      <c r="HJ190" s="22">
        <f t="shared" si="190"/>
        <v>10.774804791942193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1.1368683772161603E-13</v>
      </c>
      <c r="O191" s="13">
        <f>N191*VLOOKUP('Données projet'!$B$9,Paramètres!$A$1:$I$89,3,0)*VLOOKUP('Données projet'!$B$9,Paramètres!$A$1:$I$89,5,0)</f>
        <v>6.7984728957526396E-14</v>
      </c>
      <c r="P191" s="13">
        <f t="shared" si="141"/>
        <v>1.0682447123141398E-12</v>
      </c>
      <c r="Q191" s="20">
        <f t="shared" si="162"/>
        <v>1.978932943548152E-12</v>
      </c>
      <c r="R191" s="59">
        <f t="shared" si="109"/>
        <v>293.3333333333353</v>
      </c>
      <c r="S191" s="59">
        <f ca="1">AVERAGE(OFFSET($R$3,0,0,'Données projet'!$E$9+1,1))-AVERAGE(OFFSET($H$3,0,0,'Données projet'!$E$9+1,1))</f>
        <v>295.19075440119076</v>
      </c>
      <c r="T191" s="59">
        <f t="shared" si="142"/>
        <v>173.0182327988216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23.409734025048294</v>
      </c>
      <c r="AA191" s="21">
        <f>EXP(-LN(2)/25)*AA190+(1-EXP(-LN(2)/25))/(LN(2)/25)*Calculateur!V191*Calculateur!X191*VLOOKUP('Données projet'!$B$9,Paramètres!$A$1:$I$89,3,0)*0.475*44/12</f>
        <v>5.7223749012155576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29.132108926263854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294.45857786714919</v>
      </c>
      <c r="AO191" s="59">
        <f t="shared" si="144"/>
        <v>221.9773436301067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21.607201373411737</v>
      </c>
      <c r="AV191" s="21">
        <f>EXP(-LN(2)/25)*AV190+(1-EXP(-LN(2)/25))/(LN(2)/25)*Calculateur!AQ191*Calculateur!AS191*VLOOKUP('Données projet'!$B$10,Paramètres!$A$1:$I$89,3,0)*0.475*44/12</f>
        <v>5.0339448572099883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26.641146230621725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179.44051550872138</v>
      </c>
      <c r="BJ191" s="59">
        <f t="shared" si="146"/>
        <v>272.9500808380069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11.099262480102327</v>
      </c>
      <c r="BQ191" s="21">
        <f>EXP(-LN(2)/25)*BQ190+(1-EXP(-LN(2)/25))/(LN(2)/25)*Calculateur!BL191*Calculateur!BN191*VLOOKUP('Données projet'!$B$11,Paramètres!$A$1:$I$89,3,0)*0.475*44/12</f>
        <v>2.8225035814022603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13.921766061504588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-1.5961632016114892E-13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259.87681411271632</v>
      </c>
      <c r="CE191" s="59">
        <f t="shared" si="148"/>
        <v>191.8684235641158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38.397899329422025</v>
      </c>
      <c r="CL191" s="21">
        <f>EXP(-LN(2)/25)*CL190+(1-EXP(-LN(2)/25))/(LN(2)/25)*Calculateur!CG191*Calculateur!CI191*VLOOKUP('Données projet'!$B$12,Paramètres!$A$1:$I$89,3,0)*0.475*44/12</f>
        <v>9.5637192776028623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47.961618607024889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5.6843418860808015E-14</v>
      </c>
      <c r="CU191" s="17">
        <f>CT191*VLOOKUP('Données projet'!$B$13,Paramètres!$A$1:$I$89,3,0)*VLOOKUP('Données projet'!$B$13,Paramètres!$A$1:$I$89,5,0)</f>
        <v>4.5224624045658861E-14</v>
      </c>
      <c r="CV191" s="13">
        <f t="shared" si="173"/>
        <v>7.4514601661523691E-13</v>
      </c>
      <c r="CW191" s="20">
        <f t="shared" si="174"/>
        <v>1.3765621991510601E-12</v>
      </c>
      <c r="CX191" s="59">
        <f t="shared" si="122"/>
        <v>293.33333333333468</v>
      </c>
      <c r="CY191" s="59">
        <f ca="1">AVERAGE(OFFSET($CX$3,0,0,'Données projet'!$E$13+1,1))-AVERAGE(OFFSET($H$3,0,0,'Données projet'!$E$13+1,1))</f>
        <v>198.11534486400666</v>
      </c>
      <c r="CZ191" s="59">
        <f t="shared" si="150"/>
        <v>174.29856796517652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9.2886338796864827</v>
      </c>
      <c r="DG191" s="21">
        <f>EXP(-LN(2)/25)*DG190+(1-EXP(-LN(2)/25))/(LN(2)/25)*Calculateur!DB191*Calculateur!DD191*VLOOKUP('Données projet'!$B$13,Paramètres!$A$1:$I$89,3,0)*0.475*44/12</f>
        <v>1.2648242360159578</v>
      </c>
      <c r="DH191" s="21">
        <f>EXP(-LN(2)/2)*DH190+(1-EXP(-LN(2)/2))/(LN(2)/2)*DB191*DE191*VLOOKUP('Données projet'!$B$13,Paramètres!$A$1:$I$89,3,0)*0.475*44/12</f>
        <v>1.1300735781181056E-15</v>
      </c>
      <c r="DI191" s="22">
        <f t="shared" si="175"/>
        <v>10.553458115702442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-5.6843418860808015E-14</v>
      </c>
      <c r="DP191" s="17">
        <f>DO191*VLOOKUP('Données projet'!$B$14,Paramètres!$A$1:$I$89,3,0)*VLOOKUP('Données projet'!$B$14,Paramètres!$A$1:$I$89,5,0)</f>
        <v>-5.7639226724859328E-14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247.92503505485405</v>
      </c>
      <c r="DU191" s="59">
        <f t="shared" si="152"/>
        <v>148.26437652597514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51.868209449653165</v>
      </c>
      <c r="EB191" s="21">
        <f>EXP(-LN(2)/25)*EB190+(1-EXP(-LN(2)/25))/(LN(2)/25)*Calculateur!DW191*Calculateur!DY191*VLOOKUP('Données projet'!$B$14,Paramètres!$A$1:$I$89,3,0)*0.475*44/12</f>
        <v>22.648745320562771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74.516954770215932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-5.6843418860808015E-14</v>
      </c>
      <c r="EK191" s="17">
        <f>EJ191*VLOOKUP('Données projet'!$B$15,Paramètres!$A$1:$I$89,3,0)*VLOOKUP('Données projet'!$B$15,Paramètres!$A$1:$I$89,5,0)</f>
        <v>-5.4978954722173515E-14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232.99870507181964</v>
      </c>
      <c r="EP191" s="59">
        <f t="shared" si="154"/>
        <v>140.07662669226278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49.474292090438382</v>
      </c>
      <c r="EW191" s="21">
        <f>EXP(-LN(2)/25)*EW190+(1-EXP(-LN(2)/25))/(LN(2)/25)*Calculateur!ER191*Calculateur!ET191*VLOOKUP('Données projet'!$B$15,Paramètres!$A$1:$I$89,3,0)*0.475*44/12</f>
        <v>21.603418613459883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71.077710703898262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5.6843418860808015E-14</v>
      </c>
      <c r="FF191" s="17">
        <f>FE191*VLOOKUP('Données projet'!$B$16,Paramètres!$A$1:$I$89,3,0)*VLOOKUP('Données projet'!$B$16,Paramètres!$A$1:$I$89,5,0)</f>
        <v>4.4337866711430253E-14</v>
      </c>
      <c r="FG191" s="13">
        <f t="shared" si="182"/>
        <v>7.3222115536967035E-13</v>
      </c>
      <c r="FH191" s="20">
        <f t="shared" si="183"/>
        <v>1.3525069634579169E-12</v>
      </c>
      <c r="FI191" s="59">
        <f t="shared" si="131"/>
        <v>293.33333333333468</v>
      </c>
      <c r="FJ191" s="59">
        <f ca="1">AVERAGE(OFFSET($FI$3,0,0,'Données projet'!$E$16+1,1))-AVERAGE(OFFSET($H$3,0,0,'Données projet'!$E$16+1,1))</f>
        <v>193.47609744163839</v>
      </c>
      <c r="FK191" s="59">
        <f t="shared" si="156"/>
        <v>170.3221892406973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7.3882955387813407</v>
      </c>
      <c r="FR191" s="21">
        <f>EXP(-LN(2)/25)*FR190+(1-EXP(-LN(2)/25))/(LN(2)/25)*Calculateur!FM191*Calculateur!FO191*VLOOKUP('Données projet'!$B$16,Paramètres!$A$1:$I$89,3,0)*0.475*44/12</f>
        <v>1.0060570134792093</v>
      </c>
      <c r="FS191" s="21">
        <f>EXP(-LN(2)/2)*FS190+(1-EXP(-LN(2)/2))/(LN(2)/2)*FM191*FP191*VLOOKUP('Données projet'!$B$16,Paramètres!$A$1:$I$89,3,0)*0.475*44/12</f>
        <v>1.1079152726648111E-15</v>
      </c>
      <c r="FT191" s="22">
        <f t="shared" si="184"/>
        <v>8.3943525522605515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>
        <f>FZ191*VLOOKUP('Données projet'!$B$17,Paramètres!$A$1:$I$89,3,0)*VLOOKUP('Données projet'!$B$17,Paramètres!$A$1:$I$89,5,0)</f>
        <v>0</v>
      </c>
      <c r="GB191" s="13" t="e">
        <f t="shared" si="185"/>
        <v>#NUM!</v>
      </c>
      <c r="GC191" s="20" t="e">
        <f t="shared" si="186"/>
        <v>#NUM!</v>
      </c>
      <c r="GD191" s="59" t="e">
        <f t="shared" si="134"/>
        <v>#NUM!</v>
      </c>
      <c r="GE191" s="59">
        <f ca="1">AVERAGE(OFFSET($GD$3,0,0,'Données projet'!$E$17+1,1))-AVERAGE(OFFSET($H$3,0,0,'Données projet'!$E$17+1,1))</f>
        <v>153.43773674911449</v>
      </c>
      <c r="GF191" s="59">
        <f t="shared" si="158"/>
        <v>235.49395036616602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9.7118546700895259</v>
      </c>
      <c r="GM191" s="21">
        <f>EXP(-LN(2)/25)*GM190+(1-EXP(-LN(2)/25))/(LN(2)/25)*Calculateur!GH191*Calculateur!GJ191*VLOOKUP('Données projet'!$B$17,Paramètres!$A$1:$I$89,3,0)*0.475*44/12</f>
        <v>2.4696906337269762</v>
      </c>
      <c r="GN191" s="21">
        <f>EXP(-LN(2)/2)*GN190+(1-EXP(-LN(2)/2))/(LN(2)/2)*GH191*GK191*VLOOKUP('Données projet'!$B$17,Paramètres!$A$1:$I$89,3,0)*0.475*44/12</f>
        <v>0</v>
      </c>
      <c r="GO191" s="21">
        <f t="shared" si="187"/>
        <v>12.181545303816502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5.6843418860808015E-14</v>
      </c>
      <c r="GV191" s="17">
        <f>GU191*VLOOKUP('Données projet'!$B$18,Paramètres!$A$1:$I$89,3,0)*VLOOKUP('Données projet'!$B$18,Paramètres!$A$1:$I$89,5,0)</f>
        <v>4.5224624045658861E-14</v>
      </c>
      <c r="GW191" s="13">
        <f t="shared" si="188"/>
        <v>7.4514601661523691E-13</v>
      </c>
      <c r="GX191" s="20">
        <f t="shared" si="189"/>
        <v>1.3765621991510601E-12</v>
      </c>
      <c r="GY191" s="59">
        <f t="shared" si="137"/>
        <v>293.33333333333468</v>
      </c>
      <c r="GZ191" s="59">
        <f ca="1">AVERAGE(OFFSET($GY$3,0,0,'Données projet'!$E$18+1,1))-AVERAGE(OFFSET($H$3,0,0,'Données projet'!$E$18+1,1))</f>
        <v>198.11534486400666</v>
      </c>
      <c r="HA191" s="59">
        <f t="shared" si="160"/>
        <v>174.29856796517652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>
        <f>EXP(-LN(2)/35)*HG190+(1-EXP(-LN(2)/35))/(LN(2)/35)*HC191*HD191*VLOOKUP('Données projet'!$B$18,Paramètres!$A$1:$I$89,3,0)*0.475*44/12</f>
        <v>9.2886338796864827</v>
      </c>
      <c r="HH191" s="21">
        <f>EXP(-LN(2)/25)*HH190+(1-EXP(-LN(2)/25))/(LN(2)/25)*Calculateur!HC191*Calculateur!HE191*VLOOKUP('Données projet'!$B$18,Paramètres!$A$1:$I$89,3,0)*0.475*44/12</f>
        <v>1.2648242360159578</v>
      </c>
      <c r="HI191" s="21">
        <f>EXP(-LN(2)/2)*HI190+(1-EXP(-LN(2)/2))/(LN(2)/2)*HC191*HF191*VLOOKUP('Données projet'!$B$18,Paramètres!$A$1:$I$89,3,0)*0.475*44/12</f>
        <v>1.1300735781181056E-15</v>
      </c>
      <c r="HJ191" s="22">
        <f t="shared" si="190"/>
        <v>10.553458115702442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1.1368683772161603E-13</v>
      </c>
      <c r="O192" s="13">
        <f>N192*VLOOKUP('Données projet'!$B$9,Paramètres!$A$1:$I$89,3,0)*VLOOKUP('Données projet'!$B$9,Paramètres!$A$1:$I$89,5,0)</f>
        <v>6.7984728957526396E-14</v>
      </c>
      <c r="P192" s="13">
        <f t="shared" si="141"/>
        <v>1.0682447123141398E-12</v>
      </c>
      <c r="Q192" s="20">
        <f t="shared" si="162"/>
        <v>1.978932943548152E-12</v>
      </c>
      <c r="R192" s="59">
        <f t="shared" si="109"/>
        <v>293.3333333333353</v>
      </c>
      <c r="S192" s="59">
        <f ca="1">AVERAGE(OFFSET($R$3,0,0,'Données projet'!$E$9+1,1))-AVERAGE(OFFSET($H$3,0,0,'Données projet'!$E$9+1,1))</f>
        <v>295.19075440119076</v>
      </c>
      <c r="T192" s="59">
        <f t="shared" si="142"/>
        <v>173.0182327988216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22.950683419344966</v>
      </c>
      <c r="AA192" s="21">
        <f>EXP(-LN(2)/25)*AA191+(1-EXP(-LN(2)/25))/(LN(2)/25)*Calculateur!V192*Calculateur!X192*VLOOKUP('Données projet'!$B$9,Paramètres!$A$1:$I$89,3,0)*0.475*44/12</f>
        <v>5.5658962586152008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28.516579677960166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294.45857786714919</v>
      </c>
      <c r="AO192" s="59">
        <f t="shared" si="144"/>
        <v>221.9773436301067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21.183497333570642</v>
      </c>
      <c r="AV192" s="21">
        <f>EXP(-LN(2)/25)*AV191+(1-EXP(-LN(2)/25))/(LN(2)/25)*Calculateur!AQ192*Calculateur!AS192*VLOOKUP('Données projet'!$B$10,Paramètres!$A$1:$I$89,3,0)*0.475*44/12</f>
        <v>4.8962913703659261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26.079788703936568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179.44051550872138</v>
      </c>
      <c r="BJ192" s="59">
        <f t="shared" si="146"/>
        <v>272.9500808380069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10.881612712749163</v>
      </c>
      <c r="BQ192" s="21">
        <f>EXP(-LN(2)/25)*BQ191+(1-EXP(-LN(2)/25))/(LN(2)/25)*Calculateur!BL192*Calculateur!BN192*VLOOKUP('Données projet'!$B$11,Paramètres!$A$1:$I$89,3,0)*0.475*44/12</f>
        <v>2.7453220725398029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13.626934785288967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-1.5961632016114892E-13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259.87681411271632</v>
      </c>
      <c r="CE192" s="59">
        <f t="shared" si="148"/>
        <v>191.8684235641158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37.644939943978073</v>
      </c>
      <c r="CL192" s="21">
        <f>EXP(-LN(2)/25)*CL191+(1-EXP(-LN(2)/25))/(LN(2)/25)*Calculateur!CG192*Calculateur!CI192*VLOOKUP('Données projet'!$B$12,Paramètres!$A$1:$I$89,3,0)*0.475*44/12</f>
        <v>9.3021988710226733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46.947138815000748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5.6843418860808015E-14</v>
      </c>
      <c r="CU192" s="17">
        <f>CT192*VLOOKUP('Données projet'!$B$13,Paramètres!$A$1:$I$89,3,0)*VLOOKUP('Données projet'!$B$13,Paramètres!$A$1:$I$89,5,0)</f>
        <v>4.5224624045658861E-14</v>
      </c>
      <c r="CV192" s="13">
        <f t="shared" si="173"/>
        <v>7.4514601661523691E-13</v>
      </c>
      <c r="CW192" s="20">
        <f t="shared" si="174"/>
        <v>1.3765621991510601E-12</v>
      </c>
      <c r="CX192" s="59">
        <f t="shared" si="122"/>
        <v>293.33333333333468</v>
      </c>
      <c r="CY192" s="59">
        <f ca="1">AVERAGE(OFFSET($CX$3,0,0,'Données projet'!$E$13+1,1))-AVERAGE(OFFSET($H$3,0,0,'Données projet'!$E$13+1,1))</f>
        <v>198.11534486400666</v>
      </c>
      <c r="CZ192" s="59">
        <f t="shared" si="150"/>
        <v>174.29856796517652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9.1064894348130743</v>
      </c>
      <c r="DG192" s="21">
        <f>EXP(-LN(2)/25)*DG191+(1-EXP(-LN(2)/25))/(LN(2)/25)*Calculateur!DB192*Calculateur!DD192*VLOOKUP('Données projet'!$B$13,Paramètres!$A$1:$I$89,3,0)*0.475*44/12</f>
        <v>1.2302375507678858</v>
      </c>
      <c r="DH192" s="21">
        <f>EXP(-LN(2)/2)*DH191+(1-EXP(-LN(2)/2))/(LN(2)/2)*DB192*DE192*VLOOKUP('Données projet'!$B$13,Paramètres!$A$1:$I$89,3,0)*0.475*44/12</f>
        <v>7.9908269032705815E-16</v>
      </c>
      <c r="DI192" s="22">
        <f t="shared" si="175"/>
        <v>10.33672698558096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-5.6843418860808015E-14</v>
      </c>
      <c r="DP192" s="17">
        <f>DO192*VLOOKUP('Données projet'!$B$14,Paramètres!$A$1:$I$89,3,0)*VLOOKUP('Données projet'!$B$14,Paramètres!$A$1:$I$89,5,0)</f>
        <v>-5.7639226724859328E-14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247.92503505485405</v>
      </c>
      <c r="DU192" s="59">
        <f t="shared" si="152"/>
        <v>148.26437652597514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50.851105498829384</v>
      </c>
      <c r="EB192" s="21">
        <f>EXP(-LN(2)/25)*EB191+(1-EXP(-LN(2)/25))/(LN(2)/25)*Calculateur!DW192*Calculateur!DY192*VLOOKUP('Données projet'!$B$14,Paramètres!$A$1:$I$89,3,0)*0.475*44/12</f>
        <v>22.029414188726228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72.880519687555619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-5.6843418860808015E-14</v>
      </c>
      <c r="EK192" s="17">
        <f>EJ192*VLOOKUP('Données projet'!$B$15,Paramètres!$A$1:$I$89,3,0)*VLOOKUP('Données projet'!$B$15,Paramètres!$A$1:$I$89,5,0)</f>
        <v>-5.4978954722173515E-14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232.99870507181964</v>
      </c>
      <c r="EP192" s="59">
        <f t="shared" si="154"/>
        <v>140.07662669226278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48.504131398883395</v>
      </c>
      <c r="EW192" s="21">
        <f>EXP(-LN(2)/25)*EW191+(1-EXP(-LN(2)/25))/(LN(2)/25)*Calculateur!ER192*Calculateur!ET192*VLOOKUP('Données projet'!$B$15,Paramètres!$A$1:$I$89,3,0)*0.475*44/12</f>
        <v>21.012671995400414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69.516803394283812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5.6843418860808015E-14</v>
      </c>
      <c r="FF192" s="17">
        <f>FE192*VLOOKUP('Données projet'!$B$16,Paramètres!$A$1:$I$89,3,0)*VLOOKUP('Données projet'!$B$16,Paramètres!$A$1:$I$89,5,0)</f>
        <v>4.4337866711430253E-14</v>
      </c>
      <c r="FG192" s="13">
        <f t="shared" si="182"/>
        <v>7.3222115536967035E-13</v>
      </c>
      <c r="FH192" s="20">
        <f t="shared" si="183"/>
        <v>1.3525069634579169E-12</v>
      </c>
      <c r="FI192" s="59">
        <f t="shared" si="131"/>
        <v>293.33333333333468</v>
      </c>
      <c r="FJ192" s="59">
        <f ca="1">AVERAGE(OFFSET($FI$3,0,0,'Données projet'!$E$16+1,1))-AVERAGE(OFFSET($H$3,0,0,'Données projet'!$E$16+1,1))</f>
        <v>193.47609744163839</v>
      </c>
      <c r="FK192" s="59">
        <f t="shared" si="156"/>
        <v>170.3221892406973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7.2434155696811455</v>
      </c>
      <c r="FR192" s="21">
        <f>EXP(-LN(2)/25)*FR191+(1-EXP(-LN(2)/25))/(LN(2)/25)*Calculateur!FM192*Calculateur!FO192*VLOOKUP('Données projet'!$B$16,Paramètres!$A$1:$I$89,3,0)*0.475*44/12</f>
        <v>0.97854633153938131</v>
      </c>
      <c r="FS192" s="21">
        <f>EXP(-LN(2)/2)*FS191+(1-EXP(-LN(2)/2))/(LN(2)/2)*FM192*FP192*VLOOKUP('Données projet'!$B$16,Paramètres!$A$1:$I$89,3,0)*0.475*44/12</f>
        <v>7.8341440228143074E-16</v>
      </c>
      <c r="FT192" s="22">
        <f t="shared" si="184"/>
        <v>8.2219619012205261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>
        <f>FZ192*VLOOKUP('Données projet'!$B$17,Paramètres!$A$1:$I$89,3,0)*VLOOKUP('Données projet'!$B$17,Paramètres!$A$1:$I$89,5,0)</f>
        <v>0</v>
      </c>
      <c r="GB192" s="13" t="e">
        <f t="shared" si="185"/>
        <v>#NUM!</v>
      </c>
      <c r="GC192" s="20" t="e">
        <f t="shared" si="186"/>
        <v>#NUM!</v>
      </c>
      <c r="GD192" s="59" t="e">
        <f t="shared" si="134"/>
        <v>#NUM!</v>
      </c>
      <c r="GE192" s="59">
        <f ca="1">AVERAGE(OFFSET($GD$3,0,0,'Données projet'!$E$17+1,1))-AVERAGE(OFFSET($H$3,0,0,'Données projet'!$E$17+1,1))</f>
        <v>153.43773674911449</v>
      </c>
      <c r="GF192" s="59">
        <f t="shared" si="158"/>
        <v>235.49395036616602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9.5214111236555077</v>
      </c>
      <c r="GM192" s="21">
        <f>EXP(-LN(2)/25)*GM191+(1-EXP(-LN(2)/25))/(LN(2)/25)*Calculateur!GH192*Calculateur!GJ192*VLOOKUP('Données projet'!$B$17,Paramètres!$A$1:$I$89,3,0)*0.475*44/12</f>
        <v>2.4021568134723261</v>
      </c>
      <c r="GN192" s="21">
        <f>EXP(-LN(2)/2)*GN191+(1-EXP(-LN(2)/2))/(LN(2)/2)*GH192*GK192*VLOOKUP('Données projet'!$B$17,Paramètres!$A$1:$I$89,3,0)*0.475*44/12</f>
        <v>0</v>
      </c>
      <c r="GO192" s="21">
        <f t="shared" si="187"/>
        <v>11.923567937127833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5.6843418860808015E-14</v>
      </c>
      <c r="GV192" s="17">
        <f>GU192*VLOOKUP('Données projet'!$B$18,Paramètres!$A$1:$I$89,3,0)*VLOOKUP('Données projet'!$B$18,Paramètres!$A$1:$I$89,5,0)</f>
        <v>4.5224624045658861E-14</v>
      </c>
      <c r="GW192" s="13">
        <f t="shared" si="188"/>
        <v>7.4514601661523691E-13</v>
      </c>
      <c r="GX192" s="20">
        <f t="shared" si="189"/>
        <v>1.3765621991510601E-12</v>
      </c>
      <c r="GY192" s="59">
        <f t="shared" si="137"/>
        <v>293.33333333333468</v>
      </c>
      <c r="GZ192" s="59">
        <f ca="1">AVERAGE(OFFSET($GY$3,0,0,'Données projet'!$E$18+1,1))-AVERAGE(OFFSET($H$3,0,0,'Données projet'!$E$18+1,1))</f>
        <v>198.11534486400666</v>
      </c>
      <c r="HA192" s="59">
        <f t="shared" si="160"/>
        <v>174.29856796517652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>
        <f>EXP(-LN(2)/35)*HG191+(1-EXP(-LN(2)/35))/(LN(2)/35)*HC192*HD192*VLOOKUP('Données projet'!$B$18,Paramètres!$A$1:$I$89,3,0)*0.475*44/12</f>
        <v>9.1064894348130743</v>
      </c>
      <c r="HH192" s="21">
        <f>EXP(-LN(2)/25)*HH191+(1-EXP(-LN(2)/25))/(LN(2)/25)*Calculateur!HC192*Calculateur!HE192*VLOOKUP('Données projet'!$B$18,Paramètres!$A$1:$I$89,3,0)*0.475*44/12</f>
        <v>1.2302375507678858</v>
      </c>
      <c r="HI192" s="21">
        <f>EXP(-LN(2)/2)*HI191+(1-EXP(-LN(2)/2))/(LN(2)/2)*HC192*HF192*VLOOKUP('Données projet'!$B$18,Paramètres!$A$1:$I$89,3,0)*0.475*44/12</f>
        <v>7.9908269032705815E-16</v>
      </c>
      <c r="HJ192" s="22">
        <f t="shared" si="190"/>
        <v>10.33672698558096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1.1368683772161603E-13</v>
      </c>
      <c r="O193" s="13">
        <f>N193*VLOOKUP('Données projet'!$B$9,Paramètres!$A$1:$I$89,3,0)*VLOOKUP('Données projet'!$B$9,Paramètres!$A$1:$I$89,5,0)</f>
        <v>6.7984728957526396E-14</v>
      </c>
      <c r="P193" s="13">
        <f t="shared" si="141"/>
        <v>1.0682447123141398E-12</v>
      </c>
      <c r="Q193" s="20">
        <f t="shared" si="162"/>
        <v>1.978932943548152E-12</v>
      </c>
      <c r="R193" s="59">
        <f t="shared" si="109"/>
        <v>293.3333333333353</v>
      </c>
      <c r="S193" s="59">
        <f ca="1">AVERAGE(OFFSET($R$3,0,0,'Données projet'!$E$9+1,1))-AVERAGE(OFFSET($H$3,0,0,'Données projet'!$E$9+1,1))</f>
        <v>295.19075440119076</v>
      </c>
      <c r="T193" s="59">
        <f t="shared" si="142"/>
        <v>173.0182327988216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22.500634516026256</v>
      </c>
      <c r="AA193" s="21">
        <f>EXP(-LN(2)/25)*AA192+(1-EXP(-LN(2)/25))/(LN(2)/25)*Calculateur!V193*Calculateur!X193*VLOOKUP('Données projet'!$B$9,Paramètres!$A$1:$I$89,3,0)*0.475*44/12</f>
        <v>5.4136965327256048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27.914331048751862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294.45857786714919</v>
      </c>
      <c r="AO193" s="59">
        <f t="shared" si="144"/>
        <v>221.9773436301067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20.768101871516887</v>
      </c>
      <c r="AV193" s="21">
        <f>EXP(-LN(2)/25)*AV192+(1-EXP(-LN(2)/25))/(LN(2)/25)*Calculateur!AQ193*Calculateur!AS193*VLOOKUP('Données projet'!$B$10,Paramètres!$A$1:$I$89,3,0)*0.475*44/12</f>
        <v>4.7624020253584973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25.530503896875384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179.44051550872138</v>
      </c>
      <c r="BJ193" s="59">
        <f t="shared" si="146"/>
        <v>272.9500808380069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10.668230924580545</v>
      </c>
      <c r="BQ193" s="21">
        <f>EXP(-LN(2)/25)*BQ192+(1-EXP(-LN(2)/25))/(LN(2)/25)*Calculateur!BL193*Calculateur!BN193*VLOOKUP('Données projet'!$B$11,Paramètres!$A$1:$I$89,3,0)*0.475*44/12</f>
        <v>2.6702510960959889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13.338482020676533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-1.5961632016114892E-13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259.87681411271632</v>
      </c>
      <c r="CE193" s="59">
        <f t="shared" si="148"/>
        <v>191.8684235641158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36.906745632822805</v>
      </c>
      <c r="CL193" s="21">
        <f>EXP(-LN(2)/25)*CL192+(1-EXP(-LN(2)/25))/(LN(2)/25)*Calculateur!CG193*Calculateur!CI193*VLOOKUP('Données projet'!$B$12,Paramètres!$A$1:$I$89,3,0)*0.475*44/12</f>
        <v>9.0478297537131809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45.954575386535986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5.6843418860808015E-14</v>
      </c>
      <c r="CU193" s="17">
        <f>CT193*VLOOKUP('Données projet'!$B$13,Paramètres!$A$1:$I$89,3,0)*VLOOKUP('Données projet'!$B$13,Paramètres!$A$1:$I$89,5,0)</f>
        <v>4.5224624045658861E-14</v>
      </c>
      <c r="CV193" s="13">
        <f t="shared" si="173"/>
        <v>7.4514601661523691E-13</v>
      </c>
      <c r="CW193" s="20">
        <f t="shared" si="174"/>
        <v>1.3765621991510601E-12</v>
      </c>
      <c r="CX193" s="59">
        <f t="shared" si="122"/>
        <v>293.33333333333468</v>
      </c>
      <c r="CY193" s="59">
        <f ca="1">AVERAGE(OFFSET($CX$3,0,0,'Données projet'!$E$13+1,1))-AVERAGE(OFFSET($H$3,0,0,'Données projet'!$E$13+1,1))</f>
        <v>198.11534486400666</v>
      </c>
      <c r="CZ193" s="59">
        <f t="shared" si="150"/>
        <v>174.29856796517652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8.9279167314064924</v>
      </c>
      <c r="DG193" s="21">
        <f>EXP(-LN(2)/25)*DG192+(1-EXP(-LN(2)/25))/(LN(2)/25)*Calculateur!DB193*Calculateur!DD193*VLOOKUP('Données projet'!$B$13,Paramètres!$A$1:$I$89,3,0)*0.475*44/12</f>
        <v>1.1965966402467569</v>
      </c>
      <c r="DH193" s="21">
        <f>EXP(-LN(2)/2)*DH192+(1-EXP(-LN(2)/2))/(LN(2)/2)*DB193*DE193*VLOOKUP('Données projet'!$B$13,Paramètres!$A$1:$I$89,3,0)*0.475*44/12</f>
        <v>5.6503678905905282E-16</v>
      </c>
      <c r="DI193" s="22">
        <f t="shared" si="175"/>
        <v>10.124513371653249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-5.6843418860808015E-14</v>
      </c>
      <c r="DP193" s="17">
        <f>DO193*VLOOKUP('Données projet'!$B$14,Paramètres!$A$1:$I$89,3,0)*VLOOKUP('Données projet'!$B$14,Paramètres!$A$1:$I$89,5,0)</f>
        <v>-5.7639226724859328E-14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247.92503505485405</v>
      </c>
      <c r="DU193" s="59">
        <f t="shared" si="152"/>
        <v>148.26437652597514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49.853946336109104</v>
      </c>
      <c r="EB193" s="21">
        <f>EXP(-LN(2)/25)*EB192+(1-EXP(-LN(2)/25))/(LN(2)/25)*Calculateur!DW193*Calculateur!DY193*VLOOKUP('Données projet'!$B$14,Paramètres!$A$1:$I$89,3,0)*0.475*44/12</f>
        <v>21.427018699258966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71.280965035368069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-5.6843418860808015E-14</v>
      </c>
      <c r="EK193" s="17">
        <f>EJ193*VLOOKUP('Données projet'!$B$15,Paramètres!$A$1:$I$89,3,0)*VLOOKUP('Données projet'!$B$15,Paramètres!$A$1:$I$89,5,0)</f>
        <v>-5.4978954722173515E-14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232.99870507181964</v>
      </c>
      <c r="EP193" s="59">
        <f t="shared" si="154"/>
        <v>140.07662669226278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47.552994966750205</v>
      </c>
      <c r="EW193" s="21">
        <f>EXP(-LN(2)/25)*EW192+(1-EXP(-LN(2)/25))/(LN(2)/25)*Calculateur!ER193*Calculateur!ET193*VLOOKUP('Données projet'!$B$15,Paramètres!$A$1:$I$89,3,0)*0.475*44/12</f>
        <v>20.438079374677795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67.991074341428003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5.6843418860808015E-14</v>
      </c>
      <c r="FF193" s="17">
        <f>FE193*VLOOKUP('Données projet'!$B$16,Paramètres!$A$1:$I$89,3,0)*VLOOKUP('Données projet'!$B$16,Paramètres!$A$1:$I$89,5,0)</f>
        <v>4.4337866711430253E-14</v>
      </c>
      <c r="FG193" s="13">
        <f t="shared" si="182"/>
        <v>7.3222115536967035E-13</v>
      </c>
      <c r="FH193" s="20">
        <f t="shared" si="183"/>
        <v>1.3525069634579169E-12</v>
      </c>
      <c r="FI193" s="59">
        <f t="shared" si="131"/>
        <v>293.33333333333468</v>
      </c>
      <c r="FJ193" s="59">
        <f ca="1">AVERAGE(OFFSET($FI$3,0,0,'Données projet'!$E$16+1,1))-AVERAGE(OFFSET($H$3,0,0,'Données projet'!$E$16+1,1))</f>
        <v>193.47609744163839</v>
      </c>
      <c r="FK193" s="59">
        <f t="shared" si="156"/>
        <v>170.3221892406973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7.1013766084069498</v>
      </c>
      <c r="FR193" s="21">
        <f>EXP(-LN(2)/25)*FR192+(1-EXP(-LN(2)/25))/(LN(2)/25)*Calculateur!FM193*Calculateur!FO193*VLOOKUP('Données projet'!$B$16,Paramètres!$A$1:$I$89,3,0)*0.475*44/12</f>
        <v>0.95178793064392186</v>
      </c>
      <c r="FS193" s="21">
        <f>EXP(-LN(2)/2)*FS192+(1-EXP(-LN(2)/2))/(LN(2)/2)*FM193*FP193*VLOOKUP('Données projet'!$B$16,Paramètres!$A$1:$I$89,3,0)*0.475*44/12</f>
        <v>5.5395763633240556E-16</v>
      </c>
      <c r="FT193" s="22">
        <f t="shared" si="184"/>
        <v>8.0531645390508722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>
        <f>FZ193*VLOOKUP('Données projet'!$B$17,Paramètres!$A$1:$I$89,3,0)*VLOOKUP('Données projet'!$B$17,Paramètres!$A$1:$I$89,5,0)</f>
        <v>0</v>
      </c>
      <c r="GB193" s="13" t="e">
        <f t="shared" si="185"/>
        <v>#NUM!</v>
      </c>
      <c r="GC193" s="20" t="e">
        <f t="shared" si="186"/>
        <v>#NUM!</v>
      </c>
      <c r="GD193" s="59" t="e">
        <f t="shared" si="134"/>
        <v>#NUM!</v>
      </c>
      <c r="GE193" s="59">
        <f ca="1">AVERAGE(OFFSET($GD$3,0,0,'Données projet'!$E$17+1,1))-AVERAGE(OFFSET($H$3,0,0,'Données projet'!$E$17+1,1))</f>
        <v>153.43773674911449</v>
      </c>
      <c r="GF193" s="59">
        <f t="shared" si="158"/>
        <v>235.49395036616602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9.3347020590079666</v>
      </c>
      <c r="GM193" s="21">
        <f>EXP(-LN(2)/25)*GM192+(1-EXP(-LN(2)/25))/(LN(2)/25)*Calculateur!GH193*Calculateur!GJ193*VLOOKUP('Données projet'!$B$17,Paramètres!$A$1:$I$89,3,0)*0.475*44/12</f>
        <v>2.3364697090839885</v>
      </c>
      <c r="GN193" s="21">
        <f>EXP(-LN(2)/2)*GN192+(1-EXP(-LN(2)/2))/(LN(2)/2)*GH193*GK193*VLOOKUP('Données projet'!$B$17,Paramètres!$A$1:$I$89,3,0)*0.475*44/12</f>
        <v>0</v>
      </c>
      <c r="GO193" s="21">
        <f t="shared" si="187"/>
        <v>11.671171768091956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5.6843418860808015E-14</v>
      </c>
      <c r="GV193" s="17">
        <f>GU193*VLOOKUP('Données projet'!$B$18,Paramètres!$A$1:$I$89,3,0)*VLOOKUP('Données projet'!$B$18,Paramètres!$A$1:$I$89,5,0)</f>
        <v>4.5224624045658861E-14</v>
      </c>
      <c r="GW193" s="13">
        <f t="shared" si="188"/>
        <v>7.4514601661523691E-13</v>
      </c>
      <c r="GX193" s="20">
        <f t="shared" si="189"/>
        <v>1.3765621991510601E-12</v>
      </c>
      <c r="GY193" s="59">
        <f t="shared" si="137"/>
        <v>293.33333333333468</v>
      </c>
      <c r="GZ193" s="59">
        <f ca="1">AVERAGE(OFFSET($GY$3,0,0,'Données projet'!$E$18+1,1))-AVERAGE(OFFSET($H$3,0,0,'Données projet'!$E$18+1,1))</f>
        <v>198.11534486400666</v>
      </c>
      <c r="HA193" s="59">
        <f t="shared" si="160"/>
        <v>174.29856796517652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>
        <f>EXP(-LN(2)/35)*HG192+(1-EXP(-LN(2)/35))/(LN(2)/35)*HC193*HD193*VLOOKUP('Données projet'!$B$18,Paramètres!$A$1:$I$89,3,0)*0.475*44/12</f>
        <v>8.9279167314064924</v>
      </c>
      <c r="HH193" s="21">
        <f>EXP(-LN(2)/25)*HH192+(1-EXP(-LN(2)/25))/(LN(2)/25)*Calculateur!HC193*Calculateur!HE193*VLOOKUP('Données projet'!$B$18,Paramètres!$A$1:$I$89,3,0)*0.475*44/12</f>
        <v>1.1965966402467569</v>
      </c>
      <c r="HI193" s="21">
        <f>EXP(-LN(2)/2)*HI192+(1-EXP(-LN(2)/2))/(LN(2)/2)*HC193*HF193*VLOOKUP('Données projet'!$B$18,Paramètres!$A$1:$I$89,3,0)*0.475*44/12</f>
        <v>5.6503678905905282E-16</v>
      </c>
      <c r="HJ193" s="22">
        <f t="shared" si="190"/>
        <v>10.124513371653249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1.1368683772161603E-13</v>
      </c>
      <c r="O194" s="13">
        <f>N194*VLOOKUP('Données projet'!$B$9,Paramètres!$A$1:$I$89,3,0)*VLOOKUP('Données projet'!$B$9,Paramètres!$A$1:$I$89,5,0)</f>
        <v>6.7984728957526396E-14</v>
      </c>
      <c r="P194" s="13">
        <f t="shared" si="141"/>
        <v>1.0682447123141398E-12</v>
      </c>
      <c r="Q194" s="20">
        <f t="shared" si="162"/>
        <v>1.978932943548152E-12</v>
      </c>
      <c r="R194" s="59">
        <f t="shared" si="109"/>
        <v>293.3333333333353</v>
      </c>
      <c r="S194" s="59">
        <f ca="1">AVERAGE(OFFSET($R$3,0,0,'Données projet'!$E$9+1,1))-AVERAGE(OFFSET($H$3,0,0,'Données projet'!$E$9+1,1))</f>
        <v>295.19075440119076</v>
      </c>
      <c r="T194" s="59">
        <f t="shared" si="142"/>
        <v>173.0182327988216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22.0594107971989</v>
      </c>
      <c r="AA194" s="21">
        <f>EXP(-LN(2)/25)*AA193+(1-EXP(-LN(2)/25))/(LN(2)/25)*Calculateur!V194*Calculateur!X194*VLOOKUP('Données projet'!$B$9,Paramètres!$A$1:$I$89,3,0)*0.475*44/12</f>
        <v>5.2656587163442961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27.325069513543198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294.45857786714919</v>
      </c>
      <c r="AO194" s="59">
        <f t="shared" si="144"/>
        <v>221.9773436301067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20.360852061107792</v>
      </c>
      <c r="AV194" s="21">
        <f>EXP(-LN(2)/25)*AV193+(1-EXP(-LN(2)/25))/(LN(2)/25)*Calculateur!AQ194*Calculateur!AS194*VLOOKUP('Données projet'!$B$10,Paramètres!$A$1:$I$89,3,0)*0.475*44/12</f>
        <v>4.6321738915312309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24.993025952639023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179.44051550872138</v>
      </c>
      <c r="BJ194" s="59">
        <f t="shared" si="146"/>
        <v>272.9500808380069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10.459033423127874</v>
      </c>
      <c r="BQ194" s="21">
        <f>EXP(-LN(2)/25)*BQ193+(1-EXP(-LN(2)/25))/(LN(2)/25)*Calculateur!BL194*Calculateur!BN194*VLOOKUP('Données projet'!$B$11,Paramètres!$A$1:$I$89,3,0)*0.475*44/12</f>
        <v>2.597232939450842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13.056266362578716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-1.5961632016114892E-13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259.87681411271632</v>
      </c>
      <c r="CE194" s="59">
        <f t="shared" si="148"/>
        <v>191.8684235641158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36.183026861855218</v>
      </c>
      <c r="CL194" s="21">
        <f>EXP(-LN(2)/25)*CL193+(1-EXP(-LN(2)/25))/(LN(2)/25)*Calculateur!CG194*Calculateur!CI194*VLOOKUP('Données projet'!$B$12,Paramètres!$A$1:$I$89,3,0)*0.475*44/12</f>
        <v>8.8004163732932064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44.983443235148428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5.6843418860808015E-14</v>
      </c>
      <c r="CU194" s="17">
        <f>CT194*VLOOKUP('Données projet'!$B$13,Paramètres!$A$1:$I$89,3,0)*VLOOKUP('Données projet'!$B$13,Paramètres!$A$1:$I$89,5,0)</f>
        <v>4.5224624045658861E-14</v>
      </c>
      <c r="CV194" s="13">
        <f t="shared" si="173"/>
        <v>7.4514601661523691E-13</v>
      </c>
      <c r="CW194" s="20">
        <f t="shared" si="174"/>
        <v>1.3765621991510601E-12</v>
      </c>
      <c r="CX194" s="59">
        <f t="shared" si="122"/>
        <v>293.33333333333468</v>
      </c>
      <c r="CY194" s="59">
        <f ca="1">AVERAGE(OFFSET($CX$3,0,0,'Données projet'!$E$13+1,1))-AVERAGE(OFFSET($H$3,0,0,'Données projet'!$E$13+1,1))</f>
        <v>198.11534486400666</v>
      </c>
      <c r="CZ194" s="59">
        <f t="shared" si="150"/>
        <v>174.29856796517652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8.7528457297951192</v>
      </c>
      <c r="DG194" s="21">
        <f>EXP(-LN(2)/25)*DG193+(1-EXP(-LN(2)/25))/(LN(2)/25)*Calculateur!DB194*Calculateur!DD194*VLOOKUP('Données projet'!$B$13,Paramètres!$A$1:$I$89,3,0)*0.475*44/12</f>
        <v>1.1638756421929268</v>
      </c>
      <c r="DH194" s="21">
        <f>EXP(-LN(2)/2)*DH193+(1-EXP(-LN(2)/2))/(LN(2)/2)*DB194*DE194*VLOOKUP('Données projet'!$B$13,Paramètres!$A$1:$I$89,3,0)*0.475*44/12</f>
        <v>3.9954134516352908E-16</v>
      </c>
      <c r="DI194" s="22">
        <f t="shared" si="175"/>
        <v>9.9167213719880465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-5.6843418860808015E-14</v>
      </c>
      <c r="DP194" s="17">
        <f>DO194*VLOOKUP('Données projet'!$B$14,Paramètres!$A$1:$I$89,3,0)*VLOOKUP('Données projet'!$B$14,Paramètres!$A$1:$I$89,5,0)</f>
        <v>-5.7639226724859328E-14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247.92503505485405</v>
      </c>
      <c r="DU194" s="59">
        <f t="shared" si="152"/>
        <v>148.26437652597514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48.876340856362738</v>
      </c>
      <c r="EB194" s="21">
        <f>EXP(-LN(2)/25)*EB193+(1-EXP(-LN(2)/25))/(LN(2)/25)*Calculateur!DW194*Calculateur!DY194*VLOOKUP('Données projet'!$B$14,Paramètres!$A$1:$I$89,3,0)*0.475*44/12</f>
        <v>20.841095746129788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69.717436602492526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-5.6843418860808015E-14</v>
      </c>
      <c r="EK194" s="17">
        <f>EJ194*VLOOKUP('Données projet'!$B$15,Paramètres!$A$1:$I$89,3,0)*VLOOKUP('Données projet'!$B$15,Paramètres!$A$1:$I$89,5,0)</f>
        <v>-5.4978954722173515E-14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232.99870507181964</v>
      </c>
      <c r="EP194" s="59">
        <f t="shared" si="154"/>
        <v>140.07662669226278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46.620509739915214</v>
      </c>
      <c r="EW194" s="21">
        <f>EXP(-LN(2)/25)*EW193+(1-EXP(-LN(2)/25))/(LN(2)/25)*Calculateur!ER194*Calculateur!ET194*VLOOKUP('Données projet'!$B$15,Paramètres!$A$1:$I$89,3,0)*0.475*44/12</f>
        <v>19.879199019385347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66.49970875930056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5.6843418860808015E-14</v>
      </c>
      <c r="FF194" s="17">
        <f>FE194*VLOOKUP('Données projet'!$B$16,Paramètres!$A$1:$I$89,3,0)*VLOOKUP('Données projet'!$B$16,Paramètres!$A$1:$I$89,5,0)</f>
        <v>4.4337866711430253E-14</v>
      </c>
      <c r="FG194" s="13">
        <f t="shared" si="182"/>
        <v>7.3222115536967035E-13</v>
      </c>
      <c r="FH194" s="20">
        <f t="shared" si="183"/>
        <v>1.3525069634579169E-12</v>
      </c>
      <c r="FI194" s="59">
        <f t="shared" si="131"/>
        <v>293.33333333333468</v>
      </c>
      <c r="FJ194" s="59">
        <f ca="1">AVERAGE(OFFSET($FI$3,0,0,'Données projet'!$E$16+1,1))-AVERAGE(OFFSET($H$3,0,0,'Données projet'!$E$16+1,1))</f>
        <v>193.47609744163839</v>
      </c>
      <c r="FK194" s="59">
        <f t="shared" si="156"/>
        <v>170.3221892406973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6.9621229445281294</v>
      </c>
      <c r="FR194" s="21">
        <f>EXP(-LN(2)/25)*FR193+(1-EXP(-LN(2)/25))/(LN(2)/25)*Calculateur!FM194*Calculateur!FO194*VLOOKUP('Données projet'!$B$16,Paramètres!$A$1:$I$89,3,0)*0.475*44/12</f>
        <v>0.92576123962811185</v>
      </c>
      <c r="FS194" s="21">
        <f>EXP(-LN(2)/2)*FS193+(1-EXP(-LN(2)/2))/(LN(2)/2)*FM194*FP194*VLOOKUP('Données projet'!$B$16,Paramètres!$A$1:$I$89,3,0)*0.475*44/12</f>
        <v>3.9170720114071537E-16</v>
      </c>
      <c r="FT194" s="22">
        <f t="shared" si="184"/>
        <v>7.887884184156241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>
        <f>FZ194*VLOOKUP('Données projet'!$B$17,Paramètres!$A$1:$I$89,3,0)*VLOOKUP('Données projet'!$B$17,Paramètres!$A$1:$I$89,5,0)</f>
        <v>0</v>
      </c>
      <c r="GB194" s="13" t="e">
        <f t="shared" si="185"/>
        <v>#NUM!</v>
      </c>
      <c r="GC194" s="20" t="e">
        <f t="shared" si="186"/>
        <v>#NUM!</v>
      </c>
      <c r="GD194" s="59" t="e">
        <f t="shared" si="134"/>
        <v>#NUM!</v>
      </c>
      <c r="GE194" s="59">
        <f ca="1">AVERAGE(OFFSET($GD$3,0,0,'Données projet'!$E$17+1,1))-AVERAGE(OFFSET($H$3,0,0,'Données projet'!$E$17+1,1))</f>
        <v>153.43773674911449</v>
      </c>
      <c r="GF194" s="59">
        <f t="shared" si="158"/>
        <v>235.49395036616602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9.1516542452368803</v>
      </c>
      <c r="GM194" s="21">
        <f>EXP(-LN(2)/25)*GM193+(1-EXP(-LN(2)/25))/(LN(2)/25)*Calculateur!GH194*Calculateur!GJ194*VLOOKUP('Données projet'!$B$17,Paramètres!$A$1:$I$89,3,0)*0.475*44/12</f>
        <v>2.2725788220194851</v>
      </c>
      <c r="GN194" s="21">
        <f>EXP(-LN(2)/2)*GN193+(1-EXP(-LN(2)/2))/(LN(2)/2)*GH194*GK194*VLOOKUP('Données projet'!$B$17,Paramètres!$A$1:$I$89,3,0)*0.475*44/12</f>
        <v>0</v>
      </c>
      <c r="GO194" s="21">
        <f t="shared" si="187"/>
        <v>11.424233067256365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5.6843418860808015E-14</v>
      </c>
      <c r="GV194" s="17">
        <f>GU194*VLOOKUP('Données projet'!$B$18,Paramètres!$A$1:$I$89,3,0)*VLOOKUP('Données projet'!$B$18,Paramètres!$A$1:$I$89,5,0)</f>
        <v>4.5224624045658861E-14</v>
      </c>
      <c r="GW194" s="13">
        <f t="shared" si="188"/>
        <v>7.4514601661523691E-13</v>
      </c>
      <c r="GX194" s="20">
        <f t="shared" si="189"/>
        <v>1.3765621991510601E-12</v>
      </c>
      <c r="GY194" s="59">
        <f t="shared" si="137"/>
        <v>293.33333333333468</v>
      </c>
      <c r="GZ194" s="59">
        <f ca="1">AVERAGE(OFFSET($GY$3,0,0,'Données projet'!$E$18+1,1))-AVERAGE(OFFSET($H$3,0,0,'Données projet'!$E$18+1,1))</f>
        <v>198.11534486400666</v>
      </c>
      <c r="HA194" s="59">
        <f t="shared" si="160"/>
        <v>174.29856796517652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>
        <f>EXP(-LN(2)/35)*HG193+(1-EXP(-LN(2)/35))/(LN(2)/35)*HC194*HD194*VLOOKUP('Données projet'!$B$18,Paramètres!$A$1:$I$89,3,0)*0.475*44/12</f>
        <v>8.7528457297951192</v>
      </c>
      <c r="HH194" s="21">
        <f>EXP(-LN(2)/25)*HH193+(1-EXP(-LN(2)/25))/(LN(2)/25)*Calculateur!HC194*Calculateur!HE194*VLOOKUP('Données projet'!$B$18,Paramètres!$A$1:$I$89,3,0)*0.475*44/12</f>
        <v>1.1638756421929268</v>
      </c>
      <c r="HI194" s="21">
        <f>EXP(-LN(2)/2)*HI193+(1-EXP(-LN(2)/2))/(LN(2)/2)*HC194*HF194*VLOOKUP('Données projet'!$B$18,Paramètres!$A$1:$I$89,3,0)*0.475*44/12</f>
        <v>3.9954134516352908E-16</v>
      </c>
      <c r="HJ194" s="22">
        <f t="shared" si="190"/>
        <v>9.9167213719880465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1.1368683772161603E-13</v>
      </c>
      <c r="O195" s="13">
        <f>N195*VLOOKUP('Données projet'!$B$9,Paramètres!$A$1:$I$89,3,0)*VLOOKUP('Données projet'!$B$9,Paramètres!$A$1:$I$89,5,0)</f>
        <v>6.7984728957526396E-14</v>
      </c>
      <c r="P195" s="13">
        <f t="shared" si="141"/>
        <v>1.0682447123141398E-12</v>
      </c>
      <c r="Q195" s="20">
        <f t="shared" si="162"/>
        <v>1.978932943548152E-12</v>
      </c>
      <c r="R195" s="59">
        <f t="shared" ref="R195:R203" si="191">Q195+(I195+J195)*44/12</f>
        <v>293.3333333333353</v>
      </c>
      <c r="S195" s="59">
        <f ca="1">AVERAGE(OFFSET($R$3,0,0,'Données projet'!$E$9+1,1))-AVERAGE(OFFSET($H$3,0,0,'Données projet'!$E$9+1,1))</f>
        <v>295.19075440119076</v>
      </c>
      <c r="T195" s="59">
        <f t="shared" si="142"/>
        <v>173.0182327988216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21.626839206377856</v>
      </c>
      <c r="AA195" s="21">
        <f>EXP(-LN(2)/25)*AA194+(1-EXP(-LN(2)/25))/(LN(2)/25)*Calculateur!V195*Calculateur!X195*VLOOKUP('Données projet'!$B$9,Paramètres!$A$1:$I$89,3,0)*0.475*44/12</f>
        <v>5.1216690018369038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26.748508208214758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294.45857786714919</v>
      </c>
      <c r="AO195" s="59">
        <f t="shared" si="144"/>
        <v>221.9773436301067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19.961588171082962</v>
      </c>
      <c r="AV195" s="21">
        <f>EXP(-LN(2)/25)*AV194+(1-EXP(-LN(2)/25))/(LN(2)/25)*Calculateur!AQ195*Calculateur!AS195*VLOOKUP('Données projet'!$B$10,Paramètres!$A$1:$I$89,3,0)*0.475*44/12</f>
        <v>4.5055068528718714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24.467095023954833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179.44051550872138</v>
      </c>
      <c r="BJ195" s="59">
        <f t="shared" si="146"/>
        <v>272.9500808380069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10.253938157080812</v>
      </c>
      <c r="BQ195" s="21">
        <f>EXP(-LN(2)/25)*BQ194+(1-EXP(-LN(2)/25))/(LN(2)/25)*Calculateur!BL195*Calculateur!BN195*VLOOKUP('Données projet'!$B$11,Paramètres!$A$1:$I$89,3,0)*0.475*44/12</f>
        <v>2.5262114681390146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12.780149625219828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-1.5961632016114892E-13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259.87681411271632</v>
      </c>
      <c r="CE195" s="59">
        <f t="shared" si="148"/>
        <v>191.8684235641158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35.473499774561446</v>
      </c>
      <c r="CL195" s="21">
        <f>EXP(-LN(2)/25)*CL194+(1-EXP(-LN(2)/25))/(LN(2)/25)*Calculateur!CG195*Calculateur!CI195*VLOOKUP('Données projet'!$B$12,Paramètres!$A$1:$I$89,3,0)*0.475*44/12</f>
        <v>8.5597685247717195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44.033268299333166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5.6843418860808015E-14</v>
      </c>
      <c r="CU195" s="17">
        <f>CT195*VLOOKUP('Données projet'!$B$13,Paramètres!$A$1:$I$89,3,0)*VLOOKUP('Données projet'!$B$13,Paramètres!$A$1:$I$89,5,0)</f>
        <v>4.5224624045658861E-14</v>
      </c>
      <c r="CV195" s="13">
        <f t="shared" si="173"/>
        <v>7.4514601661523691E-13</v>
      </c>
      <c r="CW195" s="20">
        <f t="shared" si="174"/>
        <v>1.3765621991510601E-12</v>
      </c>
      <c r="CX195" s="59">
        <f t="shared" si="122"/>
        <v>293.33333333333468</v>
      </c>
      <c r="CY195" s="59">
        <f ca="1">AVERAGE(OFFSET($CX$3,0,0,'Données projet'!$E$13+1,1))-AVERAGE(OFFSET($H$3,0,0,'Données projet'!$E$13+1,1))</f>
        <v>198.11534486400666</v>
      </c>
      <c r="CZ195" s="59">
        <f t="shared" si="150"/>
        <v>174.29856796517652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8.5812077637425777</v>
      </c>
      <c r="DG195" s="21">
        <f>EXP(-LN(2)/25)*DG194+(1-EXP(-LN(2)/25))/(LN(2)/25)*Calculateur!DB195*Calculateur!DD195*VLOOKUP('Données projet'!$B$13,Paramètres!$A$1:$I$89,3,0)*0.475*44/12</f>
        <v>1.1320494015516014</v>
      </c>
      <c r="DH195" s="21">
        <f>EXP(-LN(2)/2)*DH194+(1-EXP(-LN(2)/2))/(LN(2)/2)*DB195*DE195*VLOOKUP('Données projet'!$B$13,Paramètres!$A$1:$I$89,3,0)*0.475*44/12</f>
        <v>2.8251839452952641E-16</v>
      </c>
      <c r="DI195" s="22">
        <f t="shared" si="175"/>
        <v>9.7132571652941788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-5.6843418860808015E-14</v>
      </c>
      <c r="DP195" s="17">
        <f>DO195*VLOOKUP('Données projet'!$B$14,Paramètres!$A$1:$I$89,3,0)*VLOOKUP('Données projet'!$B$14,Paramètres!$A$1:$I$89,5,0)</f>
        <v>-5.7639226724859328E-14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247.92503505485405</v>
      </c>
      <c r="DU195" s="59">
        <f t="shared" si="152"/>
        <v>148.26437652597514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47.917905623793736</v>
      </c>
      <c r="EB195" s="21">
        <f>EXP(-LN(2)/25)*EB194+(1-EXP(-LN(2)/25))/(LN(2)/25)*Calculateur!DW195*Calculateur!DY195*VLOOKUP('Données projet'!$B$14,Paramètres!$A$1:$I$89,3,0)*0.475*44/12</f>
        <v>20.271194886966278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68.189100510760014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-5.6843418860808015E-14</v>
      </c>
      <c r="EK195" s="17">
        <f>EJ195*VLOOKUP('Données projet'!$B$15,Paramètres!$A$1:$I$89,3,0)*VLOOKUP('Données projet'!$B$15,Paramètres!$A$1:$I$89,5,0)</f>
        <v>-5.4978954722173515E-14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232.99870507181964</v>
      </c>
      <c r="EP195" s="59">
        <f t="shared" si="154"/>
        <v>140.07662669226278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45.706309979618624</v>
      </c>
      <c r="EW195" s="21">
        <f>EXP(-LN(2)/25)*EW194+(1-EXP(-LN(2)/25))/(LN(2)/25)*Calculateur!ER195*Calculateur!ET195*VLOOKUP('Données projet'!$B$15,Paramètres!$A$1:$I$89,3,0)*0.475*44/12</f>
        <v>19.335601276798613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65.041911256417237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5.6843418860808015E-14</v>
      </c>
      <c r="FF195" s="17">
        <f>FE195*VLOOKUP('Données projet'!$B$16,Paramètres!$A$1:$I$89,3,0)*VLOOKUP('Données projet'!$B$16,Paramètres!$A$1:$I$89,5,0)</f>
        <v>4.4337866711430253E-14</v>
      </c>
      <c r="FG195" s="13">
        <f t="shared" si="182"/>
        <v>7.3222115536967035E-13</v>
      </c>
      <c r="FH195" s="20">
        <f t="shared" si="183"/>
        <v>1.3525069634579169E-12</v>
      </c>
      <c r="FI195" s="59">
        <f t="shared" si="131"/>
        <v>293.33333333333468</v>
      </c>
      <c r="FJ195" s="59">
        <f ca="1">AVERAGE(OFFSET($FI$3,0,0,'Données projet'!$E$16+1,1))-AVERAGE(OFFSET($H$3,0,0,'Données projet'!$E$16+1,1))</f>
        <v>193.47609744163839</v>
      </c>
      <c r="FK195" s="59">
        <f t="shared" si="156"/>
        <v>170.3221892406973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6.8255999600616244</v>
      </c>
      <c r="FR195" s="21">
        <f>EXP(-LN(2)/25)*FR194+(1-EXP(-LN(2)/25))/(LN(2)/25)*Calculateur!FM195*Calculateur!FO195*VLOOKUP('Données projet'!$B$16,Paramètres!$A$1:$I$89,3,0)*0.475*44/12</f>
        <v>0.90044624984681343</v>
      </c>
      <c r="FS195" s="21">
        <f>EXP(-LN(2)/2)*FS194+(1-EXP(-LN(2)/2))/(LN(2)/2)*FM195*FP195*VLOOKUP('Données projet'!$B$16,Paramètres!$A$1:$I$89,3,0)*0.475*44/12</f>
        <v>2.7697881816620278E-16</v>
      </c>
      <c r="FT195" s="22">
        <f t="shared" si="184"/>
        <v>7.7260462099084375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>
        <f>FZ195*VLOOKUP('Données projet'!$B$17,Paramètres!$A$1:$I$89,3,0)*VLOOKUP('Données projet'!$B$17,Paramètres!$A$1:$I$89,5,0)</f>
        <v>0</v>
      </c>
      <c r="GB195" s="13" t="e">
        <f t="shared" si="185"/>
        <v>#NUM!</v>
      </c>
      <c r="GC195" s="20" t="e">
        <f t="shared" si="186"/>
        <v>#NUM!</v>
      </c>
      <c r="GD195" s="59" t="e">
        <f t="shared" si="134"/>
        <v>#NUM!</v>
      </c>
      <c r="GE195" s="59">
        <f ca="1">AVERAGE(OFFSET($GD$3,0,0,'Données projet'!$E$17+1,1))-AVERAGE(OFFSET($H$3,0,0,'Données projet'!$E$17+1,1))</f>
        <v>153.43773674911449</v>
      </c>
      <c r="GF195" s="59">
        <f t="shared" si="158"/>
        <v>235.49395036616602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8.972195887445702</v>
      </c>
      <c r="GM195" s="21">
        <f>EXP(-LN(2)/25)*GM194+(1-EXP(-LN(2)/25))/(LN(2)/25)*Calculateur!GH195*Calculateur!GJ195*VLOOKUP('Données projet'!$B$17,Paramètres!$A$1:$I$89,3,0)*0.475*44/12</f>
        <v>2.2104350346216362</v>
      </c>
      <c r="GN195" s="21">
        <f>EXP(-LN(2)/2)*GN194+(1-EXP(-LN(2)/2))/(LN(2)/2)*GH195*GK195*VLOOKUP('Données projet'!$B$17,Paramètres!$A$1:$I$89,3,0)*0.475*44/12</f>
        <v>0</v>
      </c>
      <c r="GO195" s="21">
        <f t="shared" si="187"/>
        <v>11.182630922067338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5.6843418860808015E-14</v>
      </c>
      <c r="GV195" s="17">
        <f>GU195*VLOOKUP('Données projet'!$B$18,Paramètres!$A$1:$I$89,3,0)*VLOOKUP('Données projet'!$B$18,Paramètres!$A$1:$I$89,5,0)</f>
        <v>4.5224624045658861E-14</v>
      </c>
      <c r="GW195" s="13">
        <f t="shared" si="188"/>
        <v>7.4514601661523691E-13</v>
      </c>
      <c r="GX195" s="20">
        <f t="shared" si="189"/>
        <v>1.3765621991510601E-12</v>
      </c>
      <c r="GY195" s="59">
        <f t="shared" si="137"/>
        <v>293.33333333333468</v>
      </c>
      <c r="GZ195" s="59">
        <f ca="1">AVERAGE(OFFSET($GY$3,0,0,'Données projet'!$E$18+1,1))-AVERAGE(OFFSET($H$3,0,0,'Données projet'!$E$18+1,1))</f>
        <v>198.11534486400666</v>
      </c>
      <c r="HA195" s="59">
        <f t="shared" si="160"/>
        <v>174.29856796517652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>
        <f>EXP(-LN(2)/35)*HG194+(1-EXP(-LN(2)/35))/(LN(2)/35)*HC195*HD195*VLOOKUP('Données projet'!$B$18,Paramètres!$A$1:$I$89,3,0)*0.475*44/12</f>
        <v>8.5812077637425777</v>
      </c>
      <c r="HH195" s="21">
        <f>EXP(-LN(2)/25)*HH194+(1-EXP(-LN(2)/25))/(LN(2)/25)*Calculateur!HC195*Calculateur!HE195*VLOOKUP('Données projet'!$B$18,Paramètres!$A$1:$I$89,3,0)*0.475*44/12</f>
        <v>1.1320494015516014</v>
      </c>
      <c r="HI195" s="21">
        <f>EXP(-LN(2)/2)*HI194+(1-EXP(-LN(2)/2))/(LN(2)/2)*HC195*HF195*VLOOKUP('Données projet'!$B$18,Paramètres!$A$1:$I$89,3,0)*0.475*44/12</f>
        <v>2.8251839452952641E-16</v>
      </c>
      <c r="HJ195" s="22">
        <f t="shared" si="190"/>
        <v>9.7132571652941788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1.1368683772161603E-13</v>
      </c>
      <c r="O196" s="13">
        <f>N196*VLOOKUP('Données projet'!$B$9,Paramètres!$A$1:$I$89,3,0)*VLOOKUP('Données projet'!$B$9,Paramètres!$A$1:$I$89,5,0)</f>
        <v>6.7984728957526396E-14</v>
      </c>
      <c r="P196" s="13">
        <f t="shared" si="141"/>
        <v>1.0682447123141398E-12</v>
      </c>
      <c r="Q196" s="20">
        <f t="shared" si="162"/>
        <v>1.978932943548152E-12</v>
      </c>
      <c r="R196" s="59">
        <f t="shared" si="191"/>
        <v>293.3333333333353</v>
      </c>
      <c r="S196" s="59">
        <f ca="1">AVERAGE(OFFSET($R$3,0,0,'Données projet'!$E$9+1,1))-AVERAGE(OFFSET($H$3,0,0,'Données projet'!$E$9+1,1))</f>
        <v>295.19075440119076</v>
      </c>
      <c r="T196" s="59">
        <f t="shared" si="142"/>
        <v>173.0182327988216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21.202750080610191</v>
      </c>
      <c r="AA196" s="21">
        <f>EXP(-LN(2)/25)*AA195+(1-EXP(-LN(2)/25))/(LN(2)/25)*Calculateur!V196*Calculateur!X196*VLOOKUP('Données projet'!$B$9,Paramètres!$A$1:$I$89,3,0)*0.475*44/12</f>
        <v>4.9816166936448063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26.184366774254997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294.45857786714919</v>
      </c>
      <c r="AO196" s="59">
        <f t="shared" si="144"/>
        <v>221.9773436301067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19.570153602414592</v>
      </c>
      <c r="AV196" s="21">
        <f>EXP(-LN(2)/25)*AV195+(1-EXP(-LN(2)/25))/(LN(2)/25)*Calculateur!AQ196*Calculateur!AS196*VLOOKUP('Données projet'!$B$10,Paramètres!$A$1:$I$89,3,0)*0.475*44/12</f>
        <v>4.3823035310457819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23.952457133460374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179.44051550872138</v>
      </c>
      <c r="BJ196" s="59">
        <f t="shared" si="146"/>
        <v>272.9500808380069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10.052864684105174</v>
      </c>
      <c r="BQ196" s="21">
        <f>EXP(-LN(2)/25)*BQ195+(1-EXP(-LN(2)/25))/(LN(2)/25)*Calculateur!BL196*Calculateur!BN196*VLOOKUP('Données projet'!$B$11,Paramètres!$A$1:$I$89,3,0)*0.475*44/12</f>
        <v>2.457132082695066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12.50999676680024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-1.5961632016114892E-13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259.87681411271632</v>
      </c>
      <c r="CE196" s="59">
        <f t="shared" si="148"/>
        <v>191.8684235641158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34.777886080680716</v>
      </c>
      <c r="CL196" s="21">
        <f>EXP(-LN(2)/25)*CL195+(1-EXP(-LN(2)/25))/(LN(2)/25)*Calculateur!CG196*Calculateur!CI196*VLOOKUP('Données projet'!$B$12,Paramètres!$A$1:$I$89,3,0)*0.475*44/12</f>
        <v>8.325701204323174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43.10358728500389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5.6843418860808015E-14</v>
      </c>
      <c r="CU196" s="17">
        <f>CT196*VLOOKUP('Données projet'!$B$13,Paramètres!$A$1:$I$89,3,0)*VLOOKUP('Données projet'!$B$13,Paramètres!$A$1:$I$89,5,0)</f>
        <v>4.5224624045658861E-14</v>
      </c>
      <c r="CV196" s="13">
        <f t="shared" si="173"/>
        <v>7.4514601661523691E-13</v>
      </c>
      <c r="CW196" s="20">
        <f t="shared" si="174"/>
        <v>1.3765621991510601E-12</v>
      </c>
      <c r="CX196" s="59">
        <f t="shared" ref="CX196:CX203" si="196">CW196+(CO196+CP196)*44/12</f>
        <v>293.33333333333468</v>
      </c>
      <c r="CY196" s="59">
        <f ca="1">AVERAGE(OFFSET($CX$3,0,0,'Données projet'!$E$13+1,1))-AVERAGE(OFFSET($H$3,0,0,'Données projet'!$E$13+1,1))</f>
        <v>198.11534486400666</v>
      </c>
      <c r="CZ196" s="59">
        <f t="shared" si="150"/>
        <v>174.29856796517652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8.4129355135155048</v>
      </c>
      <c r="DG196" s="21">
        <f>EXP(-LN(2)/25)*DG195+(1-EXP(-LN(2)/25))/(LN(2)/25)*Calculateur!DB196*Calculateur!DD196*VLOOKUP('Données projet'!$B$13,Paramètres!$A$1:$I$89,3,0)*0.475*44/12</f>
        <v>1.1010934511342823</v>
      </c>
      <c r="DH196" s="21">
        <f>EXP(-LN(2)/2)*DH195+(1-EXP(-LN(2)/2))/(LN(2)/2)*DB196*DE196*VLOOKUP('Données projet'!$B$13,Paramètres!$A$1:$I$89,3,0)*0.475*44/12</f>
        <v>1.9977067258176454E-16</v>
      </c>
      <c r="DI196" s="22">
        <f t="shared" si="175"/>
        <v>9.5140289646497873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-5.6843418860808015E-14</v>
      </c>
      <c r="DP196" s="17">
        <f>DO196*VLOOKUP('Données projet'!$B$14,Paramètres!$A$1:$I$89,3,0)*VLOOKUP('Données projet'!$B$14,Paramètres!$A$1:$I$89,5,0)</f>
        <v>-5.7639226724859328E-14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247.92503505485405</v>
      </c>
      <c r="DU196" s="59">
        <f t="shared" si="152"/>
        <v>148.26437652597514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46.978264721547639</v>
      </c>
      <c r="EB196" s="21">
        <f>EXP(-LN(2)/25)*EB195+(1-EXP(-LN(2)/25))/(LN(2)/25)*Calculateur!DW196*Calculateur!DY196*VLOOKUP('Données projet'!$B$14,Paramètres!$A$1:$I$89,3,0)*0.475*44/12</f>
        <v>19.716877996766375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66.695142718314017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-5.6843418860808015E-14</v>
      </c>
      <c r="EK196" s="17">
        <f>EJ196*VLOOKUP('Données projet'!$B$15,Paramètres!$A$1:$I$89,3,0)*VLOOKUP('Données projet'!$B$15,Paramètres!$A$1:$I$89,5,0)</f>
        <v>-5.4978954722173515E-14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232.99870507181964</v>
      </c>
      <c r="EP196" s="59">
        <f t="shared" si="154"/>
        <v>140.07662669226278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44.810037119014659</v>
      </c>
      <c r="EW196" s="21">
        <f>EXP(-LN(2)/25)*EW195+(1-EXP(-LN(2)/25))/(LN(2)/25)*Calculateur!ER196*Calculateur!ET196*VLOOKUP('Données projet'!$B$15,Paramètres!$A$1:$I$89,3,0)*0.475*44/12</f>
        <v>18.806868243069477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63.61690536208414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5.6843418860808015E-14</v>
      </c>
      <c r="FF196" s="17">
        <f>FE196*VLOOKUP('Données projet'!$B$16,Paramètres!$A$1:$I$89,3,0)*VLOOKUP('Données projet'!$B$16,Paramètres!$A$1:$I$89,5,0)</f>
        <v>4.4337866711430253E-14</v>
      </c>
      <c r="FG196" s="13">
        <f t="shared" si="182"/>
        <v>7.3222115536967035E-13</v>
      </c>
      <c r="FH196" s="20">
        <f t="shared" si="183"/>
        <v>1.3525069634579169E-12</v>
      </c>
      <c r="FI196" s="59">
        <f t="shared" ref="FI196:FI203" si="199">FH196+(EZ196+FA196)*44/12</f>
        <v>293.33333333333468</v>
      </c>
      <c r="FJ196" s="59">
        <f ca="1">AVERAGE(OFFSET($FI$3,0,0,'Données projet'!$E$16+1,1))-AVERAGE(OFFSET($H$3,0,0,'Données projet'!$E$16+1,1))</f>
        <v>193.47609744163839</v>
      </c>
      <c r="FK196" s="59">
        <f t="shared" si="156"/>
        <v>170.3221892406973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6.6917541080497092</v>
      </c>
      <c r="FR196" s="21">
        <f>EXP(-LN(2)/25)*FR195+(1-EXP(-LN(2)/25))/(LN(2)/25)*Calculateur!FM196*Calculateur!FO196*VLOOKUP('Données projet'!$B$16,Paramètres!$A$1:$I$89,3,0)*0.475*44/12</f>
        <v>0.87582349979234209</v>
      </c>
      <c r="FS196" s="21">
        <f>EXP(-LN(2)/2)*FS195+(1-EXP(-LN(2)/2))/(LN(2)/2)*FM196*FP196*VLOOKUP('Données projet'!$B$16,Paramètres!$A$1:$I$89,3,0)*0.475*44/12</f>
        <v>1.9585360057035769E-16</v>
      </c>
      <c r="FT196" s="22">
        <f t="shared" si="184"/>
        <v>7.5675776078420514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>
        <f>FZ196*VLOOKUP('Données projet'!$B$17,Paramètres!$A$1:$I$89,3,0)*VLOOKUP('Données projet'!$B$17,Paramètres!$A$1:$I$89,5,0)</f>
        <v>0</v>
      </c>
      <c r="GB196" s="13" t="e">
        <f t="shared" si="185"/>
        <v>#NUM!</v>
      </c>
      <c r="GC196" s="20" t="e">
        <f t="shared" si="186"/>
        <v>#NUM!</v>
      </c>
      <c r="GD196" s="59" t="e">
        <f t="shared" ref="GD196:GD203" si="200">GC196+(FU196+FV196)*44/12</f>
        <v>#NUM!</v>
      </c>
      <c r="GE196" s="59">
        <f ca="1">AVERAGE(OFFSET($GD$3,0,0,'Données projet'!$E$17+1,1))-AVERAGE(OFFSET($H$3,0,0,'Données projet'!$E$17+1,1))</f>
        <v>153.43773674911449</v>
      </c>
      <c r="GF196" s="59">
        <f t="shared" si="158"/>
        <v>235.49395036616602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8.7962565985920182</v>
      </c>
      <c r="GM196" s="21">
        <f>EXP(-LN(2)/25)*GM195+(1-EXP(-LN(2)/25))/(LN(2)/25)*Calculateur!GH196*Calculateur!GJ196*VLOOKUP('Données projet'!$B$17,Paramètres!$A$1:$I$89,3,0)*0.475*44/12</f>
        <v>2.1499905723581811</v>
      </c>
      <c r="GN196" s="21">
        <f>EXP(-LN(2)/2)*GN195+(1-EXP(-LN(2)/2))/(LN(2)/2)*GH196*GK196*VLOOKUP('Données projet'!$B$17,Paramètres!$A$1:$I$89,3,0)*0.475*44/12</f>
        <v>0</v>
      </c>
      <c r="GO196" s="21">
        <f t="shared" si="187"/>
        <v>10.946247170950199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5.6843418860808015E-14</v>
      </c>
      <c r="GV196" s="17">
        <f>GU196*VLOOKUP('Données projet'!$B$18,Paramètres!$A$1:$I$89,3,0)*VLOOKUP('Données projet'!$B$18,Paramètres!$A$1:$I$89,5,0)</f>
        <v>4.5224624045658861E-14</v>
      </c>
      <c r="GW196" s="13">
        <f t="shared" si="188"/>
        <v>7.4514601661523691E-13</v>
      </c>
      <c r="GX196" s="20">
        <f t="shared" si="189"/>
        <v>1.3765621991510601E-12</v>
      </c>
      <c r="GY196" s="59">
        <f t="shared" ref="GY196:GY203" si="201">GX196+(GP196+GQ196)*44/12</f>
        <v>293.33333333333468</v>
      </c>
      <c r="GZ196" s="59">
        <f ca="1">AVERAGE(OFFSET($GY$3,0,0,'Données projet'!$E$18+1,1))-AVERAGE(OFFSET($H$3,0,0,'Données projet'!$E$18+1,1))</f>
        <v>198.11534486400666</v>
      </c>
      <c r="HA196" s="59">
        <f t="shared" si="160"/>
        <v>174.29856796517652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>
        <f>EXP(-LN(2)/35)*HG195+(1-EXP(-LN(2)/35))/(LN(2)/35)*HC196*HD196*VLOOKUP('Données projet'!$B$18,Paramètres!$A$1:$I$89,3,0)*0.475*44/12</f>
        <v>8.4129355135155048</v>
      </c>
      <c r="HH196" s="21">
        <f>EXP(-LN(2)/25)*HH195+(1-EXP(-LN(2)/25))/(LN(2)/25)*Calculateur!HC196*Calculateur!HE196*VLOOKUP('Données projet'!$B$18,Paramètres!$A$1:$I$89,3,0)*0.475*44/12</f>
        <v>1.1010934511342823</v>
      </c>
      <c r="HI196" s="21">
        <f>EXP(-LN(2)/2)*HI195+(1-EXP(-LN(2)/2))/(LN(2)/2)*HC196*HF196*VLOOKUP('Données projet'!$B$18,Paramètres!$A$1:$I$89,3,0)*0.475*44/12</f>
        <v>1.9977067258176454E-16</v>
      </c>
      <c r="HJ196" s="22">
        <f t="shared" si="190"/>
        <v>9.5140289646497873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1.1368683772161603E-13</v>
      </c>
      <c r="O197" s="13">
        <f>N197*VLOOKUP('Données projet'!$B$9,Paramètres!$A$1:$I$89,3,0)*VLOOKUP('Données projet'!$B$9,Paramètres!$A$1:$I$89,5,0)</f>
        <v>6.7984728957526396E-14</v>
      </c>
      <c r="P197" s="13">
        <f t="shared" ref="P197:P203" si="203">EXP(-1.0587+0.8836*LN(O197)+0.284)</f>
        <v>1.0682447123141398E-12</v>
      </c>
      <c r="Q197" s="20">
        <f t="shared" si="162"/>
        <v>1.978932943548152E-12</v>
      </c>
      <c r="R197" s="59">
        <f t="shared" si="191"/>
        <v>293.3333333333353</v>
      </c>
      <c r="S197" s="59">
        <f ca="1">AVERAGE(OFFSET($R$3,0,0,'Données projet'!$E$9+1,1))-AVERAGE(OFFSET($H$3,0,0,'Données projet'!$E$9+1,1))</f>
        <v>295.19075440119076</v>
      </c>
      <c r="T197" s="59">
        <f t="shared" ref="T197:T203" si="204">$T$3</f>
        <v>173.0182327988216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20.786977083930005</v>
      </c>
      <c r="AA197" s="21">
        <f>EXP(-LN(2)/25)*AA196+(1-EXP(-LN(2)/25))/(LN(2)/25)*Calculateur!V197*Calculateur!X197*VLOOKUP('Données projet'!$B$9,Paramètres!$A$1:$I$89,3,0)*0.475*44/12</f>
        <v>4.8453941231852529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25.632371207115256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294.45857786714919</v>
      </c>
      <c r="AO197" s="59">
        <f t="shared" ref="AO197:AO203" si="205">$AO$3</f>
        <v>221.9773436301067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19.186394826886296</v>
      </c>
      <c r="AV197" s="21">
        <f>EXP(-LN(2)/25)*AV196+(1-EXP(-LN(2)/25))/(LN(2)/25)*Calculateur!AQ197*Calculateur!AS197*VLOOKUP('Données projet'!$B$10,Paramètres!$A$1:$I$89,3,0)*0.475*44/12</f>
        <v>4.2624692105340083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23.448864037420304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179.44051550872138</v>
      </c>
      <c r="BJ197" s="59">
        <f t="shared" ref="BJ197:BJ203" si="206">$BJ$3</f>
        <v>272.9500808380069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9.8557341392918794</v>
      </c>
      <c r="BQ197" s="21">
        <f>EXP(-LN(2)/25)*BQ196+(1-EXP(-LN(2)/25))/(LN(2)/25)*Calculateur!BL197*Calculateur!BN197*VLOOKUP('Données projet'!$B$11,Paramètres!$A$1:$I$89,3,0)*0.475*44/12</f>
        <v>2.3899416766788089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12.245675815970689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-1.5961632016114892E-13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259.87681411271632</v>
      </c>
      <c r="CE197" s="59">
        <f t="shared" ref="CE197:CE203" si="207">$CE$3</f>
        <v>191.8684235641158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34.095912947054522</v>
      </c>
      <c r="CL197" s="21">
        <f>EXP(-LN(2)/25)*CL196+(1-EXP(-LN(2)/25))/(LN(2)/25)*Calculateur!CG197*Calculateur!CI197*VLOOKUP('Données projet'!$B$12,Paramètres!$A$1:$I$89,3,0)*0.475*44/12</f>
        <v>8.0980344670613587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42.193947414115883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5.6843418860808015E-14</v>
      </c>
      <c r="CU197" s="17">
        <f>CT197*VLOOKUP('Données projet'!$B$13,Paramètres!$A$1:$I$89,3,0)*VLOOKUP('Données projet'!$B$13,Paramètres!$A$1:$I$89,5,0)</f>
        <v>4.5224624045658861E-14</v>
      </c>
      <c r="CV197" s="13">
        <f t="shared" si="173"/>
        <v>7.4514601661523691E-13</v>
      </c>
      <c r="CW197" s="20">
        <f t="shared" si="174"/>
        <v>1.3765621991510601E-12</v>
      </c>
      <c r="CX197" s="59">
        <f t="shared" si="196"/>
        <v>293.33333333333468</v>
      </c>
      <c r="CY197" s="59">
        <f ca="1">AVERAGE(OFFSET($CX$3,0,0,'Données projet'!$E$13+1,1))-AVERAGE(OFFSET($H$3,0,0,'Données projet'!$E$13+1,1))</f>
        <v>198.11534486400666</v>
      </c>
      <c r="CZ197" s="59">
        <f t="shared" ref="CZ197:CZ203" si="208">$CZ$3</f>
        <v>174.29856796517652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8.2479629794794462</v>
      </c>
      <c r="DG197" s="21">
        <f>EXP(-LN(2)/25)*DG196+(1-EXP(-LN(2)/25))/(LN(2)/25)*Calculateur!DB197*Calculateur!DD197*VLOOKUP('Données projet'!$B$13,Paramètres!$A$1:$I$89,3,0)*0.475*44/12</f>
        <v>1.0709839928090272</v>
      </c>
      <c r="DH197" s="21">
        <f>EXP(-LN(2)/2)*DH196+(1-EXP(-LN(2)/2))/(LN(2)/2)*DB197*DE197*VLOOKUP('Données projet'!$B$13,Paramètres!$A$1:$I$89,3,0)*0.475*44/12</f>
        <v>1.412591972647632E-16</v>
      </c>
      <c r="DI197" s="22">
        <f t="shared" si="175"/>
        <v>9.3189469722884741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-5.6843418860808015E-14</v>
      </c>
      <c r="DP197" s="17">
        <f>DO197*VLOOKUP('Données projet'!$B$14,Paramètres!$A$1:$I$89,3,0)*VLOOKUP('Données projet'!$B$14,Paramètres!$A$1:$I$89,5,0)</f>
        <v>-5.7639226724859328E-14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247.92503505485405</v>
      </c>
      <c r="DU197" s="59">
        <f t="shared" ref="DU197:DU203" si="209">$DU$3</f>
        <v>148.26437652597514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46.057049604270233</v>
      </c>
      <c r="EB197" s="21">
        <f>EXP(-LN(2)/25)*EB196+(1-EXP(-LN(2)/25))/(LN(2)/25)*Calculateur!DW197*Calculateur!DY197*VLOOKUP('Données projet'!$B$14,Paramètres!$A$1:$I$89,3,0)*0.475*44/12</f>
        <v>19.177718931079248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65.234768535349474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-5.6843418860808015E-14</v>
      </c>
      <c r="EK197" s="17">
        <f>EJ197*VLOOKUP('Données projet'!$B$15,Paramètres!$A$1:$I$89,3,0)*VLOOKUP('Données projet'!$B$15,Paramètres!$A$1:$I$89,5,0)</f>
        <v>-5.4978954722173515E-14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232.99870507181964</v>
      </c>
      <c r="EP197" s="59">
        <f t="shared" ref="EP197:EP203" si="210">$EP$3</f>
        <v>140.07662669226278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43.931339622534672</v>
      </c>
      <c r="EW197" s="21">
        <f>EXP(-LN(2)/25)*EW196+(1-EXP(-LN(2)/25))/(LN(2)/25)*Calculateur!ER197*Calculateur!ET197*VLOOKUP('Données projet'!$B$15,Paramètres!$A$1:$I$89,3,0)*0.475*44/12</f>
        <v>18.292593441952526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62.223933064487198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5.6843418860808015E-14</v>
      </c>
      <c r="FF197" s="17">
        <f>FE197*VLOOKUP('Données projet'!$B$16,Paramètres!$A$1:$I$89,3,0)*VLOOKUP('Données projet'!$B$16,Paramètres!$A$1:$I$89,5,0)</f>
        <v>4.4337866711430253E-14</v>
      </c>
      <c r="FG197" s="13">
        <f t="shared" si="182"/>
        <v>7.3222115536967035E-13</v>
      </c>
      <c r="FH197" s="20">
        <f t="shared" si="183"/>
        <v>1.3525069634579169E-12</v>
      </c>
      <c r="FI197" s="59">
        <f t="shared" si="199"/>
        <v>293.33333333333468</v>
      </c>
      <c r="FJ197" s="59">
        <f ca="1">AVERAGE(OFFSET($FI$3,0,0,'Données projet'!$E$16+1,1))-AVERAGE(OFFSET($H$3,0,0,'Données projet'!$E$16+1,1))</f>
        <v>193.47609744163839</v>
      </c>
      <c r="FK197" s="59">
        <f t="shared" ref="FK197:FK203" si="211">$FK$3</f>
        <v>170.3221892406973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6.5605328915578394</v>
      </c>
      <c r="FR197" s="21">
        <f>EXP(-LN(2)/25)*FR196+(1-EXP(-LN(2)/25))/(LN(2)/25)*Calculateur!FM197*Calculateur!FO197*VLOOKUP('Données projet'!$B$16,Paramètres!$A$1:$I$89,3,0)*0.475*44/12</f>
        <v>0.85187406013296441</v>
      </c>
      <c r="FS197" s="21">
        <f>EXP(-LN(2)/2)*FS196+(1-EXP(-LN(2)/2))/(LN(2)/2)*FM197*FP197*VLOOKUP('Données projet'!$B$16,Paramètres!$A$1:$I$89,3,0)*0.475*44/12</f>
        <v>1.3848940908310139E-16</v>
      </c>
      <c r="FT197" s="22">
        <f t="shared" si="184"/>
        <v>7.4124069516908033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>
        <f>FZ197*VLOOKUP('Données projet'!$B$17,Paramètres!$A$1:$I$89,3,0)*VLOOKUP('Données projet'!$B$17,Paramètres!$A$1:$I$89,5,0)</f>
        <v>0</v>
      </c>
      <c r="GB197" s="13" t="e">
        <f t="shared" si="185"/>
        <v>#NUM!</v>
      </c>
      <c r="GC197" s="20" t="e">
        <f t="shared" si="186"/>
        <v>#NUM!</v>
      </c>
      <c r="GD197" s="59" t="e">
        <f t="shared" si="200"/>
        <v>#NUM!</v>
      </c>
      <c r="GE197" s="59">
        <f ca="1">AVERAGE(OFFSET($GD$3,0,0,'Données projet'!$E$17+1,1))-AVERAGE(OFFSET($H$3,0,0,'Données projet'!$E$17+1,1))</f>
        <v>153.43773674911449</v>
      </c>
      <c r="GF197" s="59">
        <f t="shared" ref="GF197:GF203" si="212">$GF$3</f>
        <v>235.49395036616602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8.6237673718803851</v>
      </c>
      <c r="GM197" s="21">
        <f>EXP(-LN(2)/25)*GM196+(1-EXP(-LN(2)/25))/(LN(2)/25)*Calculateur!GH197*Calculateur!GJ197*VLOOKUP('Données projet'!$B$17,Paramètres!$A$1:$I$89,3,0)*0.475*44/12</f>
        <v>2.0911989670939564</v>
      </c>
      <c r="GN197" s="21">
        <f>EXP(-LN(2)/2)*GN196+(1-EXP(-LN(2)/2))/(LN(2)/2)*GH197*GK197*VLOOKUP('Données projet'!$B$17,Paramètres!$A$1:$I$89,3,0)*0.475*44/12</f>
        <v>0</v>
      </c>
      <c r="GO197" s="21">
        <f t="shared" si="187"/>
        <v>10.714966338974342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5.6843418860808015E-14</v>
      </c>
      <c r="GV197" s="17">
        <f>GU197*VLOOKUP('Données projet'!$B$18,Paramètres!$A$1:$I$89,3,0)*VLOOKUP('Données projet'!$B$18,Paramètres!$A$1:$I$89,5,0)</f>
        <v>4.5224624045658861E-14</v>
      </c>
      <c r="GW197" s="13">
        <f t="shared" si="188"/>
        <v>7.4514601661523691E-13</v>
      </c>
      <c r="GX197" s="20">
        <f t="shared" si="189"/>
        <v>1.3765621991510601E-12</v>
      </c>
      <c r="GY197" s="59">
        <f t="shared" si="201"/>
        <v>293.33333333333468</v>
      </c>
      <c r="GZ197" s="59">
        <f ca="1">AVERAGE(OFFSET($GY$3,0,0,'Données projet'!$E$18+1,1))-AVERAGE(OFFSET($H$3,0,0,'Données projet'!$E$18+1,1))</f>
        <v>198.11534486400666</v>
      </c>
      <c r="HA197" s="59">
        <f t="shared" ref="HA197:HA203" si="213">$HA$3</f>
        <v>174.29856796517652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>
        <f>EXP(-LN(2)/35)*HG196+(1-EXP(-LN(2)/35))/(LN(2)/35)*HC197*HD197*VLOOKUP('Données projet'!$B$18,Paramètres!$A$1:$I$89,3,0)*0.475*44/12</f>
        <v>8.2479629794794462</v>
      </c>
      <c r="HH197" s="21">
        <f>EXP(-LN(2)/25)*HH196+(1-EXP(-LN(2)/25))/(LN(2)/25)*Calculateur!HC197*Calculateur!HE197*VLOOKUP('Données projet'!$B$18,Paramètres!$A$1:$I$89,3,0)*0.475*44/12</f>
        <v>1.0709839928090272</v>
      </c>
      <c r="HI197" s="21">
        <f>EXP(-LN(2)/2)*HI196+(1-EXP(-LN(2)/2))/(LN(2)/2)*HC197*HF197*VLOOKUP('Données projet'!$B$18,Paramètres!$A$1:$I$89,3,0)*0.475*44/12</f>
        <v>1.412591972647632E-16</v>
      </c>
      <c r="HJ197" s="22">
        <f t="shared" si="190"/>
        <v>9.3189469722884741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1.1368683772161603E-13</v>
      </c>
      <c r="O198" s="13">
        <f>N198*VLOOKUP('Données projet'!$B$9,Paramètres!$A$1:$I$89,3,0)*VLOOKUP('Données projet'!$B$9,Paramètres!$A$1:$I$89,5,0)</f>
        <v>6.7984728957526396E-14</v>
      </c>
      <c r="P198" s="13">
        <f t="shared" si="203"/>
        <v>1.0682447123141398E-12</v>
      </c>
      <c r="Q198" s="20">
        <f t="shared" si="162"/>
        <v>1.978932943548152E-12</v>
      </c>
      <c r="R198" s="59">
        <f t="shared" si="191"/>
        <v>293.3333333333353</v>
      </c>
      <c r="S198" s="59">
        <f ca="1">AVERAGE(OFFSET($R$3,0,0,'Données projet'!$E$9+1,1))-AVERAGE(OFFSET($H$3,0,0,'Données projet'!$E$9+1,1))</f>
        <v>295.19075440119076</v>
      </c>
      <c r="T198" s="59">
        <f t="shared" si="204"/>
        <v>173.0182327988216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20.379357142118231</v>
      </c>
      <c r="AA198" s="21">
        <f>EXP(-LN(2)/25)*AA197+(1-EXP(-LN(2)/25))/(LN(2)/25)*Calculateur!V198*Calculateur!X198*VLOOKUP('Données projet'!$B$9,Paramètres!$A$1:$I$89,3,0)*0.475*44/12</f>
        <v>4.7128965660785491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25.092253708196779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294.45857786714919</v>
      </c>
      <c r="AO198" s="59">
        <f t="shared" si="205"/>
        <v>221.9773436301067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18.810161326876369</v>
      </c>
      <c r="AV198" s="21">
        <f>EXP(-LN(2)/25)*AV197+(1-EXP(-LN(2)/25))/(LN(2)/25)*Calculateur!AQ198*Calculateur!AS198*VLOOKUP('Données projet'!$B$10,Paramètres!$A$1:$I$89,3,0)*0.475*44/12</f>
        <v>4.1459117658184423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22.956073092694812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179.44051550872138</v>
      </c>
      <c r="BJ198" s="59">
        <f t="shared" si="206"/>
        <v>272.9500808380069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9.6624692042246139</v>
      </c>
      <c r="BQ198" s="21">
        <f>EXP(-LN(2)/25)*BQ197+(1-EXP(-LN(2)/25))/(LN(2)/25)*Calculateur!BL198*Calculateur!BN198*VLOOKUP('Données projet'!$B$11,Paramètres!$A$1:$I$89,3,0)*0.475*44/12</f>
        <v>2.3245885958484562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11.987057800073071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-1.5961632016114892E-13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259.87681411271632</v>
      </c>
      <c r="CE198" s="59">
        <f t="shared" si="207"/>
        <v>191.8684235641158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33.4273128906162</v>
      </c>
      <c r="CL198" s="21">
        <f>EXP(-LN(2)/25)*CL197+(1-EXP(-LN(2)/25))/(LN(2)/25)*Calculateur!CG198*Calculateur!CI198*VLOOKUP('Données projet'!$B$12,Paramètres!$A$1:$I$89,3,0)*0.475*44/12</f>
        <v>7.8765932887024412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41.303906179318645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5.6843418860808015E-14</v>
      </c>
      <c r="CU198" s="17">
        <f>CT198*VLOOKUP('Données projet'!$B$13,Paramètres!$A$1:$I$89,3,0)*VLOOKUP('Données projet'!$B$13,Paramètres!$A$1:$I$89,5,0)</f>
        <v>4.5224624045658861E-14</v>
      </c>
      <c r="CV198" s="13">
        <f t="shared" si="173"/>
        <v>7.4514601661523691E-13</v>
      </c>
      <c r="CW198" s="20">
        <f t="shared" si="174"/>
        <v>1.3765621991510601E-12</v>
      </c>
      <c r="CX198" s="59">
        <f t="shared" si="196"/>
        <v>293.33333333333468</v>
      </c>
      <c r="CY198" s="59">
        <f ca="1">AVERAGE(OFFSET($CX$3,0,0,'Données projet'!$E$13+1,1))-AVERAGE(OFFSET($H$3,0,0,'Données projet'!$E$13+1,1))</f>
        <v>198.11534486400666</v>
      </c>
      <c r="CZ198" s="59">
        <f t="shared" si="208"/>
        <v>174.29856796517652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8.0862254562125262</v>
      </c>
      <c r="DG198" s="21">
        <f>EXP(-LN(2)/25)*DG197+(1-EXP(-LN(2)/25))/(LN(2)/25)*Calculateur!DB198*Calculateur!DD198*VLOOKUP('Données projet'!$B$13,Paramètres!$A$1:$I$89,3,0)*0.475*44/12</f>
        <v>1.041697879205064</v>
      </c>
      <c r="DH198" s="21">
        <f>EXP(-LN(2)/2)*DH197+(1-EXP(-LN(2)/2))/(LN(2)/2)*DB198*DE198*VLOOKUP('Données projet'!$B$13,Paramètres!$A$1:$I$89,3,0)*0.475*44/12</f>
        <v>9.9885336290882269E-17</v>
      </c>
      <c r="DI198" s="22">
        <f t="shared" si="175"/>
        <v>9.1279233354175897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-5.6843418860808015E-14</v>
      </c>
      <c r="DP198" s="17">
        <f>DO198*VLOOKUP('Données projet'!$B$14,Paramètres!$A$1:$I$89,3,0)*VLOOKUP('Données projet'!$B$14,Paramètres!$A$1:$I$89,5,0)</f>
        <v>-5.7639226724859328E-14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247.92503505485405</v>
      </c>
      <c r="DU198" s="59">
        <f t="shared" si="209"/>
        <v>148.26437652597514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45.153898953556897</v>
      </c>
      <c r="EB198" s="21">
        <f>EXP(-LN(2)/25)*EB197+(1-EXP(-LN(2)/25))/(LN(2)/25)*Calculateur!DW198*Calculateur!DY198*VLOOKUP('Données projet'!$B$14,Paramètres!$A$1:$I$89,3,0)*0.475*44/12</f>
        <v>18.653303198396479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63.807202151953376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-5.6843418860808015E-14</v>
      </c>
      <c r="EK198" s="17">
        <f>EJ198*VLOOKUP('Données projet'!$B$15,Paramètres!$A$1:$I$89,3,0)*VLOOKUP('Données projet'!$B$15,Paramètres!$A$1:$I$89,5,0)</f>
        <v>-5.4978954722173515E-14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232.99870507181964</v>
      </c>
      <c r="EP198" s="59">
        <f t="shared" si="210"/>
        <v>140.07662669226278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43.069872848008103</v>
      </c>
      <c r="EW198" s="21">
        <f>EXP(-LN(2)/25)*EW197+(1-EXP(-LN(2)/25))/(LN(2)/25)*Calculateur!ER198*Calculateur!ET198*VLOOKUP('Données projet'!$B$15,Paramètres!$A$1:$I$89,3,0)*0.475*44/12</f>
        <v>17.792381512316652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60.862254360324755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5.6843418860808015E-14</v>
      </c>
      <c r="FF198" s="17">
        <f>FE198*VLOOKUP('Données projet'!$B$16,Paramètres!$A$1:$I$89,3,0)*VLOOKUP('Données projet'!$B$16,Paramètres!$A$1:$I$89,5,0)</f>
        <v>4.4337866711430253E-14</v>
      </c>
      <c r="FG198" s="13">
        <f t="shared" si="182"/>
        <v>7.3222115536967035E-13</v>
      </c>
      <c r="FH198" s="20">
        <f t="shared" si="183"/>
        <v>1.3525069634579169E-12</v>
      </c>
      <c r="FI198" s="59">
        <f t="shared" si="199"/>
        <v>293.33333333333468</v>
      </c>
      <c r="FJ198" s="59">
        <f ca="1">AVERAGE(OFFSET($FI$3,0,0,'Données projet'!$E$16+1,1))-AVERAGE(OFFSET($H$3,0,0,'Données projet'!$E$16+1,1))</f>
        <v>193.47609744163839</v>
      </c>
      <c r="FK198" s="59">
        <f t="shared" si="211"/>
        <v>170.3221892406973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6.4318848430843358</v>
      </c>
      <c r="FR198" s="21">
        <f>EXP(-LN(2)/25)*FR197+(1-EXP(-LN(2)/25))/(LN(2)/25)*Calculateur!FM198*Calculateur!FO198*VLOOKUP('Données projet'!$B$16,Paramètres!$A$1:$I$89,3,0)*0.475*44/12</f>
        <v>0.82857951916051864</v>
      </c>
      <c r="FS198" s="21">
        <f>EXP(-LN(2)/2)*FS197+(1-EXP(-LN(2)/2))/(LN(2)/2)*FM198*FP198*VLOOKUP('Données projet'!$B$16,Paramètres!$A$1:$I$89,3,0)*0.475*44/12</f>
        <v>9.7926800285178843E-17</v>
      </c>
      <c r="FT198" s="22">
        <f t="shared" si="184"/>
        <v>7.2604643622448544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>
        <f>FZ198*VLOOKUP('Données projet'!$B$17,Paramètres!$A$1:$I$89,3,0)*VLOOKUP('Données projet'!$B$17,Paramètres!$A$1:$I$89,5,0)</f>
        <v>0</v>
      </c>
      <c r="GB198" s="13" t="e">
        <f t="shared" si="185"/>
        <v>#NUM!</v>
      </c>
      <c r="GC198" s="20" t="e">
        <f t="shared" si="186"/>
        <v>#NUM!</v>
      </c>
      <c r="GD198" s="59" t="e">
        <f t="shared" si="200"/>
        <v>#NUM!</v>
      </c>
      <c r="GE198" s="59">
        <f ca="1">AVERAGE(OFFSET($GD$3,0,0,'Données projet'!$E$17+1,1))-AVERAGE(OFFSET($H$3,0,0,'Données projet'!$E$17+1,1))</f>
        <v>153.43773674911449</v>
      </c>
      <c r="GF198" s="59">
        <f t="shared" si="212"/>
        <v>235.49395036616602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8.4546605536965274</v>
      </c>
      <c r="GM198" s="21">
        <f>EXP(-LN(2)/25)*GM197+(1-EXP(-LN(2)/25))/(LN(2)/25)*Calculateur!GH198*Calculateur!GJ198*VLOOKUP('Données projet'!$B$17,Paramètres!$A$1:$I$89,3,0)*0.475*44/12</f>
        <v>2.0340150213673978</v>
      </c>
      <c r="GN198" s="21">
        <f>EXP(-LN(2)/2)*GN197+(1-EXP(-LN(2)/2))/(LN(2)/2)*GH198*GK198*VLOOKUP('Données projet'!$B$17,Paramètres!$A$1:$I$89,3,0)*0.475*44/12</f>
        <v>0</v>
      </c>
      <c r="GO198" s="21">
        <f t="shared" si="187"/>
        <v>10.488675575063926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5.6843418860808015E-14</v>
      </c>
      <c r="GV198" s="17">
        <f>GU198*VLOOKUP('Données projet'!$B$18,Paramètres!$A$1:$I$89,3,0)*VLOOKUP('Données projet'!$B$18,Paramètres!$A$1:$I$89,5,0)</f>
        <v>4.5224624045658861E-14</v>
      </c>
      <c r="GW198" s="13">
        <f t="shared" si="188"/>
        <v>7.4514601661523691E-13</v>
      </c>
      <c r="GX198" s="20">
        <f t="shared" si="189"/>
        <v>1.3765621991510601E-12</v>
      </c>
      <c r="GY198" s="59">
        <f t="shared" si="201"/>
        <v>293.33333333333468</v>
      </c>
      <c r="GZ198" s="59">
        <f ca="1">AVERAGE(OFFSET($GY$3,0,0,'Données projet'!$E$18+1,1))-AVERAGE(OFFSET($H$3,0,0,'Données projet'!$E$18+1,1))</f>
        <v>198.11534486400666</v>
      </c>
      <c r="HA198" s="59">
        <f t="shared" si="213"/>
        <v>174.29856796517652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>
        <f>EXP(-LN(2)/35)*HG197+(1-EXP(-LN(2)/35))/(LN(2)/35)*HC198*HD198*VLOOKUP('Données projet'!$B$18,Paramètres!$A$1:$I$89,3,0)*0.475*44/12</f>
        <v>8.0862254562125262</v>
      </c>
      <c r="HH198" s="21">
        <f>EXP(-LN(2)/25)*HH197+(1-EXP(-LN(2)/25))/(LN(2)/25)*Calculateur!HC198*Calculateur!HE198*VLOOKUP('Données projet'!$B$18,Paramètres!$A$1:$I$89,3,0)*0.475*44/12</f>
        <v>1.041697879205064</v>
      </c>
      <c r="HI198" s="21">
        <f>EXP(-LN(2)/2)*HI197+(1-EXP(-LN(2)/2))/(LN(2)/2)*HC198*HF198*VLOOKUP('Données projet'!$B$18,Paramètres!$A$1:$I$89,3,0)*0.475*44/12</f>
        <v>9.9885336290882269E-17</v>
      </c>
      <c r="HJ198" s="22">
        <f t="shared" si="190"/>
        <v>9.1279233354175897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1.1368683772161603E-13</v>
      </c>
      <c r="O199" s="13">
        <f>N199*VLOOKUP('Données projet'!$B$9,Paramètres!$A$1:$I$89,3,0)*VLOOKUP('Données projet'!$B$9,Paramètres!$A$1:$I$89,5,0)</f>
        <v>6.7984728957526396E-14</v>
      </c>
      <c r="P199" s="13">
        <f t="shared" si="203"/>
        <v>1.0682447123141398E-12</v>
      </c>
      <c r="Q199" s="20">
        <f t="shared" si="162"/>
        <v>1.978932943548152E-12</v>
      </c>
      <c r="R199" s="59">
        <f t="shared" si="191"/>
        <v>293.3333333333353</v>
      </c>
      <c r="S199" s="59">
        <f ca="1">AVERAGE(OFFSET($R$3,0,0,'Données projet'!$E$9+1,1))-AVERAGE(OFFSET($H$3,0,0,'Données projet'!$E$9+1,1))</f>
        <v>295.19075440119076</v>
      </c>
      <c r="T199" s="59">
        <f t="shared" si="204"/>
        <v>173.0182327988216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19.97973037874177</v>
      </c>
      <c r="AA199" s="21">
        <f>EXP(-LN(2)/25)*AA198+(1-EXP(-LN(2)/25))/(LN(2)/25)*Calculateur!V199*Calculateur!X199*VLOOKUP('Données projet'!$B$9,Paramètres!$A$1:$I$89,3,0)*0.475*44/12</f>
        <v>4.5840221616386723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24.563752540380442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294.45857786714919</v>
      </c>
      <c r="AO199" s="59">
        <f t="shared" si="205"/>
        <v>221.9773436301067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18.44130553632186</v>
      </c>
      <c r="AV199" s="21">
        <f>EXP(-LN(2)/25)*AV198+(1-EXP(-LN(2)/25))/(LN(2)/25)*Calculateur!AQ199*Calculateur!AS199*VLOOKUP('Données projet'!$B$10,Paramètres!$A$1:$I$89,3,0)*0.475*44/12</f>
        <v>4.0325415905581128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22.473847126879974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179.44051550872138</v>
      </c>
      <c r="BJ199" s="59">
        <f t="shared" si="206"/>
        <v>272.9500808380069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9.4729940766540466</v>
      </c>
      <c r="BQ199" s="21">
        <f>EXP(-LN(2)/25)*BQ198+(1-EXP(-LN(2)/25))/(LN(2)/25)*Calculateur!BL199*Calculateur!BN199*VLOOKUP('Données projet'!$B$11,Paramètres!$A$1:$I$89,3,0)*0.475*44/12</f>
        <v>2.2610225984501788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11.734016675104225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-1.5961632016114892E-13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259.87681411271632</v>
      </c>
      <c r="CE199" s="59">
        <f t="shared" si="207"/>
        <v>191.8684235641158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32.77182367347887</v>
      </c>
      <c r="CL199" s="21">
        <f>EXP(-LN(2)/25)*CL198+(1-EXP(-LN(2)/25))/(LN(2)/25)*Calculateur!CG199*Calculateur!CI199*VLOOKUP('Données projet'!$B$12,Paramètres!$A$1:$I$89,3,0)*0.475*44/12</f>
        <v>7.6612074310108342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40.433031104489707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5.6843418860808015E-14</v>
      </c>
      <c r="CU199" s="17">
        <f>CT199*VLOOKUP('Données projet'!$B$13,Paramètres!$A$1:$I$89,3,0)*VLOOKUP('Données projet'!$B$13,Paramètres!$A$1:$I$89,5,0)</f>
        <v>4.5224624045658861E-14</v>
      </c>
      <c r="CV199" s="13">
        <f t="shared" si="173"/>
        <v>7.4514601661523691E-13</v>
      </c>
      <c r="CW199" s="20">
        <f t="shared" si="174"/>
        <v>1.3765621991510601E-12</v>
      </c>
      <c r="CX199" s="59">
        <f t="shared" si="196"/>
        <v>293.33333333333468</v>
      </c>
      <c r="CY199" s="59">
        <f ca="1">AVERAGE(OFFSET($CX$3,0,0,'Données projet'!$E$13+1,1))-AVERAGE(OFFSET($H$3,0,0,'Données projet'!$E$13+1,1))</f>
        <v>198.11534486400666</v>
      </c>
      <c r="CZ199" s="59">
        <f t="shared" si="208"/>
        <v>174.29856796517652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7.9276595071267213</v>
      </c>
      <c r="DG199" s="21">
        <f>EXP(-LN(2)/25)*DG198+(1-EXP(-LN(2)/25))/(LN(2)/25)*Calculateur!DB199*Calculateur!DD199*VLOOKUP('Données projet'!$B$13,Paramètres!$A$1:$I$89,3,0)*0.475*44/12</f>
        <v>1.0132125959176908</v>
      </c>
      <c r="DH199" s="21">
        <f>EXP(-LN(2)/2)*DH198+(1-EXP(-LN(2)/2))/(LN(2)/2)*DB199*DE199*VLOOKUP('Données projet'!$B$13,Paramètres!$A$1:$I$89,3,0)*0.475*44/12</f>
        <v>7.0629598632381602E-17</v>
      </c>
      <c r="DI199" s="22">
        <f t="shared" si="175"/>
        <v>8.9408721030444127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-5.6843418860808015E-14</v>
      </c>
      <c r="DP199" s="17">
        <f>DO199*VLOOKUP('Données projet'!$B$14,Paramètres!$A$1:$I$89,3,0)*VLOOKUP('Données projet'!$B$14,Paramètres!$A$1:$I$89,5,0)</f>
        <v>-5.7639226724859328E-14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247.92503505485405</v>
      </c>
      <c r="DU199" s="59">
        <f t="shared" si="209"/>
        <v>148.26437652597514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44.268458536236544</v>
      </c>
      <c r="EB199" s="21">
        <f>EXP(-LN(2)/25)*EB198+(1-EXP(-LN(2)/25))/(LN(2)/25)*Calculateur!DW199*Calculateur!DY199*VLOOKUP('Données projet'!$B$14,Paramètres!$A$1:$I$89,3,0)*0.475*44/12</f>
        <v>18.143227641501745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62.411686177738289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-5.6843418860808015E-14</v>
      </c>
      <c r="EK199" s="17">
        <f>EJ199*VLOOKUP('Données projet'!$B$15,Paramètres!$A$1:$I$89,3,0)*VLOOKUP('Données projet'!$B$15,Paramètres!$A$1:$I$89,5,0)</f>
        <v>-5.4978954722173515E-14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232.99870507181964</v>
      </c>
      <c r="EP199" s="59">
        <f t="shared" si="210"/>
        <v>140.07662669226278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42.225298911487151</v>
      </c>
      <c r="EW199" s="21">
        <f>EXP(-LN(2)/25)*EW198+(1-EXP(-LN(2)/25))/(LN(2)/25)*Calculateur!ER199*Calculateur!ET199*VLOOKUP('Données projet'!$B$15,Paramètres!$A$1:$I$89,3,0)*0.475*44/12</f>
        <v>17.305847904201674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59.531146815688828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5.6843418860808015E-14</v>
      </c>
      <c r="FF199" s="17">
        <f>FE199*VLOOKUP('Données projet'!$B$16,Paramètres!$A$1:$I$89,3,0)*VLOOKUP('Données projet'!$B$16,Paramètres!$A$1:$I$89,5,0)</f>
        <v>4.4337866711430253E-14</v>
      </c>
      <c r="FG199" s="13">
        <f t="shared" si="182"/>
        <v>7.3222115536967035E-13</v>
      </c>
      <c r="FH199" s="20">
        <f t="shared" si="183"/>
        <v>1.3525069634579169E-12</v>
      </c>
      <c r="FI199" s="59">
        <f t="shared" si="199"/>
        <v>293.33333333333468</v>
      </c>
      <c r="FJ199" s="59">
        <f ca="1">AVERAGE(OFFSET($FI$3,0,0,'Données projet'!$E$16+1,1))-AVERAGE(OFFSET($H$3,0,0,'Données projet'!$E$16+1,1))</f>
        <v>193.47609744163839</v>
      </c>
      <c r="FK199" s="59">
        <f t="shared" si="211"/>
        <v>170.3221892406973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6.3057595043738361</v>
      </c>
      <c r="FR199" s="21">
        <f>EXP(-LN(2)/25)*FR198+(1-EXP(-LN(2)/25))/(LN(2)/25)*Calculateur!FM199*Calculateur!FO199*VLOOKUP('Données projet'!$B$16,Paramètres!$A$1:$I$89,3,0)*0.475*44/12</f>
        <v>0.8059219686359711</v>
      </c>
      <c r="FS199" s="21">
        <f>EXP(-LN(2)/2)*FS198+(1-EXP(-LN(2)/2))/(LN(2)/2)*FM199*FP199*VLOOKUP('Données projet'!$B$16,Paramètres!$A$1:$I$89,3,0)*0.475*44/12</f>
        <v>6.9244704541550695E-17</v>
      </c>
      <c r="FT199" s="22">
        <f t="shared" si="184"/>
        <v>7.1116814730098072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>
        <f>FZ199*VLOOKUP('Données projet'!$B$17,Paramètres!$A$1:$I$89,3,0)*VLOOKUP('Données projet'!$B$17,Paramètres!$A$1:$I$89,5,0)</f>
        <v>0</v>
      </c>
      <c r="GB199" s="13" t="e">
        <f t="shared" si="185"/>
        <v>#NUM!</v>
      </c>
      <c r="GC199" s="20" t="e">
        <f t="shared" si="186"/>
        <v>#NUM!</v>
      </c>
      <c r="GD199" s="59" t="e">
        <f t="shared" si="200"/>
        <v>#NUM!</v>
      </c>
      <c r="GE199" s="59">
        <f ca="1">AVERAGE(OFFSET($GD$3,0,0,'Données projet'!$E$17+1,1))-AVERAGE(OFFSET($H$3,0,0,'Données projet'!$E$17+1,1))</f>
        <v>153.43773674911449</v>
      </c>
      <c r="GF199" s="59">
        <f t="shared" si="212"/>
        <v>235.49395036616602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8.2888698170722819</v>
      </c>
      <c r="GM199" s="21">
        <f>EXP(-LN(2)/25)*GM198+(1-EXP(-LN(2)/25))/(LN(2)/25)*Calculateur!GH199*Calculateur!GJ199*VLOOKUP('Données projet'!$B$17,Paramètres!$A$1:$I$89,3,0)*0.475*44/12</f>
        <v>1.9783947736439051</v>
      </c>
      <c r="GN199" s="21">
        <f>EXP(-LN(2)/2)*GN198+(1-EXP(-LN(2)/2))/(LN(2)/2)*GH199*GK199*VLOOKUP('Données projet'!$B$17,Paramètres!$A$1:$I$89,3,0)*0.475*44/12</f>
        <v>0</v>
      </c>
      <c r="GO199" s="21">
        <f t="shared" si="187"/>
        <v>10.267264590716188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5.6843418860808015E-14</v>
      </c>
      <c r="GV199" s="17">
        <f>GU199*VLOOKUP('Données projet'!$B$18,Paramètres!$A$1:$I$89,3,0)*VLOOKUP('Données projet'!$B$18,Paramètres!$A$1:$I$89,5,0)</f>
        <v>4.5224624045658861E-14</v>
      </c>
      <c r="GW199" s="13">
        <f t="shared" si="188"/>
        <v>7.4514601661523691E-13</v>
      </c>
      <c r="GX199" s="20">
        <f t="shared" si="189"/>
        <v>1.3765621991510601E-12</v>
      </c>
      <c r="GY199" s="59">
        <f t="shared" si="201"/>
        <v>293.33333333333468</v>
      </c>
      <c r="GZ199" s="59">
        <f ca="1">AVERAGE(OFFSET($GY$3,0,0,'Données projet'!$E$18+1,1))-AVERAGE(OFFSET($H$3,0,0,'Données projet'!$E$18+1,1))</f>
        <v>198.11534486400666</v>
      </c>
      <c r="HA199" s="59">
        <f t="shared" si="213"/>
        <v>174.29856796517652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>
        <f>EXP(-LN(2)/35)*HG198+(1-EXP(-LN(2)/35))/(LN(2)/35)*HC199*HD199*VLOOKUP('Données projet'!$B$18,Paramètres!$A$1:$I$89,3,0)*0.475*44/12</f>
        <v>7.9276595071267213</v>
      </c>
      <c r="HH199" s="21">
        <f>EXP(-LN(2)/25)*HH198+(1-EXP(-LN(2)/25))/(LN(2)/25)*Calculateur!HC199*Calculateur!HE199*VLOOKUP('Données projet'!$B$18,Paramètres!$A$1:$I$89,3,0)*0.475*44/12</f>
        <v>1.0132125959176908</v>
      </c>
      <c r="HI199" s="21">
        <f>EXP(-LN(2)/2)*HI198+(1-EXP(-LN(2)/2))/(LN(2)/2)*HC199*HF199*VLOOKUP('Données projet'!$B$18,Paramètres!$A$1:$I$89,3,0)*0.475*44/12</f>
        <v>7.0629598632381602E-17</v>
      </c>
      <c r="HJ199" s="22">
        <f t="shared" si="190"/>
        <v>8.9408721030444127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1.1368683772161603E-13</v>
      </c>
      <c r="O200" s="13">
        <f>N200*VLOOKUP('Données projet'!$B$9,Paramètres!$A$1:$I$89,3,0)*VLOOKUP('Données projet'!$B$9,Paramètres!$A$1:$I$89,5,0)</f>
        <v>6.7984728957526396E-14</v>
      </c>
      <c r="P200" s="13">
        <f t="shared" si="203"/>
        <v>1.0682447123141398E-12</v>
      </c>
      <c r="Q200" s="20">
        <f t="shared" si="162"/>
        <v>1.978932943548152E-12</v>
      </c>
      <c r="R200" s="59">
        <f t="shared" si="191"/>
        <v>293.3333333333353</v>
      </c>
      <c r="S200" s="59">
        <f ca="1">AVERAGE(OFFSET($R$3,0,0,'Données projet'!$E$9+1,1))-AVERAGE(OFFSET($H$3,0,0,'Données projet'!$E$9+1,1))</f>
        <v>295.19075440119076</v>
      </c>
      <c r="T200" s="59">
        <f t="shared" si="204"/>
        <v>173.0182327988216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19.587940052446864</v>
      </c>
      <c r="AA200" s="21">
        <f>EXP(-LN(2)/25)*AA199+(1-EXP(-LN(2)/25))/(LN(2)/25)*Calculateur!V200*Calculateur!X200*VLOOKUP('Données projet'!$B$9,Paramètres!$A$1:$I$89,3,0)*0.475*44/12</f>
        <v>4.4586718345654139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24.046611887012279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294.45857786714919</v>
      </c>
      <c r="AO200" s="59">
        <f t="shared" si="205"/>
        <v>221.9773436301067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18.079682782840308</v>
      </c>
      <c r="AV200" s="21">
        <f>EXP(-LN(2)/25)*AV199+(1-EXP(-LN(2)/25))/(LN(2)/25)*Calculateur!AQ200*Calculateur!AS200*VLOOKUP('Données projet'!$B$10,Paramètres!$A$1:$I$89,3,0)*0.475*44/12</f>
        <v>3.9222715287021552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22.001954311542463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179.44051550872138</v>
      </c>
      <c r="BJ200" s="59">
        <f t="shared" si="206"/>
        <v>272.9500808380069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9.2872344407667224</v>
      </c>
      <c r="BQ200" s="21">
        <f>EXP(-LN(2)/25)*BQ199+(1-EXP(-LN(2)/25))/(LN(2)/25)*Calculateur!BL200*Calculateur!BN200*VLOOKUP('Données projet'!$B$11,Paramètres!$A$1:$I$89,3,0)*0.475*44/12</f>
        <v>2.1991948165935478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11.486429257360271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-1.5961632016114892E-13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259.87681411271632</v>
      </c>
      <c r="CE200" s="59">
        <f t="shared" si="207"/>
        <v>191.8684235641158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32.129188200080655</v>
      </c>
      <c r="CL200" s="21">
        <f>EXP(-LN(2)/25)*CL199+(1-EXP(-LN(2)/25))/(LN(2)/25)*Calculateur!CG200*Calculateur!CI200*VLOOKUP('Données projet'!$B$12,Paramètres!$A$1:$I$89,3,0)*0.475*44/12</f>
        <v>7.4517113109244537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39.580899511005107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5.6843418860808015E-14</v>
      </c>
      <c r="CU200" s="17">
        <f>CT200*VLOOKUP('Données projet'!$B$13,Paramètres!$A$1:$I$89,3,0)*VLOOKUP('Données projet'!$B$13,Paramètres!$A$1:$I$89,5,0)</f>
        <v>4.5224624045658861E-14</v>
      </c>
      <c r="CV200" s="13">
        <f t="shared" si="173"/>
        <v>7.4514601661523691E-13</v>
      </c>
      <c r="CW200" s="20">
        <f t="shared" si="174"/>
        <v>1.3765621991510601E-12</v>
      </c>
      <c r="CX200" s="59">
        <f t="shared" si="196"/>
        <v>293.33333333333468</v>
      </c>
      <c r="CY200" s="59">
        <f ca="1">AVERAGE(OFFSET($CX$3,0,0,'Données projet'!$E$13+1,1))-AVERAGE(OFFSET($H$3,0,0,'Données projet'!$E$13+1,1))</f>
        <v>198.11534486400666</v>
      </c>
      <c r="CZ200" s="59">
        <f t="shared" si="208"/>
        <v>174.29856796517652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7.7722029395868102</v>
      </c>
      <c r="DG200" s="21">
        <f>EXP(-LN(2)/25)*DG199+(1-EXP(-LN(2)/25))/(LN(2)/25)*Calculateur!DB200*Calculateur!DD200*VLOOKUP('Données projet'!$B$13,Paramètres!$A$1:$I$89,3,0)*0.475*44/12</f>
        <v>0.98550624419978683</v>
      </c>
      <c r="DH200" s="21">
        <f>EXP(-LN(2)/2)*DH199+(1-EXP(-LN(2)/2))/(LN(2)/2)*DB200*DE200*VLOOKUP('Données projet'!$B$13,Paramètres!$A$1:$I$89,3,0)*0.475*44/12</f>
        <v>4.9942668145441134E-17</v>
      </c>
      <c r="DI200" s="22">
        <f t="shared" si="175"/>
        <v>8.7577091837865968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-5.6843418860808015E-14</v>
      </c>
      <c r="DP200" s="17">
        <f>DO200*VLOOKUP('Données projet'!$B$14,Paramètres!$A$1:$I$89,3,0)*VLOOKUP('Données projet'!$B$14,Paramètres!$A$1:$I$89,5,0)</f>
        <v>-5.7639226724859328E-14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247.92503505485405</v>
      </c>
      <c r="DU200" s="59">
        <f t="shared" si="209"/>
        <v>148.26437652597514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43.400381065434516</v>
      </c>
      <c r="EB200" s="21">
        <f>EXP(-LN(2)/25)*EB199+(1-EXP(-LN(2)/25))/(LN(2)/25)*Calculateur!DW200*Calculateur!DY200*VLOOKUP('Données projet'!$B$14,Paramètres!$A$1:$I$89,3,0)*0.475*44/12</f>
        <v>17.647100127534006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61.047481192968519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-5.6843418860808015E-14</v>
      </c>
      <c r="EK200" s="17">
        <f>EJ200*VLOOKUP('Données projet'!$B$15,Paramètres!$A$1:$I$89,3,0)*VLOOKUP('Données projet'!$B$15,Paramètres!$A$1:$I$89,5,0)</f>
        <v>-5.4978954722173515E-14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232.99870507181964</v>
      </c>
      <c r="EP200" s="59">
        <f t="shared" si="210"/>
        <v>140.07662669226278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41.397286554722143</v>
      </c>
      <c r="EW200" s="21">
        <f>EXP(-LN(2)/25)*EW199+(1-EXP(-LN(2)/25))/(LN(2)/25)*Calculateur!ER200*Calculateur!ET200*VLOOKUP('Données projet'!$B$15,Paramètres!$A$1:$I$89,3,0)*0.475*44/12</f>
        <v>16.832618583186292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58.229905137908432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5.6843418860808015E-14</v>
      </c>
      <c r="FF200" s="17">
        <f>FE200*VLOOKUP('Données projet'!$B$16,Paramètres!$A$1:$I$89,3,0)*VLOOKUP('Données projet'!$B$16,Paramètres!$A$1:$I$89,5,0)</f>
        <v>4.4337866711430253E-14</v>
      </c>
      <c r="FG200" s="13">
        <f t="shared" si="182"/>
        <v>7.3222115536967035E-13</v>
      </c>
      <c r="FH200" s="20">
        <f t="shared" si="183"/>
        <v>1.3525069634579169E-12</v>
      </c>
      <c r="FI200" s="59">
        <f t="shared" si="199"/>
        <v>293.33333333333468</v>
      </c>
      <c r="FJ200" s="59">
        <f ca="1">AVERAGE(OFFSET($FI$3,0,0,'Données projet'!$E$16+1,1))-AVERAGE(OFFSET($H$3,0,0,'Données projet'!$E$16+1,1))</f>
        <v>193.47609744163839</v>
      </c>
      <c r="FK200" s="59">
        <f t="shared" si="211"/>
        <v>170.3221892406973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6.1821074066265886</v>
      </c>
      <c r="FR200" s="21">
        <f>EXP(-LN(2)/25)*FR199+(1-EXP(-LN(2)/25))/(LN(2)/25)*Calculateur!FM200*Calculateur!FO200*VLOOKUP('Données projet'!$B$16,Paramètres!$A$1:$I$89,3,0)*0.475*44/12</f>
        <v>0.78388399002202613</v>
      </c>
      <c r="FS200" s="21">
        <f>EXP(-LN(2)/2)*FS199+(1-EXP(-LN(2)/2))/(LN(2)/2)*FM200*FP200*VLOOKUP('Données projet'!$B$16,Paramètres!$A$1:$I$89,3,0)*0.475*44/12</f>
        <v>4.8963400142589421E-17</v>
      </c>
      <c r="FT200" s="22">
        <f t="shared" si="184"/>
        <v>6.9659913966486151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>
        <f>FZ200*VLOOKUP('Données projet'!$B$17,Paramètres!$A$1:$I$89,3,0)*VLOOKUP('Données projet'!$B$17,Paramètres!$A$1:$I$89,5,0)</f>
        <v>0</v>
      </c>
      <c r="GB200" s="13" t="e">
        <f t="shared" si="185"/>
        <v>#NUM!</v>
      </c>
      <c r="GC200" s="20" t="e">
        <f t="shared" si="186"/>
        <v>#NUM!</v>
      </c>
      <c r="GD200" s="59" t="e">
        <f t="shared" si="200"/>
        <v>#NUM!</v>
      </c>
      <c r="GE200" s="59">
        <f ca="1">AVERAGE(OFFSET($GD$3,0,0,'Données projet'!$E$17+1,1))-AVERAGE(OFFSET($H$3,0,0,'Données projet'!$E$17+1,1))</f>
        <v>153.43773674911449</v>
      </c>
      <c r="GF200" s="59">
        <f t="shared" si="212"/>
        <v>235.49395036616602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8.126330135670873</v>
      </c>
      <c r="GM200" s="21">
        <f>EXP(-LN(2)/25)*GM199+(1-EXP(-LN(2)/25))/(LN(2)/25)*Calculateur!GH200*Calculateur!GJ200*VLOOKUP('Données projet'!$B$17,Paramètres!$A$1:$I$89,3,0)*0.475*44/12</f>
        <v>1.9242954645193531</v>
      </c>
      <c r="GN200" s="21">
        <f>EXP(-LN(2)/2)*GN199+(1-EXP(-LN(2)/2))/(LN(2)/2)*GH200*GK200*VLOOKUP('Données projet'!$B$17,Paramètres!$A$1:$I$89,3,0)*0.475*44/12</f>
        <v>0</v>
      </c>
      <c r="GO200" s="21">
        <f t="shared" si="187"/>
        <v>10.050625600190227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5.6843418860808015E-14</v>
      </c>
      <c r="GV200" s="17">
        <f>GU200*VLOOKUP('Données projet'!$B$18,Paramètres!$A$1:$I$89,3,0)*VLOOKUP('Données projet'!$B$18,Paramètres!$A$1:$I$89,5,0)</f>
        <v>4.5224624045658861E-14</v>
      </c>
      <c r="GW200" s="13">
        <f t="shared" si="188"/>
        <v>7.4514601661523691E-13</v>
      </c>
      <c r="GX200" s="20">
        <f t="shared" si="189"/>
        <v>1.3765621991510601E-12</v>
      </c>
      <c r="GY200" s="59">
        <f t="shared" si="201"/>
        <v>293.33333333333468</v>
      </c>
      <c r="GZ200" s="59">
        <f ca="1">AVERAGE(OFFSET($GY$3,0,0,'Données projet'!$E$18+1,1))-AVERAGE(OFFSET($H$3,0,0,'Données projet'!$E$18+1,1))</f>
        <v>198.11534486400666</v>
      </c>
      <c r="HA200" s="59">
        <f t="shared" si="213"/>
        <v>174.29856796517652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>
        <f>EXP(-LN(2)/35)*HG199+(1-EXP(-LN(2)/35))/(LN(2)/35)*HC200*HD200*VLOOKUP('Données projet'!$B$18,Paramètres!$A$1:$I$89,3,0)*0.475*44/12</f>
        <v>7.7722029395868102</v>
      </c>
      <c r="HH200" s="21">
        <f>EXP(-LN(2)/25)*HH199+(1-EXP(-LN(2)/25))/(LN(2)/25)*Calculateur!HC200*Calculateur!HE200*VLOOKUP('Données projet'!$B$18,Paramètres!$A$1:$I$89,3,0)*0.475*44/12</f>
        <v>0.98550624419978683</v>
      </c>
      <c r="HI200" s="21">
        <f>EXP(-LN(2)/2)*HI199+(1-EXP(-LN(2)/2))/(LN(2)/2)*HC200*HF200*VLOOKUP('Données projet'!$B$18,Paramètres!$A$1:$I$89,3,0)*0.475*44/12</f>
        <v>4.9942668145441134E-17</v>
      </c>
      <c r="HJ200" s="22">
        <f t="shared" si="190"/>
        <v>8.7577091837865968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1.1368683772161603E-13</v>
      </c>
      <c r="O201" s="13">
        <f>N201*VLOOKUP('Données projet'!$B$9,Paramètres!$A$1:$I$89,3,0)*VLOOKUP('Données projet'!$B$9,Paramètres!$A$1:$I$89,5,0)</f>
        <v>6.7984728957526396E-14</v>
      </c>
      <c r="P201" s="13">
        <f t="shared" si="203"/>
        <v>1.0682447123141398E-12</v>
      </c>
      <c r="Q201" s="20">
        <f t="shared" si="162"/>
        <v>1.978932943548152E-12</v>
      </c>
      <c r="R201" s="59">
        <f t="shared" si="191"/>
        <v>293.3333333333353</v>
      </c>
      <c r="S201" s="59">
        <f ca="1">AVERAGE(OFFSET($R$3,0,0,'Données projet'!$E$9+1,1))-AVERAGE(OFFSET($H$3,0,0,'Données projet'!$E$9+1,1))</f>
        <v>295.19075440119076</v>
      </c>
      <c r="T201" s="59">
        <f t="shared" si="204"/>
        <v>173.0182327988216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19.2038324954821</v>
      </c>
      <c r="AA201" s="21">
        <f>EXP(-LN(2)/25)*AA200+(1-EXP(-LN(2)/25))/(LN(2)/25)*Calculateur!V201*Calculateur!X201*VLOOKUP('Données projet'!$B$9,Paramètres!$A$1:$I$89,3,0)*0.475*44/12</f>
        <v>4.3367492187778609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23.540581714259961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294.45857786714919</v>
      </c>
      <c r="AO201" s="59">
        <f t="shared" si="205"/>
        <v>221.9773436301067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17.72515123098643</v>
      </c>
      <c r="AV201" s="21">
        <f>EXP(-LN(2)/25)*AV200+(1-EXP(-LN(2)/25))/(LN(2)/25)*Calculateur!AQ201*Calculateur!AS201*VLOOKUP('Données projet'!$B$10,Paramètres!$A$1:$I$89,3,0)*0.475*44/12</f>
        <v>3.8150168074864994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21.540168038472931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179.44051550872138</v>
      </c>
      <c r="BJ201" s="59">
        <f t="shared" si="206"/>
        <v>272.9500808380069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9.1051174380369577</v>
      </c>
      <c r="BQ201" s="21">
        <f>EXP(-LN(2)/25)*BQ200+(1-EXP(-LN(2)/25))/(LN(2)/25)*Calculateur!BL201*Calculateur!BN201*VLOOKUP('Données projet'!$B$11,Paramètres!$A$1:$I$89,3,0)*0.475*44/12</f>
        <v>2.1390577186831683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11.244175156720125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-1.5961632016114892E-13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259.87681411271632</v>
      </c>
      <c r="CE201" s="59">
        <f t="shared" si="207"/>
        <v>191.8684235641158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31.499154416346844</v>
      </c>
      <c r="CL201" s="21">
        <f>EXP(-LN(2)/25)*CL200+(1-EXP(-LN(2)/25))/(LN(2)/25)*Calculateur!CG201*Calculateur!CI201*VLOOKUP('Données projet'!$B$12,Paramètres!$A$1:$I$89,3,0)*0.475*44/12</f>
        <v>7.247943873258758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38.747098289605603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5.6843418860808015E-14</v>
      </c>
      <c r="CU201" s="17">
        <f>CT201*VLOOKUP('Données projet'!$B$13,Paramètres!$A$1:$I$89,3,0)*VLOOKUP('Données projet'!$B$13,Paramètres!$A$1:$I$89,5,0)</f>
        <v>4.5224624045658861E-14</v>
      </c>
      <c r="CV201" s="13">
        <f t="shared" si="173"/>
        <v>7.4514601661523691E-13</v>
      </c>
      <c r="CW201" s="20">
        <f t="shared" si="174"/>
        <v>1.3765621991510601E-12</v>
      </c>
      <c r="CX201" s="59">
        <f t="shared" si="196"/>
        <v>293.33333333333468</v>
      </c>
      <c r="CY201" s="59">
        <f ca="1">AVERAGE(OFFSET($CX$3,0,0,'Données projet'!$E$13+1,1))-AVERAGE(OFFSET($H$3,0,0,'Données projet'!$E$13+1,1))</f>
        <v>198.11534486400666</v>
      </c>
      <c r="CZ201" s="59">
        <f t="shared" si="208"/>
        <v>174.29856796517652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7.6197947805172133</v>
      </c>
      <c r="DG201" s="21">
        <f>EXP(-LN(2)/25)*DG200+(1-EXP(-LN(2)/25))/(LN(2)/25)*Calculateur!DB201*Calculateur!DD201*VLOOKUP('Données projet'!$B$13,Paramètres!$A$1:$I$89,3,0)*0.475*44/12</f>
        <v>0.95855752412662265</v>
      </c>
      <c r="DH201" s="21">
        <f>EXP(-LN(2)/2)*DH200+(1-EXP(-LN(2)/2))/(LN(2)/2)*DB201*DE201*VLOOKUP('Données projet'!$B$13,Paramètres!$A$1:$I$89,3,0)*0.475*44/12</f>
        <v>3.5314799316190801E-17</v>
      </c>
      <c r="DI201" s="22">
        <f t="shared" si="175"/>
        <v>8.5783523046438361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-5.6843418860808015E-14</v>
      </c>
      <c r="DP201" s="17">
        <f>DO201*VLOOKUP('Données projet'!$B$14,Paramètres!$A$1:$I$89,3,0)*VLOOKUP('Données projet'!$B$14,Paramètres!$A$1:$I$89,5,0)</f>
        <v>-5.7639226724859328E-14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247.92503505485405</v>
      </c>
      <c r="DU201" s="59">
        <f t="shared" si="209"/>
        <v>148.26437652597514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42.549326064359938</v>
      </c>
      <c r="EB201" s="21">
        <f>EXP(-LN(2)/25)*EB200+(1-EXP(-LN(2)/25))/(LN(2)/25)*Calculateur!DW201*Calculateur!DY201*VLOOKUP('Données projet'!$B$14,Paramètres!$A$1:$I$89,3,0)*0.475*44/12</f>
        <v>17.164539246525926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59.713865310885865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-5.6843418860808015E-14</v>
      </c>
      <c r="EK201" s="17">
        <f>EJ201*VLOOKUP('Données projet'!$B$15,Paramètres!$A$1:$I$89,3,0)*VLOOKUP('Données projet'!$B$15,Paramètres!$A$1:$I$89,5,0)</f>
        <v>-5.4978954722173515E-14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232.99870507181964</v>
      </c>
      <c r="EP201" s="59">
        <f t="shared" si="210"/>
        <v>140.07662669226278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40.585511015235625</v>
      </c>
      <c r="EW201" s="21">
        <f>EXP(-LN(2)/25)*EW200+(1-EXP(-LN(2)/25))/(LN(2)/25)*Calculateur!ER201*Calculateur!ET201*VLOOKUP('Données projet'!$B$15,Paramètres!$A$1:$I$89,3,0)*0.475*44/12</f>
        <v>16.372329742840122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56.957840758075747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5.6843418860808015E-14</v>
      </c>
      <c r="FF201" s="17">
        <f>FE201*VLOOKUP('Données projet'!$B$16,Paramètres!$A$1:$I$89,3,0)*VLOOKUP('Données projet'!$B$16,Paramètres!$A$1:$I$89,5,0)</f>
        <v>4.4337866711430253E-14</v>
      </c>
      <c r="FG201" s="13">
        <f t="shared" si="182"/>
        <v>7.3222115536967035E-13</v>
      </c>
      <c r="FH201" s="20">
        <f t="shared" si="183"/>
        <v>1.3525069634579169E-12</v>
      </c>
      <c r="FI201" s="59">
        <f t="shared" si="199"/>
        <v>293.33333333333468</v>
      </c>
      <c r="FJ201" s="59">
        <f ca="1">AVERAGE(OFFSET($FI$3,0,0,'Données projet'!$E$16+1,1))-AVERAGE(OFFSET($H$3,0,0,'Données projet'!$E$16+1,1))</f>
        <v>193.47609744163839</v>
      </c>
      <c r="FK201" s="59">
        <f t="shared" si="211"/>
        <v>170.3221892406973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6.0608800510958325</v>
      </c>
      <c r="FR201" s="21">
        <f>EXP(-LN(2)/25)*FR200+(1-EXP(-LN(2)/25))/(LN(2)/25)*Calculateur!FM201*Calculateur!FO201*VLOOKUP('Données projet'!$B$16,Paramètres!$A$1:$I$89,3,0)*0.475*44/12</f>
        <v>0.76244864109220634</v>
      </c>
      <c r="FS201" s="21">
        <f>EXP(-LN(2)/2)*FS200+(1-EXP(-LN(2)/2))/(LN(2)/2)*FM201*FP201*VLOOKUP('Données projet'!$B$16,Paramètres!$A$1:$I$89,3,0)*0.475*44/12</f>
        <v>3.4622352270775347E-17</v>
      </c>
      <c r="FT201" s="22">
        <f t="shared" si="184"/>
        <v>6.8233286921880385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>
        <f>FZ201*VLOOKUP('Données projet'!$B$17,Paramètres!$A$1:$I$89,3,0)*VLOOKUP('Données projet'!$B$17,Paramètres!$A$1:$I$89,5,0)</f>
        <v>0</v>
      </c>
      <c r="GB201" s="13" t="e">
        <f t="shared" si="185"/>
        <v>#NUM!</v>
      </c>
      <c r="GC201" s="20" t="e">
        <f t="shared" si="186"/>
        <v>#NUM!</v>
      </c>
      <c r="GD201" s="59" t="e">
        <f t="shared" si="200"/>
        <v>#NUM!</v>
      </c>
      <c r="GE201" s="59">
        <f ca="1">AVERAGE(OFFSET($GD$3,0,0,'Données projet'!$E$17+1,1))-AVERAGE(OFFSET($H$3,0,0,'Données projet'!$E$17+1,1))</f>
        <v>153.43773674911449</v>
      </c>
      <c r="GF201" s="59">
        <f t="shared" si="212"/>
        <v>235.49395036616602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7.9669777582823293</v>
      </c>
      <c r="GM201" s="21">
        <f>EXP(-LN(2)/25)*GM200+(1-EXP(-LN(2)/25))/(LN(2)/25)*Calculateur!GH201*Calculateur!GJ201*VLOOKUP('Données projet'!$B$17,Paramètres!$A$1:$I$89,3,0)*0.475*44/12</f>
        <v>1.8716755038477708</v>
      </c>
      <c r="GN201" s="21">
        <f>EXP(-LN(2)/2)*GN200+(1-EXP(-LN(2)/2))/(LN(2)/2)*GH201*GK201*VLOOKUP('Données projet'!$B$17,Paramètres!$A$1:$I$89,3,0)*0.475*44/12</f>
        <v>0</v>
      </c>
      <c r="GO201" s="21">
        <f t="shared" si="187"/>
        <v>9.8386532621300997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5.6843418860808015E-14</v>
      </c>
      <c r="GV201" s="17">
        <f>GU201*VLOOKUP('Données projet'!$B$18,Paramètres!$A$1:$I$89,3,0)*VLOOKUP('Données projet'!$B$18,Paramètres!$A$1:$I$89,5,0)</f>
        <v>4.5224624045658861E-14</v>
      </c>
      <c r="GW201" s="13">
        <f t="shared" si="188"/>
        <v>7.4514601661523691E-13</v>
      </c>
      <c r="GX201" s="20">
        <f t="shared" si="189"/>
        <v>1.3765621991510601E-12</v>
      </c>
      <c r="GY201" s="59">
        <f t="shared" si="201"/>
        <v>293.33333333333468</v>
      </c>
      <c r="GZ201" s="59">
        <f ca="1">AVERAGE(OFFSET($GY$3,0,0,'Données projet'!$E$18+1,1))-AVERAGE(OFFSET($H$3,0,0,'Données projet'!$E$18+1,1))</f>
        <v>198.11534486400666</v>
      </c>
      <c r="HA201" s="59">
        <f t="shared" si="213"/>
        <v>174.29856796517652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>
        <f>EXP(-LN(2)/35)*HG200+(1-EXP(-LN(2)/35))/(LN(2)/35)*HC201*HD201*VLOOKUP('Données projet'!$B$18,Paramètres!$A$1:$I$89,3,0)*0.475*44/12</f>
        <v>7.6197947805172133</v>
      </c>
      <c r="HH201" s="21">
        <f>EXP(-LN(2)/25)*HH200+(1-EXP(-LN(2)/25))/(LN(2)/25)*Calculateur!HC201*Calculateur!HE201*VLOOKUP('Données projet'!$B$18,Paramètres!$A$1:$I$89,3,0)*0.475*44/12</f>
        <v>0.95855752412662265</v>
      </c>
      <c r="HI201" s="21">
        <f>EXP(-LN(2)/2)*HI200+(1-EXP(-LN(2)/2))/(LN(2)/2)*HC201*HF201*VLOOKUP('Données projet'!$B$18,Paramètres!$A$1:$I$89,3,0)*0.475*44/12</f>
        <v>3.5314799316190801E-17</v>
      </c>
      <c r="HJ201" s="22">
        <f t="shared" si="190"/>
        <v>8.5783523046438361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1.1368683772161603E-13</v>
      </c>
      <c r="O202" s="13">
        <f>N202*VLOOKUP('Données projet'!$B$9,Paramètres!$A$1:$I$89,3,0)*VLOOKUP('Données projet'!$B$9,Paramètres!$A$1:$I$89,5,0)</f>
        <v>6.7984728957526396E-14</v>
      </c>
      <c r="P202" s="13">
        <f t="shared" si="203"/>
        <v>1.0682447123141398E-12</v>
      </c>
      <c r="Q202" s="20">
        <f t="shared" si="162"/>
        <v>1.978932943548152E-12</v>
      </c>
      <c r="R202" s="59">
        <f t="shared" si="191"/>
        <v>293.3333333333353</v>
      </c>
      <c r="S202" s="59">
        <f ca="1">AVERAGE(OFFSET($R$3,0,0,'Données projet'!$E$9+1,1))-AVERAGE(OFFSET($H$3,0,0,'Données projet'!$E$9+1,1))</f>
        <v>295.19075440119076</v>
      </c>
      <c r="T202" s="59">
        <f t="shared" si="204"/>
        <v>173.0182327988216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18.827257053426937</v>
      </c>
      <c r="AA202" s="21">
        <f>EXP(-LN(2)/25)*AA201+(1-EXP(-LN(2)/25))/(LN(2)/25)*Calculateur!V202*Calculateur!X202*VLOOKUP('Données projet'!$B$9,Paramètres!$A$1:$I$89,3,0)*0.475*44/12</f>
        <v>4.2181605833306506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23.045417636757588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294.45857786714919</v>
      </c>
      <c r="AO202" s="59">
        <f t="shared" si="205"/>
        <v>221.9773436301067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17.377571826621512</v>
      </c>
      <c r="AV202" s="21">
        <f>EXP(-LN(2)/25)*AV201+(1-EXP(-LN(2)/25))/(LN(2)/25)*Calculateur!AQ202*Calculateur!AS202*VLOOKUP('Données projet'!$B$10,Paramètres!$A$1:$I$89,3,0)*0.475*44/12</f>
        <v>3.7106949722627665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21.088266798884277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179.44051550872138</v>
      </c>
      <c r="BJ202" s="59">
        <f t="shared" si="206"/>
        <v>272.9500808380069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8.9265716386503211</v>
      </c>
      <c r="BQ202" s="21">
        <f>EXP(-LN(2)/25)*BQ201+(1-EXP(-LN(2)/25))/(LN(2)/25)*Calculateur!BL202*Calculateur!BN202*VLOOKUP('Données projet'!$B$11,Paramètres!$A$1:$I$89,3,0)*0.475*44/12</f>
        <v>2.0805650728776204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11.007136711527941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-1.5961632016114892E-13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259.87681411271632</v>
      </c>
      <c r="CE202" s="59">
        <f t="shared" si="207"/>
        <v>191.8684235641158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30.88147521082939</v>
      </c>
      <c r="CL202" s="21">
        <f>EXP(-LN(2)/25)*CL201+(1-EXP(-LN(2)/25))/(LN(2)/25)*Calculateur!CG202*Calculateur!CI202*VLOOKUP('Données projet'!$B$12,Paramètres!$A$1:$I$89,3,0)*0.475*44/12</f>
        <v>7.0497484668916943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37.931223677721086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5.6843418860808015E-14</v>
      </c>
      <c r="CU202" s="17">
        <f>CT202*VLOOKUP('Données projet'!$B$13,Paramètres!$A$1:$I$89,3,0)*VLOOKUP('Données projet'!$B$13,Paramètres!$A$1:$I$89,5,0)</f>
        <v>4.5224624045658861E-14</v>
      </c>
      <c r="CV202" s="13">
        <f t="shared" si="173"/>
        <v>7.4514601661523691E-13</v>
      </c>
      <c r="CW202" s="20">
        <f t="shared" si="174"/>
        <v>1.3765621991510601E-12</v>
      </c>
      <c r="CX202" s="59">
        <f t="shared" si="196"/>
        <v>293.33333333333468</v>
      </c>
      <c r="CY202" s="59">
        <f ca="1">AVERAGE(OFFSET($CX$3,0,0,'Données projet'!$E$13+1,1))-AVERAGE(OFFSET($H$3,0,0,'Données projet'!$E$13+1,1))</f>
        <v>198.11534486400666</v>
      </c>
      <c r="CZ202" s="59">
        <f t="shared" si="208"/>
        <v>174.29856796517652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7.4703752524871732</v>
      </c>
      <c r="DG202" s="21">
        <f>EXP(-LN(2)/25)*DG201+(1-EXP(-LN(2)/25))/(LN(2)/25)*Calculateur!DB202*Calculateur!DD202*VLOOKUP('Données projet'!$B$13,Paramètres!$A$1:$I$89,3,0)*0.475*44/12</f>
        <v>0.93234571822103074</v>
      </c>
      <c r="DH202" s="21">
        <f>EXP(-LN(2)/2)*DH201+(1-EXP(-LN(2)/2))/(LN(2)/2)*DB202*DE202*VLOOKUP('Données projet'!$B$13,Paramètres!$A$1:$I$89,3,0)*0.475*44/12</f>
        <v>2.4971334072720567E-17</v>
      </c>
      <c r="DI202" s="22">
        <f t="shared" si="175"/>
        <v>8.402720970708204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-5.6843418860808015E-14</v>
      </c>
      <c r="DP202" s="17">
        <f>DO202*VLOOKUP('Données projet'!$B$14,Paramètres!$A$1:$I$89,3,0)*VLOOKUP('Données projet'!$B$14,Paramètres!$A$1:$I$89,5,0)</f>
        <v>-5.7639226724859328E-14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247.92503505485405</v>
      </c>
      <c r="DU202" s="59">
        <f t="shared" si="209"/>
        <v>148.26437652597514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41.714959732764143</v>
      </c>
      <c r="EB202" s="21">
        <f>EXP(-LN(2)/25)*EB201+(1-EXP(-LN(2)/25))/(LN(2)/25)*Calculateur!DW202*Calculateur!DY202*VLOOKUP('Données projet'!$B$14,Paramètres!$A$1:$I$89,3,0)*0.475*44/12</f>
        <v>16.695174018185785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58.410133750949925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-5.6843418860808015E-14</v>
      </c>
      <c r="EK202" s="17">
        <f>EJ202*VLOOKUP('Données projet'!$B$15,Paramètres!$A$1:$I$89,3,0)*VLOOKUP('Données projet'!$B$15,Paramètres!$A$1:$I$89,5,0)</f>
        <v>-5.4978954722173515E-14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232.99870507181964</v>
      </c>
      <c r="EP202" s="59">
        <f t="shared" si="210"/>
        <v>140.07662669226278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39.789653898944245</v>
      </c>
      <c r="EW202" s="21">
        <f>EXP(-LN(2)/25)*EW201+(1-EXP(-LN(2)/25))/(LN(2)/25)*Calculateur!ER202*Calculateur!ET202*VLOOKUP('Données projet'!$B$15,Paramètres!$A$1:$I$89,3,0)*0.475*44/12</f>
        <v>15.924627525038758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55.714281423983003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5.6843418860808015E-14</v>
      </c>
      <c r="FF202" s="17">
        <f>FE202*VLOOKUP('Données projet'!$B$16,Paramètres!$A$1:$I$89,3,0)*VLOOKUP('Données projet'!$B$16,Paramètres!$A$1:$I$89,5,0)</f>
        <v>4.4337866711430253E-14</v>
      </c>
      <c r="FG202" s="13">
        <f t="shared" si="182"/>
        <v>7.3222115536967035E-13</v>
      </c>
      <c r="FH202" s="20">
        <f t="shared" si="183"/>
        <v>1.3525069634579169E-12</v>
      </c>
      <c r="FI202" s="59">
        <f t="shared" si="199"/>
        <v>293.33333333333468</v>
      </c>
      <c r="FJ202" s="59">
        <f ca="1">AVERAGE(OFFSET($FI$3,0,0,'Données projet'!$E$16+1,1))-AVERAGE(OFFSET($H$3,0,0,'Données projet'!$E$16+1,1))</f>
        <v>193.47609744163839</v>
      </c>
      <c r="FK202" s="59">
        <f t="shared" si="211"/>
        <v>170.3221892406973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5.9420298900656485</v>
      </c>
      <c r="FR202" s="21">
        <f>EXP(-LN(2)/25)*FR201+(1-EXP(-LN(2)/25))/(LN(2)/25)*Calculateur!FM202*Calculateur!FO202*VLOOKUP('Données projet'!$B$16,Paramètres!$A$1:$I$89,3,0)*0.475*44/12</f>
        <v>0.74159944290610846</v>
      </c>
      <c r="FS202" s="21">
        <f>EXP(-LN(2)/2)*FS201+(1-EXP(-LN(2)/2))/(LN(2)/2)*FM202*FP202*VLOOKUP('Données projet'!$B$16,Paramètres!$A$1:$I$89,3,0)*0.475*44/12</f>
        <v>2.4481700071294711E-17</v>
      </c>
      <c r="FT202" s="22">
        <f t="shared" si="184"/>
        <v>6.6836293329717567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>
        <f>FZ202*VLOOKUP('Données projet'!$B$17,Paramètres!$A$1:$I$89,3,0)*VLOOKUP('Données projet'!$B$17,Paramètres!$A$1:$I$89,5,0)</f>
        <v>0</v>
      </c>
      <c r="GB202" s="13" t="e">
        <f t="shared" si="185"/>
        <v>#NUM!</v>
      </c>
      <c r="GC202" s="20" t="e">
        <f t="shared" si="186"/>
        <v>#NUM!</v>
      </c>
      <c r="GD202" s="59" t="e">
        <f t="shared" si="200"/>
        <v>#NUM!</v>
      </c>
      <c r="GE202" s="59">
        <f ca="1">AVERAGE(OFFSET($GD$3,0,0,'Données projet'!$E$17+1,1))-AVERAGE(OFFSET($H$3,0,0,'Données projet'!$E$17+1,1))</f>
        <v>153.43773674911449</v>
      </c>
      <c r="GF202" s="59">
        <f t="shared" si="212"/>
        <v>235.49395036616602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7.8107501838190219</v>
      </c>
      <c r="GM202" s="21">
        <f>EXP(-LN(2)/25)*GM201+(1-EXP(-LN(2)/25))/(LN(2)/25)*Calculateur!GH202*Calculateur!GJ202*VLOOKUP('Données projet'!$B$17,Paramètres!$A$1:$I$89,3,0)*0.475*44/12</f>
        <v>1.8204944387679165</v>
      </c>
      <c r="GN202" s="21">
        <f>EXP(-LN(2)/2)*GN201+(1-EXP(-LN(2)/2))/(LN(2)/2)*GH202*GK202*VLOOKUP('Données projet'!$B$17,Paramètres!$A$1:$I$89,3,0)*0.475*44/12</f>
        <v>0</v>
      </c>
      <c r="GO202" s="21">
        <f t="shared" si="187"/>
        <v>9.631244622586939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5.6843418860808015E-14</v>
      </c>
      <c r="GV202" s="17">
        <f>GU202*VLOOKUP('Données projet'!$B$18,Paramètres!$A$1:$I$89,3,0)*VLOOKUP('Données projet'!$B$18,Paramètres!$A$1:$I$89,5,0)</f>
        <v>4.5224624045658861E-14</v>
      </c>
      <c r="GW202" s="13">
        <f t="shared" si="188"/>
        <v>7.4514601661523691E-13</v>
      </c>
      <c r="GX202" s="20">
        <f t="shared" si="189"/>
        <v>1.3765621991510601E-12</v>
      </c>
      <c r="GY202" s="59">
        <f t="shared" si="201"/>
        <v>293.33333333333468</v>
      </c>
      <c r="GZ202" s="59">
        <f ca="1">AVERAGE(OFFSET($GY$3,0,0,'Données projet'!$E$18+1,1))-AVERAGE(OFFSET($H$3,0,0,'Données projet'!$E$18+1,1))</f>
        <v>198.11534486400666</v>
      </c>
      <c r="HA202" s="59">
        <f t="shared" si="213"/>
        <v>174.29856796517652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>
        <f>EXP(-LN(2)/35)*HG201+(1-EXP(-LN(2)/35))/(LN(2)/35)*HC202*HD202*VLOOKUP('Données projet'!$B$18,Paramètres!$A$1:$I$89,3,0)*0.475*44/12</f>
        <v>7.4703752524871732</v>
      </c>
      <c r="HH202" s="21">
        <f>EXP(-LN(2)/25)*HH201+(1-EXP(-LN(2)/25))/(LN(2)/25)*Calculateur!HC202*Calculateur!HE202*VLOOKUP('Données projet'!$B$18,Paramètres!$A$1:$I$89,3,0)*0.475*44/12</f>
        <v>0.93234571822103074</v>
      </c>
      <c r="HI202" s="21">
        <f>EXP(-LN(2)/2)*HI201+(1-EXP(-LN(2)/2))/(LN(2)/2)*HC202*HF202*VLOOKUP('Données projet'!$B$18,Paramètres!$A$1:$I$89,3,0)*0.475*44/12</f>
        <v>2.4971334072720567E-17</v>
      </c>
      <c r="HJ202" s="22">
        <f t="shared" si="190"/>
        <v>8.402720970708204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1.1368683772161603E-13</v>
      </c>
      <c r="O203" s="13">
        <f>N203*VLOOKUP('Données projet'!$B$9,Paramètres!$A$1:$I$89,3,0)*VLOOKUP('Données projet'!$B$9,Paramètres!$A$1:$I$89,5,0)</f>
        <v>6.7984728957526396E-14</v>
      </c>
      <c r="P203" s="13">
        <f t="shared" si="203"/>
        <v>1.0682447123141398E-12</v>
      </c>
      <c r="Q203" s="20">
        <f t="shared" si="162"/>
        <v>1.978932943548152E-12</v>
      </c>
      <c r="R203" s="59">
        <f t="shared" si="191"/>
        <v>293.3333333333353</v>
      </c>
      <c r="S203" s="59">
        <f ca="1">AVERAGE(OFFSET($R$3,0,0,'Données projet'!$E$9+1,1))-AVERAGE(OFFSET($H$3,0,0,'Données projet'!$E$9+1,1))</f>
        <v>295.19075440119076</v>
      </c>
      <c r="T203" s="59">
        <f t="shared" si="204"/>
        <v>173.0182327988216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18.458066026102138</v>
      </c>
      <c r="AA203" s="21">
        <f>EXP(-LN(2)/25)*AA202+(1-EXP(-LN(2)/25))/(LN(2)/25)*Calculateur!V203*Calculateur!X203*VLOOKUP('Données projet'!$B$9,Paramètres!$A$1:$I$89,3,0)*0.475*44/12</f>
        <v>4.1028147603560496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22.560880786458188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294.45857786714919</v>
      </c>
      <c r="AO203" s="59">
        <f t="shared" si="205"/>
        <v>221.9773436301067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17.036808242373688</v>
      </c>
      <c r="AV203" s="21">
        <f>EXP(-LN(2)/25)*AV202+(1-EXP(-LN(2)/25))/(LN(2)/25)*Calculateur!AQ203*Calculateur!AS203*VLOOKUP('Données projet'!$B$10,Paramètres!$A$1:$I$89,3,0)*0.475*44/12</f>
        <v>3.6092258231092735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20.646034065482961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179.44051550872138</v>
      </c>
      <c r="BJ203" s="59">
        <f t="shared" si="206"/>
        <v>272.9500808380069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8.7515270134874719</v>
      </c>
      <c r="BQ203" s="21">
        <f>EXP(-LN(2)/25)*BQ202+(1-EXP(-LN(2)/25))/(LN(2)/25)*Calculateur!BL203*Calculateur!BN203*VLOOKUP('Données projet'!$B$11,Paramètres!$A$1:$I$89,3,0)*0.475*44/12</f>
        <v>2.0236719115476198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10.775198925035092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-1.5961632016114892E-13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259.87681411271632</v>
      </c>
      <c r="CE203" s="59">
        <f t="shared" si="207"/>
        <v>191.8684235641158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30.275908317785021</v>
      </c>
      <c r="CL203" s="21">
        <f>EXP(-LN(2)/25)*CL202+(1-EXP(-LN(2)/25))/(LN(2)/25)*Calculateur!CG203*Calculateur!CI203*VLOOKUP('Données projet'!$B$12,Paramètres!$A$1:$I$89,3,0)*0.475*44/12</f>
        <v>6.8569727243343817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37.132881042119401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5.6843418860808015E-14</v>
      </c>
      <c r="CU203" s="17">
        <f>CT203*VLOOKUP('Données projet'!$B$13,Paramètres!$A$1:$I$89,3,0)*VLOOKUP('Données projet'!$B$13,Paramètres!$A$1:$I$89,5,0)</f>
        <v>4.5224624045658861E-14</v>
      </c>
      <c r="CV203" s="13">
        <f t="shared" si="173"/>
        <v>7.4514601661523691E-13</v>
      </c>
      <c r="CW203" s="20">
        <f t="shared" si="174"/>
        <v>1.3765621991510601E-12</v>
      </c>
      <c r="CX203" s="59">
        <f t="shared" si="196"/>
        <v>293.33333333333468</v>
      </c>
      <c r="CY203" s="59">
        <f ca="1">AVERAGE(OFFSET($CX$3,0,0,'Données projet'!$E$13+1,1))-AVERAGE(OFFSET($H$3,0,0,'Données projet'!$E$13+1,1))</f>
        <v>198.11534486400666</v>
      </c>
      <c r="CZ203" s="59">
        <f t="shared" si="208"/>
        <v>174.29856796517652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7.3238857502648891</v>
      </c>
      <c r="DG203" s="21">
        <f>EXP(-LN(2)/25)*DG202+(1-EXP(-LN(2)/25))/(LN(2)/25)*Calculateur!DB203*Calculateur!DD203*VLOOKUP('Données projet'!$B$13,Paramètres!$A$1:$I$89,3,0)*0.475*44/12</f>
        <v>0.90685067552634624</v>
      </c>
      <c r="DH203" s="21">
        <f>EXP(-LN(2)/2)*DH202+(1-EXP(-LN(2)/2))/(LN(2)/2)*DB203*DE203*VLOOKUP('Données projet'!$B$13,Paramètres!$A$1:$I$89,3,0)*0.475*44/12</f>
        <v>1.7657399658095401E-17</v>
      </c>
      <c r="DI203" s="22">
        <f t="shared" si="175"/>
        <v>8.2307364257912354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-5.6843418860808015E-14</v>
      </c>
      <c r="DP203" s="17">
        <f>DO203*VLOOKUP('Données projet'!$B$14,Paramètres!$A$1:$I$89,3,0)*VLOOKUP('Données projet'!$B$14,Paramètres!$A$1:$I$89,5,0)</f>
        <v>-5.7639226724859328E-14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247.92503505485405</v>
      </c>
      <c r="DU203" s="59">
        <f t="shared" si="209"/>
        <v>148.26437652597514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40.896954816017725</v>
      </c>
      <c r="EB203" s="21">
        <f>EXP(-LN(2)/25)*EB202+(1-EXP(-LN(2)/25))/(LN(2)/25)*Calculateur!DW203*Calculateur!DY203*VLOOKUP('Données projet'!$B$14,Paramètres!$A$1:$I$89,3,0)*0.475*44/12</f>
        <v>16.238643606697451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57.135598422715177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-5.6843418860808015E-14</v>
      </c>
      <c r="EK203" s="17">
        <f>EJ203*VLOOKUP('Données projet'!$B$15,Paramètres!$A$1:$I$89,3,0)*VLOOKUP('Données projet'!$B$15,Paramètres!$A$1:$I$89,5,0)</f>
        <v>-5.4978954722173515E-14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232.99870507181964</v>
      </c>
      <c r="EP203" s="59">
        <f t="shared" si="210"/>
        <v>140.07662669226278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39.009403055278433</v>
      </c>
      <c r="EW203" s="21">
        <f>EXP(-LN(2)/25)*EW202+(1-EXP(-LN(2)/25))/(LN(2)/25)*Calculateur!ER203*Calculateur!ET203*VLOOKUP('Données projet'!$B$15,Paramètres!$A$1:$I$89,3,0)*0.475*44/12</f>
        <v>15.489167747926809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54.49857080320524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5.6843418860808015E-14</v>
      </c>
      <c r="FF203" s="17">
        <f>FE203*VLOOKUP('Données projet'!$B$16,Paramètres!$A$1:$I$89,3,0)*VLOOKUP('Données projet'!$B$16,Paramètres!$A$1:$I$89,5,0)</f>
        <v>4.4337866711430253E-14</v>
      </c>
      <c r="FG203" s="13">
        <f t="shared" si="182"/>
        <v>7.3222115536967035E-13</v>
      </c>
      <c r="FH203" s="20">
        <f t="shared" si="183"/>
        <v>1.3525069634579169E-12</v>
      </c>
      <c r="FI203" s="59">
        <f t="shared" si="199"/>
        <v>293.33333333333468</v>
      </c>
      <c r="FJ203" s="59">
        <f ca="1">AVERAGE(OFFSET($FI$3,0,0,'Données projet'!$E$16+1,1))-AVERAGE(OFFSET($H$3,0,0,'Données projet'!$E$16+1,1))</f>
        <v>193.47609744163839</v>
      </c>
      <c r="FK203" s="59">
        <f t="shared" si="211"/>
        <v>170.3221892406973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5.8255103082018262</v>
      </c>
      <c r="FR203" s="21">
        <f>EXP(-LN(2)/25)*FR202+(1-EXP(-LN(2)/25))/(LN(2)/25)*Calculateur!FM203*Calculateur!FO203*VLOOKUP('Données projet'!$B$16,Paramètres!$A$1:$I$89,3,0)*0.475*44/12</f>
        <v>0.72132036714082115</v>
      </c>
      <c r="FS203" s="21">
        <f>EXP(-LN(2)/2)*FS202+(1-EXP(-LN(2)/2))/(LN(2)/2)*FM203*FP203*VLOOKUP('Données projet'!$B$16,Paramètres!$A$1:$I$89,3,0)*0.475*44/12</f>
        <v>1.7311176135387674E-17</v>
      </c>
      <c r="FT203" s="22">
        <f t="shared" si="184"/>
        <v>6.5468306753426475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>
        <f>FZ203*VLOOKUP('Données projet'!$B$17,Paramètres!$A$1:$I$89,3,0)*VLOOKUP('Données projet'!$B$17,Paramètres!$A$1:$I$89,5,0)</f>
        <v>0</v>
      </c>
      <c r="GB203" s="13" t="e">
        <f t="shared" si="185"/>
        <v>#NUM!</v>
      </c>
      <c r="GC203" s="20" t="e">
        <f t="shared" si="186"/>
        <v>#NUM!</v>
      </c>
      <c r="GD203" s="59" t="e">
        <f t="shared" si="200"/>
        <v>#NUM!</v>
      </c>
      <c r="GE203" s="59">
        <f ca="1">AVERAGE(OFFSET($GD$3,0,0,'Données projet'!$E$17+1,1))-AVERAGE(OFFSET($H$3,0,0,'Données projet'!$E$17+1,1))</f>
        <v>153.43773674911449</v>
      </c>
      <c r="GF203" s="59">
        <f t="shared" si="212"/>
        <v>235.49395036616602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7.6575861368015286</v>
      </c>
      <c r="GM203" s="21">
        <f>EXP(-LN(2)/25)*GM202+(1-EXP(-LN(2)/25))/(LN(2)/25)*Calculateur!GH203*Calculateur!GJ203*VLOOKUP('Données projet'!$B$17,Paramètres!$A$1:$I$89,3,0)*0.475*44/12</f>
        <v>1.770712922604166</v>
      </c>
      <c r="GN203" s="21">
        <f>EXP(-LN(2)/2)*GN202+(1-EXP(-LN(2)/2))/(LN(2)/2)*GH203*GK203*VLOOKUP('Données projet'!$B$17,Paramètres!$A$1:$I$89,3,0)*0.475*44/12</f>
        <v>0</v>
      </c>
      <c r="GO203" s="21">
        <f t="shared" si="187"/>
        <v>9.4282990594056955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5.6843418860808015E-14</v>
      </c>
      <c r="GV203" s="17">
        <f>GU203*VLOOKUP('Données projet'!$B$18,Paramètres!$A$1:$I$89,3,0)*VLOOKUP('Données projet'!$B$18,Paramètres!$A$1:$I$89,5,0)</f>
        <v>4.5224624045658861E-14</v>
      </c>
      <c r="GW203" s="13">
        <f t="shared" si="188"/>
        <v>7.4514601661523691E-13</v>
      </c>
      <c r="GX203" s="20">
        <f t="shared" si="189"/>
        <v>1.3765621991510601E-12</v>
      </c>
      <c r="GY203" s="59">
        <f t="shared" si="201"/>
        <v>293.33333333333468</v>
      </c>
      <c r="GZ203" s="59">
        <f ca="1">AVERAGE(OFFSET($GY$3,0,0,'Données projet'!$E$18+1,1))-AVERAGE(OFFSET($H$3,0,0,'Données projet'!$E$18+1,1))</f>
        <v>198.11534486400666</v>
      </c>
      <c r="HA203" s="59">
        <f t="shared" si="213"/>
        <v>174.29856796517652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>
        <f>EXP(-LN(2)/35)*HG202+(1-EXP(-LN(2)/35))/(LN(2)/35)*HC203*HD203*VLOOKUP('Données projet'!$B$18,Paramètres!$A$1:$I$89,3,0)*0.475*44/12</f>
        <v>7.3238857502648891</v>
      </c>
      <c r="HH203" s="21">
        <f>EXP(-LN(2)/25)*HH202+(1-EXP(-LN(2)/25))/(LN(2)/25)*Calculateur!HC203*Calculateur!HE203*VLOOKUP('Données projet'!$B$18,Paramètres!$A$1:$I$89,3,0)*0.475*44/12</f>
        <v>0.90685067552634624</v>
      </c>
      <c r="HI203" s="21">
        <f>EXP(-LN(2)/2)*HI202+(1-EXP(-LN(2)/2))/(LN(2)/2)*HC203*HF203*VLOOKUP('Données projet'!$B$18,Paramètres!$A$1:$I$89,3,0)*0.475*44/12</f>
        <v>1.7657399658095401E-17</v>
      </c>
      <c r="HJ203" s="22">
        <f t="shared" si="190"/>
        <v>8.2307364257912354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1.226147171351889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1.244502252163008</v>
      </c>
      <c r="BA205" s="82">
        <f>EXP(LN('Données projet'!B88)/'Données projet'!A88)</f>
        <v>1.2997069632623315</v>
      </c>
      <c r="BV205" s="82">
        <f>EXP(LN('Données projet'!B114)/'Données projet'!A114)</f>
        <v>1.2880503926580862</v>
      </c>
      <c r="CQ205" s="82">
        <f>EXP(LN('Données projet'!B140)/'Données projet'!A140)</f>
        <v>1.2288386014896442</v>
      </c>
      <c r="DL205" s="82">
        <f>EXP(LN('Données projet'!B166)/'Données projet'!A166)</f>
        <v>1.1191358811422176</v>
      </c>
      <c r="EG205" s="82">
        <f>EXP(LN('Données projet'!B192)/'Données projet'!A192)</f>
        <v>1.1191358811422176</v>
      </c>
      <c r="FB205" s="82">
        <f>EXP(LN('Données projet'!B218)/'Données projet'!A218)</f>
        <v>1.2288386014896442</v>
      </c>
      <c r="FW205" s="82">
        <f>EXP(LN('Données projet'!B244)/'Données projet'!A244)</f>
        <v>1.2997069632623315</v>
      </c>
      <c r="GR205" s="82">
        <f>EXP(LN('Données projet'!B270)/'Données projet'!A270)</f>
        <v>1.2288386014896442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30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30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30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30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30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30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30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30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92" t="s">
        <v>271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laricio</v>
      </c>
      <c r="B6" s="146">
        <f>'Données projet'!D9</f>
        <v>1.0687500000000001</v>
      </c>
      <c r="C6" s="147">
        <f ca="1">IF(OR('Données projet'!B9="",'Données projet'!C9="",'Données projet'!C9=0%),0,Calculateur!S3)</f>
        <v>295.19075440119076</v>
      </c>
      <c r="D6" s="147">
        <f>IF(OR('Données projet'!B9="",'Données projet'!C9="",'Données projet'!C9=0%),0,Calculateur!T3)</f>
        <v>173.0182327988216</v>
      </c>
      <c r="E6" s="147">
        <f ca="1">MIN(C6,D6)</f>
        <v>173.0182327988216</v>
      </c>
      <c r="F6" s="147">
        <f ca="1">E6*B6</f>
        <v>184.9132363037406</v>
      </c>
      <c r="G6" s="147">
        <f ca="1">F6*(100%-'Données projet'!$C$24)*(100%-'Données projet'!$C$25)*(100%-'Données projet'!$C$26)*(100%-'Données projet'!$C$27)</f>
        <v>166.42191267336653</v>
      </c>
      <c r="H6" s="148">
        <f>IF(OR('Données projet'!B9="",'Données projet'!C9="",'Données projet'!C9=0%),0,AVERAGE(Calculateur!$AC$3:$AC$33)*B6)</f>
        <v>0.14716211346641592</v>
      </c>
      <c r="I6" s="149">
        <f>H6*(100%-'Données projet'!$C$24)*(100%-'Données projet'!$C$25)*(100%-'Données projet'!$C$26)*(100%-'Données projet'!$C$27)</f>
        <v>0.13244590211977433</v>
      </c>
      <c r="J6" s="150">
        <f>IF(OR('Données projet'!B9="",'Données projet'!C9="",'Données projet'!C9=0%),0,SUM(Calculateur!$V$3:$V$33)*VLOOKUP('Données projet'!$B$9,Paramètres!$A$1:$I$89,9,0)*B6)</f>
        <v>6.893437500000001</v>
      </c>
      <c r="K6" s="151">
        <f>J6*(100%-'Données projet'!$C$24)*(100%-'Données projet'!$C$25)*(100%-'Données projet'!$C$26)*(100%-'Données projet'!$C$27)</f>
        <v>6.2040937500000011</v>
      </c>
      <c r="L6" s="152">
        <f ca="1">G6+I6+K6</f>
        <v>172.7584523254863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Pin laricio</v>
      </c>
      <c r="B7" s="154">
        <f>'Données projet'!D10</f>
        <v>1.3509000000000002</v>
      </c>
      <c r="C7" s="147">
        <f ca="1">IF(OR('Données projet'!B10="",'Données projet'!C10="",'Données projet'!C10=0%),0,Calculateur!AN3)</f>
        <v>294.45857786714919</v>
      </c>
      <c r="D7" s="147">
        <f>IF(OR('Données projet'!B10="",'Données projet'!C10="",'Données projet'!C10=0%),0,Calculateur!AO3)</f>
        <v>221.9773436301067</v>
      </c>
      <c r="E7" s="147">
        <f t="shared" ref="E7:E15" ca="1" si="0">MIN(C7,D7)</f>
        <v>221.9773436301067</v>
      </c>
      <c r="F7" s="147">
        <f t="shared" ref="F7:F15" ca="1" si="1">E7*B7</f>
        <v>299.86919350991121</v>
      </c>
      <c r="G7" s="147">
        <f ca="1">F7*(100%-'Données projet'!$C$24)*(100%-'Données projet'!$C$25)*(100%-'Données projet'!$C$26)*(100%-'Données projet'!$C$27)</f>
        <v>269.8822741589201</v>
      </c>
      <c r="H7" s="155">
        <f>IF(OR('Données projet'!B10="",'Données projet'!C10="",'Données projet'!C10=0%),0,AVERAGE(Calculateur!$AX$3:$AX$33)*B7)</f>
        <v>0.52703658236105744</v>
      </c>
      <c r="I7" s="149">
        <f>H7*(100%-'Données projet'!$C$24)*(100%-'Données projet'!$C$25)*(100%-'Données projet'!$C$26)*(100%-'Données projet'!$C$27)</f>
        <v>0.4743329241249517</v>
      </c>
      <c r="J7" s="150">
        <f>IF(OR('Données projet'!B10="",'Données projet'!C10="",'Données projet'!C10=0%),0,SUM(Calculateur!$AQ$3:$AQ$33)*VLOOKUP('Données projet'!$B$10,Paramètres!$A$1:$I$89,9,0)*B7)</f>
        <v>38.919429000000001</v>
      </c>
      <c r="K7" s="151">
        <f>J7*(100%-'Données projet'!$C$24)*(100%-'Données projet'!$C$25)*(100%-'Données projet'!$C$26)*(100%-'Données projet'!$C$27)</f>
        <v>35.027486100000004</v>
      </c>
      <c r="L7" s="152">
        <f t="shared" ref="L7:L15" ca="1" si="2">G7+I7+K7</f>
        <v>305.38409318304502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Mélèze d'Europe</v>
      </c>
      <c r="B8" s="154">
        <f>'Données projet'!D11</f>
        <v>1.7784</v>
      </c>
      <c r="C8" s="147">
        <f ca="1">IF(OR('Données projet'!B11="",'Données projet'!C11="",'Données projet'!C11=0%),0,Calculateur!BI3)</f>
        <v>179.44051550872138</v>
      </c>
      <c r="D8" s="147">
        <f>IF(OR('Données projet'!B11="",'Données projet'!C11="",'Données projet'!C11=0%),0,Calculateur!BJ3)</f>
        <v>272.9500808380069</v>
      </c>
      <c r="E8" s="147">
        <f t="shared" ca="1" si="0"/>
        <v>179.44051550872138</v>
      </c>
      <c r="F8" s="147">
        <f t="shared" ca="1" si="1"/>
        <v>319.11701278071007</v>
      </c>
      <c r="G8" s="147">
        <f ca="1">F8*(100%-'Données projet'!$C$24)*(100%-'Données projet'!$C$25)*(100%-'Données projet'!$C$26)*(100%-'Données projet'!$C$27)</f>
        <v>287.20531150263906</v>
      </c>
      <c r="H8" s="155">
        <f>IF(OR('Données projet'!B11="",'Données projet'!C11="",'Données projet'!C11=0%),0,AVERAGE(Calculateur!$BS$3:$BS$33)*B8)</f>
        <v>19.630099807139317</v>
      </c>
      <c r="I8" s="149">
        <f>H8*(100%-'Données projet'!$C$24)*(100%-'Données projet'!$C$25)*(100%-'Données projet'!$C$26)*(100%-'Données projet'!$C$27)</f>
        <v>17.667089826425386</v>
      </c>
      <c r="J8" s="150">
        <f>IF(OR('Données projet'!B11="",'Données projet'!C11="",'Données projet'!C11=0%),0,SUM(Calculateur!$BL$3:$BL$33)*VLOOKUP('Données projet'!$B$11,Paramètres!$A$1:$I$89,9,0)*B8)</f>
        <v>97.883135999999993</v>
      </c>
      <c r="K8" s="151">
        <f>J8*(100%-'Données projet'!$C$24)*(100%-'Données projet'!$C$25)*(100%-'Données projet'!$C$26)*(100%-'Données projet'!$C$27)</f>
        <v>88.094822399999998</v>
      </c>
      <c r="L8" s="152">
        <f t="shared" ca="1" si="2"/>
        <v>392.96722372906447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Cèdre de l'Atlas</v>
      </c>
      <c r="B9" s="154">
        <f>'Données projet'!D12</f>
        <v>1.2996000000000001</v>
      </c>
      <c r="C9" s="147">
        <f ca="1">IF(OR('Données projet'!B12="",'Données projet'!C12="",'Données projet'!C12=0%),0,Calculateur!CD3)</f>
        <v>259.87681411271632</v>
      </c>
      <c r="D9" s="147">
        <f>IF(OR('Données projet'!B12="",'Données projet'!C12="",'Données projet'!C12=0%),0,Calculateur!CE3)</f>
        <v>191.8684235641158</v>
      </c>
      <c r="E9" s="147">
        <f t="shared" ca="1" si="0"/>
        <v>191.8684235641158</v>
      </c>
      <c r="F9" s="147">
        <f t="shared" ca="1" si="1"/>
        <v>249.35220326392491</v>
      </c>
      <c r="G9" s="147">
        <f ca="1">F9*(100%-'Données projet'!$C$24)*(100%-'Données projet'!$C$25)*(100%-'Données projet'!$C$26)*(100%-'Données projet'!$C$27)</f>
        <v>224.41698293753242</v>
      </c>
      <c r="H9" s="155">
        <f>IF(OR('Données projet'!B12="",'Données projet'!C12="",'Données projet'!C12=0%),0,AVERAGE(Calculateur!$CN$3:$CN$33)*B9)</f>
        <v>5.0136949245497977</v>
      </c>
      <c r="I9" s="149">
        <f>H9*(100%-'Données projet'!$C$24)*(100%-'Données projet'!$C$25)*(100%-'Données projet'!$C$26)*(100%-'Données projet'!$C$27)</f>
        <v>4.5123254320948183</v>
      </c>
      <c r="J9" s="150">
        <f>IF(OR('Données projet'!B12="",'Données projet'!C12="",'Données projet'!C12=0%),0,SUM(Calculateur!$CG$3:$CG$33)*VLOOKUP('Données projet'!$B$12,Paramètres!$A$1:$I$89,9,0)*B9)</f>
        <v>42.470928000000001</v>
      </c>
      <c r="K9" s="151">
        <f>J9*(100%-'Données projet'!$C$24)*(100%-'Données projet'!$C$25)*(100%-'Données projet'!$C$26)*(100%-'Données projet'!$C$27)</f>
        <v>38.223835200000003</v>
      </c>
      <c r="L9" s="152">
        <f t="shared" ca="1" si="2"/>
        <v>267.15314356962728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>Erable plane</v>
      </c>
      <c r="B10" s="154">
        <f>'Données projet'!D13</f>
        <v>0.80370000000000008</v>
      </c>
      <c r="C10" s="147">
        <f ca="1">IF(OR('Données projet'!B13="",'Données projet'!C13="",'Données projet'!C13=0%),0,Calculateur!CY3)</f>
        <v>198.11534486400666</v>
      </c>
      <c r="D10" s="147">
        <f>IF(OR('Données projet'!B13="",'Données projet'!C13="",'Données projet'!C13=0%),0,Calculateur!CZ3)</f>
        <v>174.29856796517652</v>
      </c>
      <c r="E10" s="147">
        <f t="shared" ca="1" si="0"/>
        <v>174.29856796517652</v>
      </c>
      <c r="F10" s="147">
        <f t="shared" ca="1" si="1"/>
        <v>140.08375907361238</v>
      </c>
      <c r="G10" s="147">
        <f ca="1">F10*(100%-'Données projet'!$C$24)*(100%-'Données projet'!$C$25)*(100%-'Données projet'!$C$26)*(100%-'Données projet'!$C$27)</f>
        <v>126.07538316625114</v>
      </c>
      <c r="H10" s="155">
        <f>IF(OR('Données projet'!B13="",'Données projet'!C13="",'Données projet'!C13=0%),0,AVERAGE(Calculateur!$DI$3:$DI$33)*B10)</f>
        <v>2.3645825226488575</v>
      </c>
      <c r="I10" s="149">
        <f>H10*(100%-'Données projet'!$C$24)*(100%-'Données projet'!$C$25)*(100%-'Données projet'!$C$26)*(100%-'Données projet'!$C$27)</f>
        <v>2.1281242703839718</v>
      </c>
      <c r="J10" s="150">
        <f>IF(OR('Données projet'!B13="",'Données projet'!C13="",'Données projet'!C13=0%),0,SUM(Calculateur!$DB$3:$DB$33)*VLOOKUP('Données projet'!$B$13,Paramètres!$A$1:$I$89,9,0)*B10)</f>
        <v>19.891575000000003</v>
      </c>
      <c r="K10" s="151">
        <f>J10*(100%-'Données projet'!$C$24)*(100%-'Données projet'!$C$25)*(100%-'Données projet'!$C$26)*(100%-'Données projet'!$C$27)</f>
        <v>17.902417500000002</v>
      </c>
      <c r="L10" s="152">
        <f t="shared" ca="1" si="2"/>
        <v>146.10592493663512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>Chêne pubescent</v>
      </c>
      <c r="B11" s="154">
        <f>'Données projet'!D14</f>
        <v>0.64124999999999999</v>
      </c>
      <c r="C11" s="147">
        <f ca="1">IF(OR('Données projet'!B14="",'Données projet'!C14="",'Données projet'!C14=0%),0,Calculateur!DT3)</f>
        <v>247.92503505485405</v>
      </c>
      <c r="D11" s="147">
        <f>IF(OR('Données projet'!B14="",'Données projet'!C14="",'Données projet'!C14=0%),0,Calculateur!DU3)</f>
        <v>148.26437652597514</v>
      </c>
      <c r="E11" s="147">
        <f t="shared" ca="1" si="0"/>
        <v>148.26437652597514</v>
      </c>
      <c r="F11" s="147">
        <f t="shared" ca="1" si="1"/>
        <v>95.074531447281558</v>
      </c>
      <c r="G11" s="147">
        <f ca="1">F11*(100%-'Données projet'!$C$24)*(100%-'Données projet'!$C$25)*(100%-'Données projet'!$C$26)*(100%-'Données projet'!$C$27)</f>
        <v>85.567078302553398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ca="1" si="2"/>
        <v>85.567078302553398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>Alisier torminal</v>
      </c>
      <c r="B12" s="154">
        <f>'Données projet'!D15</f>
        <v>7.6950000000000005E-2</v>
      </c>
      <c r="C12" s="147">
        <f ca="1">IF(OR('Données projet'!B15="",'Données projet'!C15="",'Données projet'!C15=0%),0,Calculateur!EO3)</f>
        <v>232.99870507181964</v>
      </c>
      <c r="D12" s="147">
        <f>IF(OR('Données projet'!B15="",'Données projet'!C15="",'Données projet'!C15=0%),0,Calculateur!EP3)</f>
        <v>140.07662669226278</v>
      </c>
      <c r="E12" s="147">
        <f t="shared" ca="1" si="0"/>
        <v>140.07662669226278</v>
      </c>
      <c r="F12" s="147">
        <f t="shared" ca="1" si="1"/>
        <v>10.778896423969622</v>
      </c>
      <c r="G12" s="147">
        <f ca="1">F12*(100%-'Données projet'!$C$24)*(100%-'Données projet'!$C$25)*(100%-'Données projet'!$C$26)*(100%-'Données projet'!$C$27)</f>
        <v>9.7010067815726604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9.7010067815726604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>Merisier</v>
      </c>
      <c r="B13" s="154">
        <f>'Données projet'!D16</f>
        <v>7.6950000000000005E-2</v>
      </c>
      <c r="C13" s="147">
        <f ca="1">IF(OR('Données projet'!B16="",'Données projet'!C16="",'Données projet'!C16=0%),0,Calculateur!FJ3)</f>
        <v>193.47609744163839</v>
      </c>
      <c r="D13" s="147">
        <f>IF(OR('Données projet'!B16="",'Données projet'!C16="",'Données projet'!C16=0%),0,Calculateur!FK3)</f>
        <v>170.3221892406973</v>
      </c>
      <c r="E13" s="147">
        <f t="shared" ca="1" si="0"/>
        <v>170.3221892406973</v>
      </c>
      <c r="F13" s="147">
        <f t="shared" ca="1" si="1"/>
        <v>13.106292462071657</v>
      </c>
      <c r="G13" s="147">
        <f ca="1">F13*(100%-'Données projet'!$C$24)*(100%-'Données projet'!$C$25)*(100%-'Données projet'!$C$26)*(100%-'Données projet'!$C$27)</f>
        <v>11.795663215864492</v>
      </c>
      <c r="H13" s="155">
        <f>IF(OR('Données projet'!B16="",'Données projet'!C16="",'Données projet'!C16=0%),0,AVERAGE(Calculateur!$FT$3:$FT$33)*B13)</f>
        <v>0.19775490267998719</v>
      </c>
      <c r="I13" s="149">
        <f>H13*(100%-'Données projet'!$C$24)*(100%-'Données projet'!$C$25)*(100%-'Données projet'!$C$26)*(100%-'Données projet'!$C$27)</f>
        <v>0.17797941241198847</v>
      </c>
      <c r="J13" s="150">
        <f>IF(OR('Données projet'!C16="",'Données projet'!C16=0%),0,SUM(Calculateur!$FM$3:$FM$33)*VLOOKUP('Données projet'!$B$16,Paramètres!$A$1:$I$89,9,0)*B13)</f>
        <v>1.9045125000000001</v>
      </c>
      <c r="K13" s="151">
        <f>J13*(100%-'Données projet'!$C$24)*(100%-'Données projet'!$C$25)*(100%-'Données projet'!$C$26)*(100%-'Données projet'!$C$27)</f>
        <v>1.7140612500000001</v>
      </c>
      <c r="L13" s="152">
        <f t="shared" ca="1" si="2"/>
        <v>13.68770387827648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>Mélèze hybride</v>
      </c>
      <c r="B14" s="154">
        <f>'Données projet'!D17</f>
        <v>0.64980000000000004</v>
      </c>
      <c r="C14" s="147">
        <f ca="1">IF(OR('Données projet'!B17="",'Données projet'!C17="",'Données projet'!C17=0%),0,Calculateur!GE3)</f>
        <v>153.43773674911449</v>
      </c>
      <c r="D14" s="147">
        <f>IF(OR('Données projet'!B17="",'Données projet'!C17="",'Données projet'!C17=0%),0,Calculateur!GF3)</f>
        <v>235.49395036616602</v>
      </c>
      <c r="E14" s="147">
        <f t="shared" ca="1" si="0"/>
        <v>153.43773674911449</v>
      </c>
      <c r="F14" s="147">
        <f t="shared" ca="1" si="1"/>
        <v>99.703841339574609</v>
      </c>
      <c r="G14" s="147">
        <f ca="1">F14*(100%-'Données projet'!$C$24)*(100%-'Données projet'!$C$25)*(100%-'Données projet'!$C$26)*(100%-'Données projet'!$C$27)</f>
        <v>89.733457205617157</v>
      </c>
      <c r="H14" s="155">
        <f>IF(OR('Données projet'!B17="",'Données projet'!C17="",'Données projet'!C17=0%),0,AVERAGE(Calculateur!$GO$3:$GO$33)*B14)</f>
        <v>6.2759694094940617</v>
      </c>
      <c r="I14" s="149">
        <f>H14*(100%-'Données projet'!$C$24)*(100%-'Données projet'!$C$25)*(100%-'Données projet'!$C$26)*(100%-'Données projet'!$C$27)</f>
        <v>5.6483724685446557</v>
      </c>
      <c r="J14" s="150">
        <f>IF(OR('Données projet'!B17="",'Données projet'!C17="",'Données projet'!C17=0%),0,SUM(Calculateur!$GH$3:$GH$33)*VLOOKUP('Données projet'!$B$17,Paramètres!$A$1:$I$89,9,0)*B14)</f>
        <v>35.764991999999999</v>
      </c>
      <c r="K14" s="151">
        <f>J14*(100%-'Données projet'!$C$24)*(100%-'Données projet'!$C$25)*(100%-'Données projet'!$C$26)*(100%-'Données projet'!$C$27)</f>
        <v>32.188492799999999</v>
      </c>
      <c r="L14" s="152">
        <f t="shared" ca="1" si="2"/>
        <v>127.5703224741618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>Erable sycomore</v>
      </c>
      <c r="B15" s="157">
        <f>'Données projet'!D18</f>
        <v>0.80370000000000008</v>
      </c>
      <c r="C15" s="158">
        <f ca="1">IF(OR('Données projet'!B18="",'Données projet'!C18="",'Données projet'!C18=0%),0,Calculateur!GZ3)</f>
        <v>198.11534486400666</v>
      </c>
      <c r="D15" s="158">
        <f>IF(OR('Données projet'!B18="",'Données projet'!C18="",'Données projet'!C18=0%),0,Calculateur!HA3)</f>
        <v>174.29856796517652</v>
      </c>
      <c r="E15" s="158">
        <f t="shared" ca="1" si="0"/>
        <v>174.29856796517652</v>
      </c>
      <c r="F15" s="159">
        <f t="shared" ca="1" si="1"/>
        <v>140.08375907361238</v>
      </c>
      <c r="G15" s="159">
        <f ca="1">F15*(100%-'Données projet'!$C$24)*(100%-'Données projet'!$C$25)*(100%-'Données projet'!$C$26)*(100%-'Données projet'!$C$27)</f>
        <v>126.07538316625114</v>
      </c>
      <c r="H15" s="160">
        <f>IF(OR('Données projet'!B18="",'Données projet'!C18="",'Données projet'!C18=0%),0,AVERAGE(Calculateur!$HJ$3:$HJ$33)*B15)</f>
        <v>2.3645825226488575</v>
      </c>
      <c r="I15" s="161">
        <f>H15*(100%-'Données projet'!$C$24)*(100%-'Données projet'!$C$25)*(100%-'Données projet'!$C$26)*(100%-'Données projet'!$C$27)</f>
        <v>2.1281242703839718</v>
      </c>
      <c r="J15" s="162">
        <f>IF(OR('Données projet'!B18="",'Données projet'!C18="",'Données projet'!C18=0%),0,SUM(Calculateur!$HC$3:$HC$33)*VLOOKUP('Données projet'!$B$18,Paramètres!$A$1:$I$89,9,0)*B15)</f>
        <v>19.891575000000003</v>
      </c>
      <c r="K15" s="163">
        <f>J15*(100%-'Données projet'!$C$24)*(100%-'Données projet'!$C$25)*(100%-'Données projet'!$C$26)*(100%-'Données projet'!$C$27)</f>
        <v>17.902417500000002</v>
      </c>
      <c r="L15" s="164">
        <f t="shared" ca="1" si="2"/>
        <v>146.10592493663512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1552.0827256784089</v>
      </c>
      <c r="G16" s="166">
        <f t="shared" ca="1" si="3"/>
        <v>1396.8744531105683</v>
      </c>
      <c r="H16" s="167">
        <f t="shared" si="3"/>
        <v>36.520882784988352</v>
      </c>
      <c r="I16" s="167">
        <f t="shared" si="3"/>
        <v>32.868794506489515</v>
      </c>
      <c r="J16" s="168">
        <f t="shared" si="3"/>
        <v>263.61958499999997</v>
      </c>
      <c r="K16" s="168">
        <f t="shared" si="3"/>
        <v>237.25762650000001</v>
      </c>
      <c r="L16" s="169">
        <f t="shared" ca="1" si="3"/>
        <v>1667.0008741170579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304" t="s">
        <v>246</v>
      </c>
      <c r="G17" s="305"/>
      <c r="H17" s="305"/>
      <c r="I17" s="305"/>
      <c r="J17" s="305"/>
      <c r="K17" s="305"/>
      <c r="L17" s="30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91"/>
      <c r="G18" s="291"/>
      <c r="H18" s="291"/>
      <c r="I18" s="291"/>
      <c r="J18" s="291"/>
      <c r="K18" s="291"/>
      <c r="L18" s="29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laricio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Pin laricio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>Erable plane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>Chêne pubescent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>Alisier torminal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>Merisier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>Mélèze hybride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>Erable sycomore</v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2" zoomScale="80" zoomScaleNormal="80" workbookViewId="0">
      <selection activeCell="T28" sqref="T2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92" t="s">
        <v>272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78" t="s">
        <v>315</v>
      </c>
      <c r="I4" s="278"/>
      <c r="K4" s="320" t="s">
        <v>253</v>
      </c>
      <c r="L4" s="32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12" t="s">
        <v>310</v>
      </c>
      <c r="S7" s="313"/>
      <c r="T7" s="313"/>
      <c r="U7" s="313"/>
      <c r="V7" s="31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laricio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-6849.1997732119007</v>
      </c>
      <c r="U10" s="178">
        <f>'Données projet'!D9</f>
        <v>1.0687500000000001</v>
      </c>
      <c r="V10" s="177">
        <f>U10*T10</f>
        <v>-7320.0822576202199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laricio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-5636.127888239299</v>
      </c>
      <c r="U11" s="178">
        <f>'Données projet'!D10</f>
        <v>1.3509000000000002</v>
      </c>
      <c r="V11" s="177">
        <f t="shared" ref="V11" si="0">U11*T11</f>
        <v>-7613.84516422247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-5105.9051551269158</v>
      </c>
      <c r="U12" s="178">
        <f>'Données projet'!D11</f>
        <v>1.7784</v>
      </c>
      <c r="V12" s="177">
        <f t="shared" ref="V12:V19" si="1">U12*T12</f>
        <v>-9080.3417278777069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-3564.0476154910084</v>
      </c>
      <c r="U13" s="178">
        <f>'Données projet'!D12</f>
        <v>1.2996000000000001</v>
      </c>
      <c r="V13" s="177">
        <f t="shared" si="1"/>
        <v>-4631.8362810921144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laricio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plane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-5764.1148672069785</v>
      </c>
      <c r="U14" s="178">
        <f>'Données projet'!D13</f>
        <v>0.80370000000000008</v>
      </c>
      <c r="V14" s="177">
        <f t="shared" si="1"/>
        <v>-4632.6191187742488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2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Chêne pubescent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-7135.3496380661236</v>
      </c>
      <c r="U15" s="178">
        <f>'Données projet'!D14</f>
        <v>0.64124999999999999</v>
      </c>
      <c r="V15" s="177">
        <f t="shared" si="1"/>
        <v>-4575.5429554099019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23"/>
      <c r="H16" s="190"/>
      <c r="I16" s="191"/>
      <c r="J16" s="202"/>
      <c r="K16" s="208"/>
      <c r="L16" s="320" t="s">
        <v>254</v>
      </c>
      <c r="M16" s="321"/>
      <c r="N16" s="2">
        <v>30</v>
      </c>
      <c r="O16" s="23"/>
      <c r="P16" s="23"/>
      <c r="Q16" s="234"/>
      <c r="R16" s="23"/>
      <c r="S16" s="36" t="str">
        <f>B200</f>
        <v>Alisier torminal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-7135.3496380661236</v>
      </c>
      <c r="U16" s="178">
        <f>'Données projet'!D15</f>
        <v>7.6950000000000005E-2</v>
      </c>
      <c r="V16" s="177">
        <f t="shared" si="1"/>
        <v>-549.06515464918823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275">
        <v>5000</v>
      </c>
      <c r="F17" s="230"/>
      <c r="G17" s="323"/>
      <c r="J17" s="202"/>
      <c r="K17" s="208"/>
      <c r="L17" s="280" t="s">
        <v>289</v>
      </c>
      <c r="M17" s="28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>Merisier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-6569.9572242958729</v>
      </c>
      <c r="U17" s="178">
        <f>'Données projet'!D16</f>
        <v>7.6950000000000005E-2</v>
      </c>
      <c r="V17" s="177">
        <f t="shared" si="1"/>
        <v>-505.55820840956744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276">
        <v>880</v>
      </c>
      <c r="F18" s="230"/>
      <c r="G18" s="323"/>
      <c r="J18" s="202"/>
      <c r="K18" s="208"/>
      <c r="L18" s="280" t="s">
        <v>255</v>
      </c>
      <c r="M18" s="282"/>
      <c r="N18" s="192">
        <v>8</v>
      </c>
      <c r="O18" s="23"/>
      <c r="P18" s="23"/>
      <c r="Q18" s="234"/>
      <c r="R18" s="23"/>
      <c r="S18" s="36" t="str">
        <f>B262</f>
        <v>Mélèze hybride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-5178.3532141424448</v>
      </c>
      <c r="U18" s="178">
        <f>'Données projet'!D17</f>
        <v>0.64980000000000004</v>
      </c>
      <c r="V18" s="177">
        <f t="shared" si="1"/>
        <v>-3364.8939185497607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276">
        <v>880</v>
      </c>
      <c r="F19" s="230"/>
      <c r="G19" s="323"/>
      <c r="H19" s="212" t="s">
        <v>178</v>
      </c>
      <c r="I19" s="212" t="s">
        <v>287</v>
      </c>
      <c r="J19" s="93"/>
      <c r="K19" s="173"/>
      <c r="L19" s="320" t="s">
        <v>288</v>
      </c>
      <c r="M19" s="321"/>
      <c r="N19" s="179">
        <f>N17*N18</f>
        <v>239.99999999999994</v>
      </c>
      <c r="O19" s="23"/>
      <c r="P19" s="4"/>
      <c r="Q19" s="235"/>
      <c r="R19" s="4"/>
      <c r="S19" s="36" t="str">
        <f>B293</f>
        <v>Erable sycomore</v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-6737.3688785210761</v>
      </c>
      <c r="U19" s="178">
        <f>'Données projet'!D18</f>
        <v>0.80370000000000008</v>
      </c>
      <c r="V19" s="177">
        <f t="shared" si="1"/>
        <v>-5414.823367667389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276">
        <v>0</v>
      </c>
      <c r="F20" s="230"/>
      <c r="G20" s="323"/>
      <c r="H20" s="190">
        <v>0</v>
      </c>
      <c r="I20" s="191">
        <v>3100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276">
        <v>880</v>
      </c>
      <c r="F21" s="230"/>
      <c r="H21" s="190">
        <v>1</v>
      </c>
      <c r="I21" s="191">
        <v>520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520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20</v>
      </c>
      <c r="B23" s="181">
        <f>'Données projet'!D36</f>
        <v>3</v>
      </c>
      <c r="C23" s="193"/>
      <c r="D23" s="182">
        <f>B23*C23</f>
        <v>0</v>
      </c>
      <c r="E23" s="193"/>
      <c r="F23" s="230"/>
      <c r="H23" s="190">
        <v>4</v>
      </c>
      <c r="I23" s="191">
        <v>520</v>
      </c>
      <c r="K23" s="208"/>
      <c r="L23" s="322" t="s">
        <v>260</v>
      </c>
      <c r="M23" s="322"/>
      <c r="N23" s="322"/>
      <c r="O23" s="23"/>
      <c r="P23" s="23"/>
      <c r="Q23" s="234"/>
      <c r="R23" s="23"/>
      <c r="S23" s="36" t="s">
        <v>264</v>
      </c>
      <c r="T23" s="31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-86247.732705634844</v>
      </c>
      <c r="U23" s="317"/>
      <c r="V23" s="31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30</v>
      </c>
      <c r="B24" s="181">
        <f>'Données projet'!D37</f>
        <v>12</v>
      </c>
      <c r="C24" s="193">
        <v>12</v>
      </c>
      <c r="D24" s="182">
        <f t="shared" ref="D24:D42" si="2">B24*C24</f>
        <v>144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18">
        <f ca="1">'Scénario référence'!$B$8*$M$30*'Données projet'!$C$5+('Scénario référence'!B9+'Scénario référence'!B10+'Scénario référence'!F8+'Scénario référence'!F9)*$N$19/(1+M4)^N16*'Données projet'!$C$5</f>
        <v>547.88403182037018</v>
      </c>
      <c r="U24" s="318"/>
      <c r="V24" s="31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40</v>
      </c>
      <c r="B25" s="181">
        <f>'Données projet'!D38</f>
        <v>21</v>
      </c>
      <c r="C25" s="193">
        <v>20</v>
      </c>
      <c r="D25" s="182">
        <f t="shared" si="2"/>
        <v>420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19">
        <f ca="1">T23-T24</f>
        <v>-86795.616737455217</v>
      </c>
      <c r="U25" s="319"/>
      <c r="V25" s="31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50</v>
      </c>
      <c r="B26" s="181">
        <f>'Données projet'!D39</f>
        <v>25</v>
      </c>
      <c r="C26" s="193">
        <v>20</v>
      </c>
      <c r="D26" s="182">
        <f t="shared" si="2"/>
        <v>500</v>
      </c>
      <c r="E26" s="193"/>
      <c r="F26" s="233"/>
      <c r="G26" s="229"/>
      <c r="H26" s="190"/>
      <c r="I26" s="191"/>
      <c r="K26" s="208"/>
      <c r="L26" s="306" t="s">
        <v>258</v>
      </c>
      <c r="M26" s="307"/>
      <c r="N26" s="307"/>
      <c r="O26" s="307"/>
      <c r="P26" s="308"/>
      <c r="Q26" s="234"/>
      <c r="R26" s="23"/>
      <c r="S26" s="186" t="s">
        <v>265</v>
      </c>
      <c r="T26" s="316" t="str">
        <f ca="1">IF(T25&lt;0,"Votre projet est additionnel","Votre projet n'est pas additionnel")</f>
        <v>Votre projet est additionnel</v>
      </c>
      <c r="U26" s="316"/>
      <c r="V26" s="31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60</v>
      </c>
      <c r="B27" s="181">
        <f>'Données projet'!D40</f>
        <v>27</v>
      </c>
      <c r="C27" s="193">
        <v>25</v>
      </c>
      <c r="D27" s="182">
        <f t="shared" si="2"/>
        <v>675</v>
      </c>
      <c r="E27" s="193"/>
      <c r="F27" s="233"/>
      <c r="G27" s="229"/>
      <c r="H27" s="190"/>
      <c r="I27" s="191"/>
      <c r="K27" s="208"/>
      <c r="L27" s="309"/>
      <c r="M27" s="310"/>
      <c r="N27" s="310"/>
      <c r="O27" s="310"/>
      <c r="P27" s="311"/>
      <c r="Q27" s="234"/>
      <c r="R27" s="23"/>
      <c r="S27" s="315" t="s">
        <v>267</v>
      </c>
      <c r="T27" s="315"/>
      <c r="U27" s="315"/>
      <c r="V27" s="31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70</v>
      </c>
      <c r="B28" s="181">
        <f>'Données projet'!D41</f>
        <v>26</v>
      </c>
      <c r="C28" s="193">
        <v>25</v>
      </c>
      <c r="D28" s="182">
        <f t="shared" si="2"/>
        <v>650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80</v>
      </c>
      <c r="B29" s="181">
        <f>'Données projet'!D42</f>
        <v>24</v>
      </c>
      <c r="C29" s="193">
        <v>30</v>
      </c>
      <c r="D29" s="182">
        <f t="shared" si="2"/>
        <v>720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90</v>
      </c>
      <c r="B30" s="181">
        <f>'Données projet'!D43</f>
        <v>24</v>
      </c>
      <c r="C30" s="193">
        <v>42</v>
      </c>
      <c r="D30" s="182">
        <f t="shared" si="2"/>
        <v>1008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100</v>
      </c>
      <c r="B31" s="181">
        <f>'Données projet'!D44</f>
        <v>490</v>
      </c>
      <c r="C31" s="193">
        <v>42</v>
      </c>
      <c r="D31" s="182">
        <f t="shared" si="2"/>
        <v>20580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Pin laricio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275">
        <v>5000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276">
        <v>880</v>
      </c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276">
        <v>880</v>
      </c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276">
        <v>0</v>
      </c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276">
        <v>880</v>
      </c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22</v>
      </c>
      <c r="B54" s="181">
        <f>'Données projet'!D62</f>
        <v>16</v>
      </c>
      <c r="C54" s="191">
        <v>0</v>
      </c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25</v>
      </c>
      <c r="B55" s="181">
        <f>'Données projet'!D63</f>
        <v>17</v>
      </c>
      <c r="C55" s="191">
        <v>0</v>
      </c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30</v>
      </c>
      <c r="B56" s="181">
        <f>'Données projet'!D64</f>
        <v>34</v>
      </c>
      <c r="C56" s="191">
        <v>12</v>
      </c>
      <c r="D56" s="179">
        <f t="shared" si="4"/>
        <v>408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35</v>
      </c>
      <c r="B57" s="181">
        <f>'Données projet'!D65</f>
        <v>41</v>
      </c>
      <c r="C57" s="191">
        <v>20</v>
      </c>
      <c r="D57" s="179">
        <f t="shared" si="4"/>
        <v>820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40</v>
      </c>
      <c r="B58" s="181">
        <f>'Données projet'!D66</f>
        <v>41</v>
      </c>
      <c r="C58" s="191">
        <v>20</v>
      </c>
      <c r="D58" s="179">
        <f t="shared" si="4"/>
        <v>820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45</v>
      </c>
      <c r="B59" s="181">
        <f>'Données projet'!D67</f>
        <v>41</v>
      </c>
      <c r="C59" s="191">
        <v>25</v>
      </c>
      <c r="D59" s="179">
        <f t="shared" si="4"/>
        <v>1025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50</v>
      </c>
      <c r="B60" s="181">
        <f>'Données projet'!D68</f>
        <v>53</v>
      </c>
      <c r="C60" s="191">
        <v>25</v>
      </c>
      <c r="D60" s="179">
        <f t="shared" si="4"/>
        <v>1325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58</v>
      </c>
      <c r="B61" s="181">
        <f>'Données projet'!D69</f>
        <v>78</v>
      </c>
      <c r="C61" s="191">
        <v>30</v>
      </c>
      <c r="D61" s="179">
        <f t="shared" si="4"/>
        <v>2340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66</v>
      </c>
      <c r="B62" s="181">
        <f>'Données projet'!D70</f>
        <v>65</v>
      </c>
      <c r="C62" s="191">
        <v>42</v>
      </c>
      <c r="D62" s="179">
        <f t="shared" si="4"/>
        <v>2730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74</v>
      </c>
      <c r="B63" s="181">
        <f>'Données projet'!D71</f>
        <v>37</v>
      </c>
      <c r="C63" s="191">
        <v>42</v>
      </c>
      <c r="D63" s="179">
        <f t="shared" si="4"/>
        <v>1554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82</v>
      </c>
      <c r="B64" s="181">
        <f>'Données projet'!D72</f>
        <v>567</v>
      </c>
      <c r="C64" s="191">
        <v>42</v>
      </c>
      <c r="D64" s="179">
        <f t="shared" si="4"/>
        <v>23814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v>5000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>
        <v>880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>
        <v>880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>
        <v>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>
        <v>880</v>
      </c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18</v>
      </c>
      <c r="B85" s="181">
        <f>'Données projet'!D88</f>
        <v>20</v>
      </c>
      <c r="C85" s="191">
        <v>8</v>
      </c>
      <c r="D85" s="179">
        <f>B85*C85</f>
        <v>160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21</v>
      </c>
      <c r="B86" s="181">
        <f>'Données projet'!D89</f>
        <v>26</v>
      </c>
      <c r="C86" s="191">
        <v>8</v>
      </c>
      <c r="D86" s="179">
        <f t="shared" ref="D86:D104" si="6">B86*C86</f>
        <v>208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24</v>
      </c>
      <c r="B87" s="181">
        <f>'Données projet'!D90</f>
        <v>29</v>
      </c>
      <c r="C87" s="191">
        <v>8</v>
      </c>
      <c r="D87" s="179">
        <f t="shared" si="6"/>
        <v>232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53</v>
      </c>
      <c r="C88" s="191">
        <v>12</v>
      </c>
      <c r="D88" s="179">
        <f t="shared" si="6"/>
        <v>636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36</v>
      </c>
      <c r="B89" s="181">
        <f>'Données projet'!D92</f>
        <v>62</v>
      </c>
      <c r="C89" s="191">
        <v>25</v>
      </c>
      <c r="D89" s="179">
        <f t="shared" si="6"/>
        <v>1550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42</v>
      </c>
      <c r="B90" s="181">
        <f>'Données projet'!D93</f>
        <v>67</v>
      </c>
      <c r="C90" s="191">
        <v>30</v>
      </c>
      <c r="D90" s="179">
        <f t="shared" si="6"/>
        <v>2010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48</v>
      </c>
      <c r="B91" s="181">
        <f>'Données projet'!D94</f>
        <v>65</v>
      </c>
      <c r="C91" s="191">
        <v>42</v>
      </c>
      <c r="D91" s="179">
        <f t="shared" si="6"/>
        <v>2730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304</v>
      </c>
      <c r="C92" s="191">
        <v>42</v>
      </c>
      <c r="D92" s="179">
        <f t="shared" si="6"/>
        <v>12768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5000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v>880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v>880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v>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>
        <v>880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20</v>
      </c>
      <c r="B116" s="181">
        <f>'Données projet'!D114</f>
        <v>32</v>
      </c>
      <c r="C116" s="191">
        <v>12</v>
      </c>
      <c r="D116" s="179">
        <f>B116*C116</f>
        <v>384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30</v>
      </c>
      <c r="B117" s="181">
        <f>'Données projet'!D115</f>
        <v>44</v>
      </c>
      <c r="C117" s="191">
        <v>12</v>
      </c>
      <c r="D117" s="179">
        <f t="shared" ref="D117:D135" si="8">B117*C117</f>
        <v>528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40</v>
      </c>
      <c r="B118" s="181">
        <f>'Données projet'!D116</f>
        <v>55</v>
      </c>
      <c r="C118" s="191">
        <v>20</v>
      </c>
      <c r="D118" s="179">
        <f t="shared" si="8"/>
        <v>1100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50</v>
      </c>
      <c r="B119" s="181">
        <f>'Données projet'!D117</f>
        <v>67</v>
      </c>
      <c r="C119" s="191">
        <v>20</v>
      </c>
      <c r="D119" s="179">
        <f t="shared" si="8"/>
        <v>1340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60</v>
      </c>
      <c r="B120" s="181">
        <f>'Données projet'!D118</f>
        <v>81</v>
      </c>
      <c r="C120" s="191">
        <v>25</v>
      </c>
      <c r="D120" s="179">
        <f t="shared" si="8"/>
        <v>2025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70</v>
      </c>
      <c r="B121" s="181">
        <f>'Données projet'!D119</f>
        <v>95</v>
      </c>
      <c r="C121" s="191">
        <v>25</v>
      </c>
      <c r="D121" s="179">
        <f t="shared" si="8"/>
        <v>2375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80</v>
      </c>
      <c r="B122" s="181">
        <f>'Données projet'!D120</f>
        <v>110</v>
      </c>
      <c r="C122" s="191">
        <v>30</v>
      </c>
      <c r="D122" s="179">
        <f t="shared" si="8"/>
        <v>3300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90</v>
      </c>
      <c r="B123" s="181">
        <f>'Données projet'!D121</f>
        <v>123</v>
      </c>
      <c r="C123" s="191">
        <v>42</v>
      </c>
      <c r="D123" s="179">
        <f t="shared" si="8"/>
        <v>5166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100</v>
      </c>
      <c r="B124" s="181">
        <f>'Données projet'!D122</f>
        <v>678</v>
      </c>
      <c r="C124" s="191">
        <v>42</v>
      </c>
      <c r="D124" s="179">
        <f t="shared" si="8"/>
        <v>28476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>Erable plane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5000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v>880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v>880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v>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>
        <v>880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15</v>
      </c>
      <c r="B147" s="175">
        <f>'Données projet'!D140</f>
        <v>15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20</v>
      </c>
      <c r="B148" s="175">
        <f>'Données projet'!D141</f>
        <v>28</v>
      </c>
      <c r="C148" s="191">
        <v>8</v>
      </c>
      <c r="D148" s="182">
        <f t="shared" ref="D148:D166" si="10">B148*C148</f>
        <v>224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25</v>
      </c>
      <c r="B149" s="175">
        <f>'Données projet'!D142</f>
        <v>28</v>
      </c>
      <c r="C149" s="191">
        <v>8</v>
      </c>
      <c r="D149" s="182">
        <f t="shared" si="10"/>
        <v>224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30</v>
      </c>
      <c r="B150" s="175">
        <f>'Données projet'!D143</f>
        <v>28</v>
      </c>
      <c r="C150" s="191">
        <v>8</v>
      </c>
      <c r="D150" s="182">
        <f t="shared" si="10"/>
        <v>224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35</v>
      </c>
      <c r="B151" s="175">
        <f>'Données projet'!D144</f>
        <v>28</v>
      </c>
      <c r="C151" s="191">
        <v>12</v>
      </c>
      <c r="D151" s="182">
        <f t="shared" si="10"/>
        <v>336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40</v>
      </c>
      <c r="B152" s="175">
        <f>'Données projet'!D145</f>
        <v>28</v>
      </c>
      <c r="C152" s="191">
        <v>12</v>
      </c>
      <c r="D152" s="182">
        <f t="shared" si="10"/>
        <v>336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45</v>
      </c>
      <c r="B153" s="175">
        <f>'Données projet'!D146</f>
        <v>22</v>
      </c>
      <c r="C153" s="191">
        <v>12</v>
      </c>
      <c r="D153" s="182">
        <f t="shared" si="10"/>
        <v>264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50</v>
      </c>
      <c r="B154" s="175">
        <f>'Données projet'!D147</f>
        <v>17</v>
      </c>
      <c r="C154" s="191">
        <v>12</v>
      </c>
      <c r="D154" s="182">
        <f t="shared" si="10"/>
        <v>204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55</v>
      </c>
      <c r="B155" s="175">
        <f>'Données projet'!D148</f>
        <v>13</v>
      </c>
      <c r="C155" s="191">
        <v>12</v>
      </c>
      <c r="D155" s="182">
        <f t="shared" si="10"/>
        <v>156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60</v>
      </c>
      <c r="B156" s="175">
        <f>'Données projet'!D149</f>
        <v>12</v>
      </c>
      <c r="C156" s="191">
        <v>25</v>
      </c>
      <c r="D156" s="182">
        <f t="shared" si="10"/>
        <v>300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65</v>
      </c>
      <c r="B157" s="175">
        <f>'Données projet'!D150</f>
        <v>11</v>
      </c>
      <c r="C157" s="191">
        <v>25</v>
      </c>
      <c r="D157" s="182">
        <f t="shared" si="10"/>
        <v>275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70</v>
      </c>
      <c r="B158" s="175">
        <f>'Données projet'!D151</f>
        <v>10</v>
      </c>
      <c r="C158" s="191">
        <v>30</v>
      </c>
      <c r="D158" s="182">
        <f t="shared" si="10"/>
        <v>300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75</v>
      </c>
      <c r="B159" s="175">
        <f>'Données projet'!D152</f>
        <v>9</v>
      </c>
      <c r="C159" s="191">
        <v>35</v>
      </c>
      <c r="D159" s="182">
        <f t="shared" si="10"/>
        <v>315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80</v>
      </c>
      <c r="B160" s="175">
        <f>'Données projet'!D153</f>
        <v>267</v>
      </c>
      <c r="C160" s="191">
        <v>41</v>
      </c>
      <c r="D160" s="182">
        <f t="shared" si="10"/>
        <v>10947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>Chêne pubescent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5000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v>880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v>880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v>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>
        <v>880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42</v>
      </c>
      <c r="B178" s="181">
        <f>'Données projet'!D166</f>
        <v>30</v>
      </c>
      <c r="C178" s="193">
        <v>8</v>
      </c>
      <c r="D178" s="179">
        <f>B178*C178</f>
        <v>240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48</v>
      </c>
      <c r="B179" s="181">
        <f>'Données projet'!D167</f>
        <v>28</v>
      </c>
      <c r="C179" s="193">
        <v>8</v>
      </c>
      <c r="D179" s="179">
        <f t="shared" ref="D179:D197" si="11">B179*C179</f>
        <v>224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56</v>
      </c>
      <c r="B180" s="181">
        <f>'Données projet'!D168</f>
        <v>36</v>
      </c>
      <c r="C180" s="193">
        <v>8</v>
      </c>
      <c r="D180" s="179">
        <f t="shared" si="11"/>
        <v>288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64</v>
      </c>
      <c r="B181" s="181">
        <f>'Données projet'!D169</f>
        <v>41</v>
      </c>
      <c r="C181" s="193">
        <v>12</v>
      </c>
      <c r="D181" s="179">
        <f t="shared" si="11"/>
        <v>492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72</v>
      </c>
      <c r="B182" s="181">
        <f>'Données projet'!D170</f>
        <v>32</v>
      </c>
      <c r="C182" s="193">
        <v>12</v>
      </c>
      <c r="D182" s="179">
        <f t="shared" si="11"/>
        <v>384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81</v>
      </c>
      <c r="B183" s="181">
        <f>'Données projet'!D171</f>
        <v>31</v>
      </c>
      <c r="C183" s="193">
        <v>25</v>
      </c>
      <c r="D183" s="179">
        <f t="shared" si="11"/>
        <v>775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90</v>
      </c>
      <c r="B184" s="181">
        <f>'Données projet'!D172</f>
        <v>30</v>
      </c>
      <c r="C184" s="193">
        <v>25</v>
      </c>
      <c r="D184" s="179">
        <f t="shared" si="11"/>
        <v>750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102</v>
      </c>
      <c r="B185" s="181">
        <f>'Données projet'!D173</f>
        <v>41</v>
      </c>
      <c r="C185" s="193">
        <v>25</v>
      </c>
      <c r="D185" s="179">
        <f t="shared" si="11"/>
        <v>1025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114</v>
      </c>
      <c r="B186" s="181">
        <f>'Données projet'!D174</f>
        <v>37</v>
      </c>
      <c r="C186" s="193">
        <v>54.8</v>
      </c>
      <c r="D186" s="179">
        <f t="shared" si="11"/>
        <v>2027.6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126</v>
      </c>
      <c r="B187" s="181">
        <f>'Données projet'!D175</f>
        <v>38</v>
      </c>
      <c r="C187" s="193">
        <v>54.8</v>
      </c>
      <c r="D187" s="179">
        <f t="shared" si="11"/>
        <v>2082.4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138</v>
      </c>
      <c r="B188" s="181">
        <f>'Données projet'!D176</f>
        <v>39</v>
      </c>
      <c r="C188" s="193">
        <v>54.8</v>
      </c>
      <c r="D188" s="179">
        <f t="shared" si="11"/>
        <v>2137.1999999999998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153</v>
      </c>
      <c r="B189" s="181">
        <f>'Données projet'!D177</f>
        <v>296</v>
      </c>
      <c r="C189" s="193">
        <v>117.8</v>
      </c>
      <c r="D189" s="179">
        <f t="shared" si="11"/>
        <v>34868.799999999996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>Alisier torminal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5000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v>880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v>880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>
        <v>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>
        <v>880</v>
      </c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42</v>
      </c>
      <c r="B209" s="181">
        <f>'Données projet'!D192</f>
        <v>30</v>
      </c>
      <c r="C209" s="193">
        <v>8</v>
      </c>
      <c r="D209" s="179">
        <f>B209*C209</f>
        <v>240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48</v>
      </c>
      <c r="B210" s="181">
        <f>'Données projet'!D193</f>
        <v>28</v>
      </c>
      <c r="C210" s="193">
        <v>8</v>
      </c>
      <c r="D210" s="179">
        <f t="shared" ref="D210:D228" si="12">B210*C210</f>
        <v>224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56</v>
      </c>
      <c r="B211" s="181">
        <f>'Données projet'!D194</f>
        <v>36</v>
      </c>
      <c r="C211" s="193">
        <v>8</v>
      </c>
      <c r="D211" s="179">
        <f t="shared" si="12"/>
        <v>288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64</v>
      </c>
      <c r="B212" s="181">
        <f>'Données projet'!D195</f>
        <v>41</v>
      </c>
      <c r="C212" s="193">
        <v>12</v>
      </c>
      <c r="D212" s="179">
        <f t="shared" si="12"/>
        <v>492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72</v>
      </c>
      <c r="B213" s="181">
        <f>'Données projet'!D196</f>
        <v>32</v>
      </c>
      <c r="C213" s="193">
        <v>12</v>
      </c>
      <c r="D213" s="179">
        <f t="shared" si="12"/>
        <v>384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81</v>
      </c>
      <c r="B214" s="181">
        <f>'Données projet'!D197</f>
        <v>31</v>
      </c>
      <c r="C214" s="193">
        <v>25</v>
      </c>
      <c r="D214" s="179">
        <f t="shared" si="12"/>
        <v>775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90</v>
      </c>
      <c r="B215" s="181">
        <f>'Données projet'!D198</f>
        <v>30</v>
      </c>
      <c r="C215" s="193">
        <v>25</v>
      </c>
      <c r="D215" s="179">
        <f t="shared" si="12"/>
        <v>750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102</v>
      </c>
      <c r="B216" s="181">
        <f>'Données projet'!D199</f>
        <v>41</v>
      </c>
      <c r="C216" s="193">
        <v>25</v>
      </c>
      <c r="D216" s="179">
        <f t="shared" si="12"/>
        <v>1025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114</v>
      </c>
      <c r="B217" s="181">
        <f>'Données projet'!D200</f>
        <v>37</v>
      </c>
      <c r="C217" s="193">
        <v>54.8</v>
      </c>
      <c r="D217" s="179">
        <f t="shared" si="12"/>
        <v>2027.6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126</v>
      </c>
      <c r="B218" s="181">
        <f>'Données projet'!D201</f>
        <v>38</v>
      </c>
      <c r="C218" s="193">
        <v>54.8</v>
      </c>
      <c r="D218" s="179">
        <f t="shared" si="12"/>
        <v>2082.4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138</v>
      </c>
      <c r="B219" s="181">
        <f>'Données projet'!D202</f>
        <v>39</v>
      </c>
      <c r="C219" s="193">
        <v>54.8</v>
      </c>
      <c r="D219" s="179">
        <f t="shared" si="12"/>
        <v>2137.1999999999998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153</v>
      </c>
      <c r="B220" s="181">
        <f>'Données projet'!D203</f>
        <v>296</v>
      </c>
      <c r="C220" s="193">
        <v>117.8</v>
      </c>
      <c r="D220" s="179">
        <f t="shared" si="12"/>
        <v>34868.799999999996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>Merisier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5000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v>880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v>880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>
        <v>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>
        <v>880</v>
      </c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15</v>
      </c>
      <c r="B240" s="181">
        <f>'Données projet'!D218</f>
        <v>15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20</v>
      </c>
      <c r="B241" s="181">
        <f>'Données projet'!D219</f>
        <v>28</v>
      </c>
      <c r="C241" s="193">
        <v>8</v>
      </c>
      <c r="D241" s="179">
        <f t="shared" ref="D241:D259" si="13">B241*C241</f>
        <v>224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25</v>
      </c>
      <c r="B242" s="181">
        <f>'Données projet'!D220</f>
        <v>28</v>
      </c>
      <c r="C242" s="193">
        <v>8</v>
      </c>
      <c r="D242" s="179">
        <f t="shared" si="13"/>
        <v>224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30</v>
      </c>
      <c r="B243" s="181">
        <f>'Données projet'!D221</f>
        <v>28</v>
      </c>
      <c r="C243" s="193">
        <v>8</v>
      </c>
      <c r="D243" s="179">
        <f t="shared" si="13"/>
        <v>224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35</v>
      </c>
      <c r="B244" s="181">
        <f>'Données projet'!D222</f>
        <v>28</v>
      </c>
      <c r="C244" s="193">
        <v>12</v>
      </c>
      <c r="D244" s="179">
        <f t="shared" si="13"/>
        <v>336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40</v>
      </c>
      <c r="B245" s="181">
        <f>'Données projet'!D223</f>
        <v>28</v>
      </c>
      <c r="C245" s="193">
        <v>12</v>
      </c>
      <c r="D245" s="179">
        <f t="shared" si="13"/>
        <v>336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45</v>
      </c>
      <c r="B246" s="181">
        <f>'Données projet'!D224</f>
        <v>22</v>
      </c>
      <c r="C246" s="193">
        <v>12</v>
      </c>
      <c r="D246" s="179">
        <f t="shared" si="13"/>
        <v>264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50</v>
      </c>
      <c r="B247" s="181">
        <f>'Données projet'!D225</f>
        <v>17</v>
      </c>
      <c r="C247" s="193">
        <v>12</v>
      </c>
      <c r="D247" s="179">
        <f t="shared" si="13"/>
        <v>204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55</v>
      </c>
      <c r="B248" s="181">
        <f>'Données projet'!D226</f>
        <v>13</v>
      </c>
      <c r="C248" s="193">
        <v>12</v>
      </c>
      <c r="D248" s="179">
        <f t="shared" si="13"/>
        <v>156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60</v>
      </c>
      <c r="B249" s="181">
        <f>'Données projet'!D227</f>
        <v>12</v>
      </c>
      <c r="C249" s="193">
        <v>25</v>
      </c>
      <c r="D249" s="179">
        <f t="shared" si="13"/>
        <v>300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65</v>
      </c>
      <c r="B250" s="181">
        <f>'Données projet'!D228</f>
        <v>11</v>
      </c>
      <c r="C250" s="193">
        <v>25</v>
      </c>
      <c r="D250" s="179">
        <f t="shared" si="13"/>
        <v>275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70</v>
      </c>
      <c r="B251" s="181">
        <f>'Données projet'!D229</f>
        <v>10</v>
      </c>
      <c r="C251" s="193">
        <v>30</v>
      </c>
      <c r="D251" s="179">
        <f t="shared" si="13"/>
        <v>300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75</v>
      </c>
      <c r="B252" s="181">
        <f>'Données projet'!D230</f>
        <v>9</v>
      </c>
      <c r="C252" s="193">
        <v>35</v>
      </c>
      <c r="D252" s="179">
        <f t="shared" si="13"/>
        <v>315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80</v>
      </c>
      <c r="B253" s="181">
        <f>'Données projet'!D231</f>
        <v>267</v>
      </c>
      <c r="C253" s="193">
        <v>41</v>
      </c>
      <c r="D253" s="179">
        <f t="shared" si="13"/>
        <v>10947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>Mélèze hybride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5000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v>880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v>880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>
        <v>0</v>
      </c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>
        <v>880</v>
      </c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18</v>
      </c>
      <c r="B271" s="181">
        <f>'Données projet'!D244</f>
        <v>20</v>
      </c>
      <c r="C271" s="193">
        <v>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21</v>
      </c>
      <c r="B272" s="181">
        <f>'Données projet'!D245</f>
        <v>26</v>
      </c>
      <c r="C272" s="193">
        <v>8</v>
      </c>
      <c r="D272" s="179">
        <f t="shared" ref="D272:D290" si="14">B272*C272</f>
        <v>208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24</v>
      </c>
      <c r="B273" s="181">
        <f>'Données projet'!D246</f>
        <v>29</v>
      </c>
      <c r="C273" s="193">
        <v>8</v>
      </c>
      <c r="D273" s="179">
        <f t="shared" si="14"/>
        <v>232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30</v>
      </c>
      <c r="B274" s="181">
        <f>'Données projet'!D247</f>
        <v>53</v>
      </c>
      <c r="C274" s="193">
        <v>12</v>
      </c>
      <c r="D274" s="179">
        <f t="shared" si="14"/>
        <v>636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36</v>
      </c>
      <c r="B275" s="181">
        <f>'Données projet'!D248</f>
        <v>62</v>
      </c>
      <c r="C275" s="193">
        <v>25</v>
      </c>
      <c r="D275" s="179">
        <f t="shared" si="14"/>
        <v>1550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42</v>
      </c>
      <c r="B276" s="181">
        <f>'Données projet'!D249</f>
        <v>67</v>
      </c>
      <c r="C276" s="193">
        <v>30</v>
      </c>
      <c r="D276" s="179">
        <f t="shared" si="14"/>
        <v>2010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48</v>
      </c>
      <c r="B277" s="181">
        <f>'Données projet'!D250</f>
        <v>65</v>
      </c>
      <c r="C277" s="193">
        <v>42</v>
      </c>
      <c r="D277" s="179">
        <f t="shared" si="14"/>
        <v>2730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60</v>
      </c>
      <c r="B278" s="181">
        <f>'Données projet'!D251</f>
        <v>304</v>
      </c>
      <c r="C278" s="193">
        <v>42</v>
      </c>
      <c r="D278" s="179">
        <f t="shared" si="14"/>
        <v>12768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>Erable sycomore</v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>
        <v>5000</v>
      </c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>
        <v>880</v>
      </c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>
        <v>880</v>
      </c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>
        <v>0</v>
      </c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>
        <v>880</v>
      </c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15</v>
      </c>
      <c r="B302" s="181">
        <f>'Données projet'!D270</f>
        <v>15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20</v>
      </c>
      <c r="B303" s="181">
        <f>'Données projet'!D271</f>
        <v>28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25</v>
      </c>
      <c r="B304" s="181">
        <f>'Données projet'!D272</f>
        <v>28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30</v>
      </c>
      <c r="B305" s="181">
        <f>'Données projet'!D273</f>
        <v>28</v>
      </c>
      <c r="C305" s="191">
        <v>8</v>
      </c>
      <c r="D305" s="182">
        <f t="shared" si="15"/>
        <v>224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35</v>
      </c>
      <c r="B306" s="181">
        <f>'Données projet'!D274</f>
        <v>28</v>
      </c>
      <c r="C306" s="191">
        <v>12</v>
      </c>
      <c r="D306" s="182">
        <f t="shared" si="15"/>
        <v>336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40</v>
      </c>
      <c r="B307" s="181">
        <f>'Données projet'!D275</f>
        <v>28</v>
      </c>
      <c r="C307" s="191">
        <v>12</v>
      </c>
      <c r="D307" s="182">
        <f t="shared" si="15"/>
        <v>336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45</v>
      </c>
      <c r="B308" s="181">
        <f>'Données projet'!D276</f>
        <v>22</v>
      </c>
      <c r="C308" s="191">
        <v>12</v>
      </c>
      <c r="D308" s="182">
        <f t="shared" si="15"/>
        <v>264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50</v>
      </c>
      <c r="B309" s="181">
        <f>'Données projet'!D277</f>
        <v>17</v>
      </c>
      <c r="C309" s="191">
        <v>12</v>
      </c>
      <c r="D309" s="182">
        <f t="shared" si="15"/>
        <v>204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55</v>
      </c>
      <c r="B310" s="181">
        <f>'Données projet'!D278</f>
        <v>13</v>
      </c>
      <c r="C310" s="191">
        <v>12</v>
      </c>
      <c r="D310" s="182">
        <f t="shared" si="15"/>
        <v>156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60</v>
      </c>
      <c r="B311" s="181">
        <f>'Données projet'!D279</f>
        <v>12</v>
      </c>
      <c r="C311" s="191">
        <v>25</v>
      </c>
      <c r="D311" s="182">
        <f t="shared" si="15"/>
        <v>300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65</v>
      </c>
      <c r="B312" s="181">
        <f>'Données projet'!D280</f>
        <v>11</v>
      </c>
      <c r="C312" s="191">
        <v>25</v>
      </c>
      <c r="D312" s="182">
        <f t="shared" si="15"/>
        <v>275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70</v>
      </c>
      <c r="B313" s="181">
        <f>'Données projet'!D281</f>
        <v>10</v>
      </c>
      <c r="C313" s="191">
        <v>30</v>
      </c>
      <c r="D313" s="182">
        <f t="shared" si="15"/>
        <v>300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75</v>
      </c>
      <c r="B314" s="181">
        <f>'Données projet'!D282</f>
        <v>9</v>
      </c>
      <c r="C314" s="191">
        <v>35</v>
      </c>
      <c r="D314" s="182">
        <f t="shared" si="15"/>
        <v>315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80</v>
      </c>
      <c r="B315" s="181">
        <f>'Données projet'!D283</f>
        <v>267</v>
      </c>
      <c r="C315" s="191">
        <v>41</v>
      </c>
      <c r="D315" s="182">
        <f t="shared" si="15"/>
        <v>10947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17" ma:contentTypeDescription="Crée un document." ma:contentTypeScope="" ma:versionID="b5c4d3deab9d36c8e6d7f656bb802b19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7da63a66e2a081d22bf452fd0c492793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F8D7C5-F158-4AF3-A2D5-8809000CA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D08019-165D-4837-8F66-5D7B85961D22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8c1d9445-5ca3-48db-a349-49511c70e687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1cca48d1-260d-4848-9875-be9a6e463188"/>
  </ds:schemaRefs>
</ds:datastoreItem>
</file>

<file path=customXml/itemProps3.xml><?xml version="1.0" encoding="utf-8"?>
<ds:datastoreItem xmlns:ds="http://schemas.openxmlformats.org/officeDocument/2006/customXml" ds:itemID="{1C2E3F89-D935-425C-B739-A13258D750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Pailler</cp:lastModifiedBy>
  <dcterms:created xsi:type="dcterms:W3CDTF">2021-02-01T08:22:39Z</dcterms:created>
  <dcterms:modified xsi:type="dcterms:W3CDTF">2023-09-04T11:13:24Z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