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5_Bordeaux\SF²x4C_Yez_R1\Avril 2023\"/>
    </mc:Choice>
  </mc:AlternateContent>
  <xr:revisionPtr revIDLastSave="0" documentId="13_ncr:1_{51DE443B-7973-404B-B52B-A898EF05AD67}" xr6:coauthVersionLast="47" xr6:coauthVersionMax="47" xr10:uidLastSave="{00000000-0000-0000-0000-000000000000}"/>
  <bookViews>
    <workbookView xWindow="22932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5" i="1" l="1"/>
  <c r="B144" i="1"/>
  <c r="B43" i="1" l="1"/>
  <c r="D43" i="1" s="1"/>
  <c r="D42" i="1"/>
  <c r="D41" i="1"/>
  <c r="D40" i="1"/>
  <c r="D39" i="1"/>
  <c r="D38" i="1"/>
  <c r="D37" i="1"/>
  <c r="B69" i="1" l="1"/>
  <c r="B68" i="1"/>
  <c r="B67" i="1"/>
  <c r="B66" i="1"/>
  <c r="B65" i="1"/>
  <c r="B64" i="1"/>
  <c r="B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FQ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EW7" i="2" s="1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HG20" i="2"/>
  <c r="EW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B28" i="2" s="1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EB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I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X43" i="2"/>
  <c r="HG43" i="2"/>
  <c r="DG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EW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FS113" i="2"/>
  <c r="EB113" i="2"/>
  <c r="HG113" i="2"/>
  <c r="EW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G130" i="2"/>
  <c r="FS130" i="2"/>
  <c r="HI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HI150" i="2"/>
  <c r="HH150" i="2"/>
  <c r="HG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DI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DH156" i="2" l="1"/>
  <c r="FS156" i="2"/>
  <c r="HI156" i="2"/>
  <c r="HH156" i="2"/>
  <c r="HG156" i="2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A157" i="2"/>
  <c r="EX157" i="2"/>
  <c r="HH157" i="2"/>
  <c r="HG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A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Y159" i="2"/>
  <c r="HI160" i="2"/>
  <c r="EC160" i="2"/>
  <c r="HH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A161" i="2"/>
  <c r="ED160" i="2"/>
  <c r="AB161" i="2"/>
  <c r="E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DI161" i="2"/>
  <c r="EC162" i="2"/>
  <c r="HH162" i="2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G163" i="2" l="1"/>
  <c r="EB163" i="2"/>
  <c r="ED162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DH164" i="2"/>
  <c r="FS164" i="2"/>
  <c r="EA164" i="2"/>
  <c r="EX164" i="2"/>
  <c r="EV164" i="2"/>
  <c r="FR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EA167" i="2"/>
  <c r="DG167" i="2"/>
  <c r="EC167" i="2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C168" i="2"/>
  <c r="DG168" i="2"/>
  <c r="EV168" i="2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X169" i="2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B172" i="2"/>
  <c r="HG172" i="2"/>
  <c r="EW172" i="2"/>
  <c r="EV172" i="2"/>
  <c r="EA172" i="2"/>
  <c r="HI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HH173" i="2"/>
  <c r="HJ172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A175" i="2" l="1"/>
  <c r="EB175" i="2"/>
  <c r="AA175" i="2"/>
  <c r="EW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B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G178" i="2"/>
  <c r="EB178" i="2"/>
  <c r="EA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V179" i="2"/>
  <c r="EY179" i="2" s="1"/>
  <c r="EB179" i="2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HI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A186" i="2"/>
  <c r="HH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ED187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HH189" i="2" l="1"/>
  <c r="EB189" i="2"/>
  <c r="EV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I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HH192" i="2"/>
  <c r="EC192" i="2"/>
  <c r="EA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DI192" i="2" l="1"/>
  <c r="EX193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FQ194" i="2"/>
  <c r="ED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FQ195" i="2"/>
  <c r="ED194" i="2"/>
  <c r="DH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H199" i="2"/>
  <c r="EV199" i="2"/>
  <c r="EW199" i="2"/>
  <c r="HG199" i="2"/>
  <c r="HJ199" i="2" s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B201" i="2"/>
  <c r="FS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87" i="2" a="1"/>
  <c r="EI87" i="2" s="1"/>
  <c r="EI34" i="2" a="1"/>
  <c r="EI34" i="2" s="1"/>
  <c r="EI113" i="2" a="1"/>
  <c r="EI113" i="2" s="1"/>
  <c r="EI35" i="2" a="1"/>
  <c r="EI35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I170" i="2" l="1" a="1"/>
  <c r="EI170" i="2" s="1"/>
  <c r="EI57" i="2" a="1"/>
  <c r="EI57" i="2" s="1"/>
  <c r="EI106" i="2" a="1"/>
  <c r="EI106" i="2" s="1"/>
  <c r="EI162" i="2" a="1"/>
  <c r="EI162" i="2" s="1"/>
  <c r="EI16" i="2" a="1"/>
  <c r="EI16" i="2" s="1"/>
  <c r="EI36" i="2" a="1"/>
  <c r="EI36" i="2" s="1"/>
  <c r="EI153" i="2" a="1"/>
  <c r="EI153" i="2" s="1"/>
  <c r="HG203" i="2"/>
  <c r="EI128" i="2" a="1"/>
  <c r="EI128" i="2" s="1"/>
  <c r="EI109" i="2" a="1"/>
  <c r="EI109" i="2" s="1"/>
  <c r="EI178" i="2" a="1"/>
  <c r="EI178" i="2" s="1"/>
  <c r="EI198" i="2" a="1"/>
  <c r="EI198" i="2" s="1"/>
  <c r="EI37" i="2" a="1"/>
  <c r="EI37" i="2" s="1"/>
  <c r="EI20" i="2" a="1"/>
  <c r="EI20" i="2" s="1"/>
  <c r="EI38" i="2" a="1"/>
  <c r="EI38" i="2" s="1"/>
  <c r="EI145" i="2" a="1"/>
  <c r="EI145" i="2" s="1"/>
  <c r="FR203" i="2"/>
  <c r="EI139" i="2" a="1"/>
  <c r="EI139" i="2" s="1"/>
  <c r="EI165" i="2" a="1"/>
  <c r="EI165" i="2" s="1"/>
  <c r="EI150" i="2" a="1"/>
  <c r="EI150" i="2" s="1"/>
  <c r="EI67" i="2" a="1"/>
  <c r="EI67" i="2" s="1"/>
  <c r="EI71" i="2" a="1"/>
  <c r="EI71" i="2" s="1"/>
  <c r="EI195" i="2" a="1"/>
  <c r="EI195" i="2" s="1"/>
  <c r="EI29" i="2" a="1"/>
  <c r="EI29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D60" i="2" l="1"/>
  <c r="CD199" i="2"/>
  <c r="CD122" i="2"/>
  <c r="CD168" i="2"/>
  <c r="CD146" i="2"/>
  <c r="CD42" i="2"/>
  <c r="CD190" i="2"/>
  <c r="CD174" i="2"/>
  <c r="CD95" i="2"/>
  <c r="CD82" i="2"/>
  <c r="CD32" i="2"/>
  <c r="CD173" i="2"/>
  <c r="CD19" i="2"/>
  <c r="CD89" i="2"/>
  <c r="CD3" i="2"/>
  <c r="C9" i="4" s="1"/>
  <c r="E9" i="4" s="1"/>
  <c r="F9" i="4" s="1"/>
  <c r="G9" i="4" s="1"/>
  <c r="L9" i="4" s="1"/>
  <c r="CD147" i="2"/>
  <c r="CD197" i="2"/>
  <c r="CD183" i="2"/>
  <c r="CD6" i="2"/>
  <c r="CD46" i="2"/>
  <c r="CD69" i="2"/>
  <c r="CD28" i="2"/>
  <c r="CD62" i="2"/>
  <c r="CD35" i="2"/>
  <c r="CD29" i="2"/>
  <c r="CD77" i="2"/>
  <c r="CD10" i="2"/>
  <c r="CD72" i="2"/>
  <c r="CD18" i="2"/>
  <c r="CD90" i="2"/>
  <c r="CD139" i="2"/>
  <c r="CD50" i="2"/>
  <c r="CD70" i="2"/>
  <c r="CD114" i="2"/>
  <c r="CD141" i="2"/>
  <c r="CD148" i="2"/>
  <c r="CD40" i="2"/>
  <c r="CD192" i="2"/>
  <c r="CD193" i="2"/>
  <c r="CD126" i="2"/>
  <c r="CD107" i="2"/>
  <c r="CD91" i="2"/>
  <c r="CD106" i="2"/>
  <c r="CD120" i="2"/>
  <c r="CD85" i="2"/>
  <c r="CD75" i="2"/>
  <c r="CD124" i="2"/>
  <c r="CD175" i="2"/>
  <c r="CD128" i="2"/>
  <c r="CD145" i="2"/>
  <c r="CD55" i="2"/>
  <c r="CD203" i="2"/>
  <c r="CD159" i="2"/>
  <c r="CD8" i="2"/>
  <c r="CD101" i="2"/>
  <c r="CD41" i="2"/>
  <c r="CD22" i="2"/>
  <c r="CD5" i="2"/>
  <c r="CD151" i="2"/>
  <c r="CD26" i="2"/>
  <c r="CD36" i="2"/>
  <c r="CD143" i="2"/>
  <c r="CD182" i="2"/>
  <c r="CD161" i="2"/>
  <c r="CD4" i="2"/>
  <c r="CD150" i="2"/>
  <c r="CD178" i="2"/>
  <c r="CD119" i="2"/>
  <c r="CD200" i="2"/>
  <c r="CD131" i="2"/>
  <c r="CD44" i="2"/>
  <c r="CD132" i="2"/>
  <c r="CD127" i="2"/>
  <c r="CD180" i="2"/>
  <c r="CD30" i="2"/>
  <c r="CD66" i="2"/>
  <c r="CD118" i="2"/>
  <c r="CD113" i="2"/>
  <c r="CD142" i="2"/>
  <c r="CD186" i="2"/>
  <c r="CD74" i="2"/>
  <c r="CD152" i="2"/>
  <c r="CD34" i="2"/>
  <c r="CD64" i="2"/>
  <c r="CD83" i="2"/>
  <c r="CD31" i="2"/>
  <c r="CD194" i="2"/>
  <c r="CD37" i="2"/>
  <c r="CD47" i="2"/>
  <c r="CD61" i="2"/>
  <c r="CD43" i="2"/>
  <c r="CD67" i="2"/>
  <c r="CD115" i="2"/>
  <c r="CD137" i="2"/>
  <c r="CD185" i="2"/>
  <c r="CD80" i="2"/>
  <c r="CD93" i="2"/>
  <c r="CD112" i="2"/>
  <c r="CD138" i="2"/>
  <c r="CD100" i="2"/>
  <c r="CD68" i="2"/>
  <c r="CD48" i="2"/>
  <c r="CD110" i="2"/>
  <c r="CD104" i="2"/>
  <c r="CD176" i="2"/>
  <c r="CD163" i="2"/>
  <c r="CD156" i="2"/>
  <c r="CD160" i="2"/>
  <c r="CD179" i="2"/>
  <c r="CD198" i="2"/>
  <c r="CD172" i="2"/>
  <c r="CD78" i="2"/>
  <c r="CD125" i="2"/>
  <c r="CD154" i="2"/>
  <c r="CD76" i="2"/>
  <c r="CD189" i="2"/>
  <c r="CD105" i="2"/>
  <c r="CD56" i="2"/>
  <c r="CD117" i="2"/>
  <c r="CD103" i="2"/>
  <c r="CD7" i="2"/>
  <c r="CD196" i="2"/>
  <c r="CD171" i="2"/>
  <c r="CD87" i="2"/>
  <c r="CD13" i="2"/>
  <c r="CD59" i="2"/>
  <c r="CD164" i="2"/>
  <c r="CD52" i="2"/>
  <c r="CD65" i="2"/>
  <c r="CD129" i="2"/>
  <c r="CD38" i="2"/>
  <c r="CD45" i="2"/>
  <c r="CD181" i="2"/>
  <c r="CD53" i="2"/>
  <c r="CD9" i="2"/>
  <c r="CD123" i="2"/>
  <c r="CD133" i="2"/>
  <c r="CD63" i="2"/>
  <c r="CD149" i="2"/>
  <c r="CD54" i="2"/>
  <c r="CD177" i="2"/>
  <c r="CD88" i="2"/>
  <c r="CD14" i="2"/>
  <c r="CD73" i="2"/>
  <c r="CD17" i="2"/>
  <c r="CD195" i="2"/>
  <c r="CD51" i="2"/>
  <c r="CD84" i="2"/>
  <c r="CD12" i="2"/>
  <c r="CD134" i="2"/>
  <c r="CD158" i="2"/>
  <c r="CD94" i="2"/>
  <c r="CD166" i="2"/>
  <c r="CD58" i="2"/>
  <c r="CD188" i="2"/>
  <c r="CD153" i="2"/>
  <c r="CD11" i="2"/>
  <c r="CD16" i="2"/>
  <c r="CD57" i="2"/>
  <c r="CD23" i="2"/>
  <c r="CD169" i="2"/>
  <c r="CD162" i="2"/>
  <c r="CD25" i="2"/>
  <c r="CD49" i="2"/>
  <c r="CD167" i="2"/>
  <c r="CD71" i="2"/>
  <c r="CD99" i="2"/>
  <c r="CD109" i="2"/>
  <c r="CD187" i="2"/>
  <c r="CD135" i="2"/>
  <c r="CD201" i="2"/>
  <c r="CD33" i="2"/>
  <c r="CD39" i="2"/>
  <c r="CD24" i="2"/>
  <c r="CD165" i="2"/>
  <c r="CD96" i="2"/>
  <c r="CD97" i="2"/>
  <c r="CD136" i="2"/>
  <c r="CD184" i="2"/>
  <c r="CD79" i="2"/>
  <c r="CD21" i="2"/>
  <c r="CD155" i="2"/>
  <c r="CD81" i="2"/>
  <c r="CD121" i="2"/>
  <c r="CD108" i="2"/>
  <c r="CD140" i="2"/>
  <c r="CD27" i="2"/>
  <c r="CD111" i="2"/>
  <c r="CD86" i="2"/>
  <c r="CD15" i="2"/>
  <c r="CD170" i="2"/>
  <c r="CD20" i="2"/>
  <c r="CD92" i="2"/>
  <c r="CD191" i="2"/>
  <c r="CD130" i="2"/>
  <c r="CD202" i="2"/>
  <c r="CD102" i="2"/>
  <c r="CD116" i="2"/>
  <c r="CD157" i="2"/>
  <c r="CD98" i="2"/>
  <c r="CD144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4" i="2" l="1"/>
  <c r="CY167" i="2"/>
  <c r="CY196" i="2"/>
  <c r="CY187" i="2"/>
  <c r="CY149" i="2"/>
  <c r="CY55" i="2"/>
  <c r="CY129" i="2"/>
  <c r="CY170" i="2"/>
  <c r="CY132" i="2"/>
  <c r="CY161" i="2"/>
  <c r="CY98" i="2"/>
  <c r="CY111" i="2"/>
  <c r="CY127" i="2"/>
  <c r="CY147" i="2"/>
  <c r="CY49" i="2"/>
  <c r="CY56" i="2"/>
  <c r="CY131" i="2"/>
  <c r="CY63" i="2"/>
  <c r="CY183" i="2"/>
  <c r="CY76" i="2"/>
  <c r="CY178" i="2"/>
  <c r="CY74" i="2"/>
  <c r="CY193" i="2"/>
  <c r="CY12" i="2"/>
  <c r="CY82" i="2"/>
  <c r="CY52" i="2"/>
  <c r="CY150" i="2"/>
  <c r="CY181" i="2"/>
  <c r="CY14" i="2"/>
  <c r="CY84" i="2"/>
  <c r="CY114" i="2"/>
  <c r="CY140" i="2"/>
  <c r="CY163" i="2"/>
  <c r="CY135" i="2"/>
  <c r="CY191" i="2"/>
  <c r="CY10" i="2"/>
  <c r="CY156" i="2"/>
  <c r="CY41" i="2"/>
  <c r="CY23" i="2"/>
  <c r="CY85" i="2"/>
  <c r="CY16" i="2"/>
  <c r="CY145" i="2"/>
  <c r="CY32" i="2"/>
  <c r="CY146" i="2"/>
  <c r="CY113" i="2"/>
  <c r="CY160" i="2"/>
  <c r="CY38" i="2"/>
  <c r="CY90" i="2"/>
  <c r="CY139" i="2"/>
  <c r="CY136" i="2"/>
  <c r="CY200" i="2"/>
  <c r="CY15" i="2"/>
  <c r="CY202" i="2"/>
  <c r="CY102" i="2"/>
  <c r="CY118" i="2"/>
  <c r="CY22" i="2"/>
  <c r="CY157" i="2"/>
  <c r="CY186" i="2"/>
  <c r="CY29" i="2"/>
  <c r="CY201" i="2"/>
  <c r="CY190" i="2"/>
  <c r="CY50" i="2"/>
  <c r="CY199" i="2"/>
  <c r="CY203" i="2"/>
  <c r="CY133" i="2"/>
  <c r="CY130" i="2"/>
  <c r="CY143" i="2"/>
  <c r="CY30" i="2"/>
  <c r="CY57" i="2"/>
  <c r="CY122" i="2"/>
  <c r="CY34" i="2"/>
  <c r="CY27" i="2"/>
  <c r="CY169" i="2"/>
  <c r="CY165" i="2"/>
  <c r="CY95" i="2"/>
  <c r="CY89" i="2"/>
  <c r="CY25" i="2"/>
  <c r="CY158" i="2"/>
  <c r="CY43" i="2"/>
  <c r="CY110" i="2"/>
  <c r="CY184" i="2"/>
  <c r="CY137" i="2"/>
  <c r="CY31" i="2"/>
  <c r="CY65" i="2"/>
  <c r="CY17" i="2"/>
  <c r="CY174" i="2"/>
  <c r="CY18" i="2"/>
  <c r="CY123" i="2"/>
  <c r="CY39" i="2"/>
  <c r="CY153" i="2"/>
  <c r="CY164" i="2"/>
  <c r="CY40" i="2"/>
  <c r="CY128" i="2"/>
  <c r="CY81" i="2"/>
  <c r="CY69" i="2"/>
  <c r="CY96" i="2"/>
  <c r="CY6" i="2"/>
  <c r="CY97" i="2"/>
  <c r="CY87" i="2"/>
  <c r="CY68" i="2"/>
  <c r="CY28" i="2"/>
  <c r="CY116" i="2"/>
  <c r="CY8" i="2"/>
  <c r="CY20" i="2"/>
  <c r="CY189" i="2"/>
  <c r="CY44" i="2"/>
  <c r="CY79" i="2"/>
  <c r="CY33" i="2"/>
  <c r="CY112" i="2"/>
  <c r="CY119" i="2"/>
  <c r="CY141" i="2"/>
  <c r="CY71" i="2"/>
  <c r="CY70" i="2"/>
  <c r="CY101" i="2"/>
  <c r="CY197" i="2"/>
  <c r="CY21" i="2"/>
  <c r="CY173" i="2"/>
  <c r="CY26" i="2"/>
  <c r="CY148" i="2"/>
  <c r="CY180" i="2"/>
  <c r="CY72" i="2"/>
  <c r="CY106" i="2"/>
  <c r="CY88" i="2"/>
  <c r="CY166" i="2"/>
  <c r="CY179" i="2"/>
  <c r="CY80" i="2"/>
  <c r="CY66" i="2"/>
  <c r="CY45" i="2"/>
  <c r="CY152" i="2"/>
  <c r="CY195" i="2"/>
  <c r="CY48" i="2"/>
  <c r="CY7" i="2"/>
  <c r="CY188" i="2"/>
  <c r="CY35" i="2"/>
  <c r="CY105" i="2"/>
  <c r="CY138" i="2"/>
  <c r="CY151" i="2"/>
  <c r="CY13" i="2"/>
  <c r="CY107" i="2"/>
  <c r="CY4" i="2"/>
  <c r="CY59" i="2"/>
  <c r="CY83" i="2"/>
  <c r="CY93" i="2"/>
  <c r="CY162" i="2"/>
  <c r="CY51" i="2"/>
  <c r="CY171" i="2"/>
  <c r="CY103" i="2"/>
  <c r="CY134" i="2"/>
  <c r="CY120" i="2"/>
  <c r="CY77" i="2"/>
  <c r="CY47" i="2"/>
  <c r="CY9" i="2"/>
  <c r="CY37" i="2"/>
  <c r="CY121" i="2"/>
  <c r="CY5" i="2"/>
  <c r="CY99" i="2"/>
  <c r="CY92" i="2"/>
  <c r="CY3" i="2"/>
  <c r="C10" i="4" s="1"/>
  <c r="E10" i="4" s="1"/>
  <c r="F10" i="4" s="1"/>
  <c r="G10" i="4" s="1"/>
  <c r="L10" i="4" s="1"/>
  <c r="CY75" i="2"/>
  <c r="CY94" i="2"/>
  <c r="CY62" i="2"/>
  <c r="CY168" i="2"/>
  <c r="CY155" i="2"/>
  <c r="CY117" i="2"/>
  <c r="CY58" i="2"/>
  <c r="CY54" i="2"/>
  <c r="CY91" i="2"/>
  <c r="CY126" i="2"/>
  <c r="CY194" i="2"/>
  <c r="CY125" i="2"/>
  <c r="CY67" i="2"/>
  <c r="CY42" i="2"/>
  <c r="CY61" i="2"/>
  <c r="CY78" i="2"/>
  <c r="CY109" i="2"/>
  <c r="CY185" i="2"/>
  <c r="CY175" i="2"/>
  <c r="CY19" i="2"/>
  <c r="CY64" i="2"/>
  <c r="CY124" i="2"/>
  <c r="CY115" i="2"/>
  <c r="CY198" i="2"/>
  <c r="CY46" i="2"/>
  <c r="CY86" i="2"/>
  <c r="CY11" i="2"/>
  <c r="CY104" i="2"/>
  <c r="CY144" i="2"/>
  <c r="CY172" i="2"/>
  <c r="CY100" i="2"/>
  <c r="CY154" i="2"/>
  <c r="CY36" i="2"/>
  <c r="CY142" i="2"/>
  <c r="CY192" i="2"/>
  <c r="CY177" i="2"/>
  <c r="CY108" i="2"/>
  <c r="CY53" i="2"/>
  <c r="CY73" i="2"/>
  <c r="CY159" i="2"/>
  <c r="CY182" i="2"/>
  <c r="CY60" i="2"/>
  <c r="CY176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8" i="2" l="1"/>
  <c r="BI61" i="2"/>
  <c r="BI47" i="2"/>
  <c r="BI163" i="2"/>
  <c r="BI164" i="2"/>
  <c r="BI7" i="2"/>
  <c r="BI152" i="2"/>
  <c r="BI145" i="2"/>
  <c r="BI100" i="2"/>
  <c r="BI38" i="2"/>
  <c r="BI22" i="2"/>
  <c r="BI127" i="2"/>
  <c r="BI85" i="2"/>
  <c r="BI177" i="2"/>
  <c r="BI170" i="2"/>
  <c r="BI143" i="2"/>
  <c r="BI142" i="2"/>
  <c r="BI95" i="2"/>
  <c r="BI108" i="2"/>
  <c r="BI132" i="2"/>
  <c r="BI97" i="2"/>
  <c r="BI39" i="2"/>
  <c r="BI101" i="2"/>
  <c r="BI10" i="2"/>
  <c r="BI173" i="2"/>
  <c r="BI130" i="2"/>
  <c r="BI88" i="2"/>
  <c r="BI77" i="2"/>
  <c r="BI40" i="2"/>
  <c r="BI74" i="2"/>
  <c r="BI20" i="2"/>
  <c r="BI11" i="2"/>
  <c r="BI57" i="2"/>
  <c r="BI105" i="2"/>
  <c r="BI45" i="2"/>
  <c r="BI140" i="2"/>
  <c r="BI92" i="2"/>
  <c r="BI60" i="2"/>
  <c r="BI144" i="2"/>
  <c r="BI37" i="2"/>
  <c r="BI59" i="2"/>
  <c r="BI178" i="2"/>
  <c r="BI21" i="2"/>
  <c r="BI175" i="2"/>
  <c r="BI171" i="2"/>
  <c r="BI179" i="2"/>
  <c r="BI169" i="2"/>
  <c r="BI156" i="2"/>
  <c r="BI58" i="2"/>
  <c r="BI62" i="2"/>
  <c r="BI125" i="2"/>
  <c r="BI128" i="2"/>
  <c r="BI68" i="2"/>
  <c r="BI87" i="2"/>
  <c r="BI72" i="2"/>
  <c r="BI8" i="2"/>
  <c r="BI116" i="2"/>
  <c r="BI103" i="2"/>
  <c r="BI111" i="2"/>
  <c r="BI159" i="2"/>
  <c r="BI28" i="2"/>
  <c r="BI86" i="2"/>
  <c r="BI99" i="2"/>
  <c r="BI106" i="2"/>
  <c r="BI157" i="2"/>
  <c r="BI155" i="2"/>
  <c r="BI141" i="2"/>
  <c r="BI25" i="2"/>
  <c r="BI129" i="2"/>
  <c r="BI139" i="2"/>
  <c r="BI19" i="2"/>
  <c r="BI123" i="2"/>
  <c r="BI180" i="2"/>
  <c r="BI151" i="2"/>
  <c r="BI15" i="2"/>
  <c r="BI158" i="2"/>
  <c r="BI198" i="2"/>
  <c r="BI52" i="2"/>
  <c r="BI64" i="2"/>
  <c r="BI134" i="2"/>
  <c r="BI199" i="2"/>
  <c r="BI154" i="2"/>
  <c r="BI192" i="2"/>
  <c r="BI135" i="2"/>
  <c r="BI165" i="2"/>
  <c r="BI73" i="2"/>
  <c r="BI56" i="2"/>
  <c r="BI189" i="2"/>
  <c r="BI55" i="2"/>
  <c r="BI187" i="2"/>
  <c r="BI51" i="2"/>
  <c r="BI63" i="2"/>
  <c r="BI29" i="2"/>
  <c r="BI114" i="2"/>
  <c r="BI160" i="2"/>
  <c r="BI31" i="2"/>
  <c r="BI167" i="2"/>
  <c r="BI196" i="2"/>
  <c r="BI186" i="2"/>
  <c r="BI6" i="2"/>
  <c r="BI89" i="2"/>
  <c r="BI66" i="2"/>
  <c r="BI13" i="2"/>
  <c r="BI27" i="2"/>
  <c r="BI94" i="2"/>
  <c r="BI79" i="2"/>
  <c r="BI44" i="2"/>
  <c r="BI121" i="2"/>
  <c r="BI149" i="2"/>
  <c r="BI34" i="2"/>
  <c r="BI133" i="2"/>
  <c r="BI107" i="2"/>
  <c r="BI109" i="2"/>
  <c r="BI124" i="2"/>
  <c r="BI75" i="2"/>
  <c r="BI84" i="2"/>
  <c r="BI36" i="2"/>
  <c r="BI147" i="2"/>
  <c r="BI197" i="2"/>
  <c r="BI4" i="2"/>
  <c r="BI12" i="2"/>
  <c r="BI136" i="2"/>
  <c r="BI50" i="2"/>
  <c r="BI161" i="2"/>
  <c r="BI80" i="2"/>
  <c r="BI137" i="2"/>
  <c r="BI93" i="2"/>
  <c r="BI176" i="2"/>
  <c r="BI53" i="2"/>
  <c r="BI96" i="2"/>
  <c r="BI41" i="2"/>
  <c r="BI183" i="2"/>
  <c r="BI118" i="2"/>
  <c r="BI150" i="2"/>
  <c r="BI78" i="2"/>
  <c r="BI120" i="2"/>
  <c r="BI146" i="2"/>
  <c r="BI26" i="2"/>
  <c r="BI91" i="2"/>
  <c r="BI182" i="2"/>
  <c r="BI148" i="2"/>
  <c r="BI184" i="2"/>
  <c r="BI119" i="2"/>
  <c r="BI117" i="2"/>
  <c r="BI193" i="2"/>
  <c r="BI162" i="2"/>
  <c r="BI126" i="2"/>
  <c r="BI131" i="2"/>
  <c r="BI35" i="2"/>
  <c r="BI112" i="2"/>
  <c r="BI190" i="2"/>
  <c r="BI191" i="2"/>
  <c r="BI113" i="2"/>
  <c r="BI202" i="2"/>
  <c r="BI172" i="2"/>
  <c r="BI23" i="2"/>
  <c r="BI9" i="2"/>
  <c r="BI90" i="2"/>
  <c r="BI69" i="2"/>
  <c r="BI201" i="2"/>
  <c r="BI33" i="2"/>
  <c r="BI166" i="2"/>
  <c r="BI76" i="2"/>
  <c r="BI67" i="2"/>
  <c r="BI168" i="2"/>
  <c r="BI70" i="2"/>
  <c r="BI82" i="2"/>
  <c r="BI71" i="2"/>
  <c r="BI83" i="2"/>
  <c r="BI18" i="2"/>
  <c r="BI200" i="2"/>
  <c r="BI46" i="2"/>
  <c r="BI65" i="2"/>
  <c r="BI181" i="2"/>
  <c r="BI42" i="2"/>
  <c r="BI32" i="2"/>
  <c r="BI153" i="2"/>
  <c r="BI98" i="2"/>
  <c r="BI3" i="2"/>
  <c r="C8" i="4" s="1"/>
  <c r="E8" i="4" s="1"/>
  <c r="F8" i="4" s="1"/>
  <c r="G8" i="4" s="1"/>
  <c r="L8" i="4" s="1"/>
  <c r="BI188" i="2"/>
  <c r="BI104" i="2"/>
  <c r="BI122" i="2"/>
  <c r="BI115" i="2"/>
  <c r="BI81" i="2"/>
  <c r="BI49" i="2"/>
  <c r="BI14" i="2"/>
  <c r="BI102" i="2"/>
  <c r="BI203" i="2"/>
  <c r="BI54" i="2"/>
  <c r="BI43" i="2"/>
  <c r="BI16" i="2"/>
  <c r="BI5" i="2"/>
  <c r="BI195" i="2"/>
  <c r="BI194" i="2"/>
  <c r="BI30" i="2"/>
  <c r="BI138" i="2"/>
  <c r="BI110" i="2"/>
  <c r="BI17" i="2"/>
  <c r="BI24" i="2"/>
  <c r="BI185" i="2"/>
  <c r="BI174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<sst xmlns="http://schemas.openxmlformats.org/spreadsheetml/2006/main" count="1175" uniqueCount="324">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</sst>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1.9960712331870976</c:v>
                </c:pt>
                <c:pt idx="2">
                  <c:v>2.7416990049638525</c:v>
                </c:pt>
                <c:pt idx="3">
                  <c:v>3.7670473110861704</c:v>
                </c:pt>
                <c:pt idx="4">
                  <c:v>5.1774741551981576</c:v>
                </c:pt>
                <c:pt idx="5">
                  <c:v>7.1181693875211574</c:v>
                </c:pt>
                <c:pt idx="6">
                  <c:v>9.7892655629651237</c:v>
                </c:pt>
                <c:pt idx="7">
                  <c:v>13.466699485205766</c:v>
                </c:pt>
                <c:pt idx="8">
                  <c:v>18.531019264339804</c:v>
                </c:pt>
                <c:pt idx="9">
                  <c:v>25.507171589561072</c:v>
                </c:pt>
                <c:pt idx="10">
                  <c:v>35.11946593524749</c:v>
                </c:pt>
                <c:pt idx="11">
                  <c:v>60.297639146616369</c:v>
                </c:pt>
                <c:pt idx="12">
                  <c:v>85.194768164020218</c:v>
                </c:pt>
                <c:pt idx="13">
                  <c:v>109.90665396759691</c:v>
                </c:pt>
                <c:pt idx="14">
                  <c:v>134.48126302738513</c:v>
                </c:pt>
                <c:pt idx="15">
                  <c:v>158.94734253479243</c:v>
                </c:pt>
                <c:pt idx="16">
                  <c:v>183.32399225800421</c:v>
                </c:pt>
                <c:pt idx="17">
                  <c:v>207.62479146984003</c:v>
                </c:pt>
                <c:pt idx="18">
                  <c:v>231.85987083514178</c:v>
                </c:pt>
                <c:pt idx="19">
                  <c:v>256.03706594115926</c:v>
                </c:pt>
                <c:pt idx="20">
                  <c:v>280.16260989796973</c:v>
                </c:pt>
                <c:pt idx="21">
                  <c:v>188.04464873361908</c:v>
                </c:pt>
                <c:pt idx="22">
                  <c:v>221.25703044371778</c:v>
                </c:pt>
                <c:pt idx="23">
                  <c:v>254.35482042421077</c:v>
                </c:pt>
                <c:pt idx="24">
                  <c:v>287.35503217179325</c:v>
                </c:pt>
                <c:pt idx="25">
                  <c:v>320.27044348252321</c:v>
                </c:pt>
                <c:pt idx="26">
                  <c:v>353.11098821334605</c:v>
                </c:pt>
                <c:pt idx="27">
                  <c:v>385.88460083872718</c:v>
                </c:pt>
                <c:pt idx="28">
                  <c:v>418.59775818754741</c:v>
                </c:pt>
                <c:pt idx="29">
                  <c:v>451.25584262505646</c:v>
                </c:pt>
                <c:pt idx="30">
                  <c:v>483.86339446304572</c:v>
                </c:pt>
                <c:pt idx="31">
                  <c:v>349.29312109132542</c:v>
                </c:pt>
                <c:pt idx="32">
                  <c:v>381.24052241560281</c:v>
                </c:pt>
                <c:pt idx="33">
                  <c:v>413.12970902158912</c:v>
                </c:pt>
                <c:pt idx="34">
                  <c:v>444.96580033395298</c:v>
                </c:pt>
                <c:pt idx="35">
                  <c:v>476.75312396624321</c:v>
                </c:pt>
                <c:pt idx="36">
                  <c:v>508.4953838956676</c:v>
                </c:pt>
                <c:pt idx="37">
                  <c:v>540.19578443936393</c:v>
                </c:pt>
                <c:pt idx="38">
                  <c:v>571.8571236111394</c:v>
                </c:pt>
                <c:pt idx="39">
                  <c:v>603.48186473059241</c:v>
                </c:pt>
                <c:pt idx="40">
                  <c:v>635.07219224690084</c:v>
                </c:pt>
                <c:pt idx="41">
                  <c:v>496.65631445060126</c:v>
                </c:pt>
                <c:pt idx="42">
                  <c:v>523.64091513728647</c:v>
                </c:pt>
                <c:pt idx="43">
                  <c:v>550.59622582737018</c:v>
                </c:pt>
                <c:pt idx="44">
                  <c:v>577.52388027951656</c:v>
                </c:pt>
                <c:pt idx="45">
                  <c:v>604.42534765809012</c:v>
                </c:pt>
                <c:pt idx="46">
                  <c:v>631.30195584847183</c:v>
                </c:pt>
                <c:pt idx="47">
                  <c:v>658.15491059834255</c:v>
                </c:pt>
                <c:pt idx="48">
                  <c:v>684.98531137525208</c:v>
                </c:pt>
                <c:pt idx="49">
                  <c:v>711.79416461281119</c:v>
                </c:pt>
                <c:pt idx="50">
                  <c:v>738.58239485956028</c:v>
                </c:pt>
                <c:pt idx="51">
                  <c:v>609.49604560795967</c:v>
                </c:pt>
                <c:pt idx="52">
                  <c:v>632.2445584894391</c:v>
                </c:pt>
                <c:pt idx="53">
                  <c:v>654.97615321685669</c:v>
                </c:pt>
                <c:pt idx="54">
                  <c:v>677.69149890374536</c:v>
                </c:pt>
                <c:pt idx="55">
                  <c:v>700.39121620344451</c:v>
                </c:pt>
                <c:pt idx="56">
                  <c:v>723.07588230699582</c:v>
                </c:pt>
                <c:pt idx="57">
                  <c:v>745.74603528189357</c:v>
                </c:pt>
                <c:pt idx="58">
                  <c:v>768.40217785639322</c:v>
                </c:pt>
                <c:pt idx="59">
                  <c:v>791.04478073480857</c:v>
                </c:pt>
                <c:pt idx="60">
                  <c:v>813.67428551393857</c:v>
                </c:pt>
                <c:pt idx="61">
                  <c:v>719.55073421012912</c:v>
                </c:pt>
                <c:pt idx="62">
                  <c:v>738.11259868718491</c:v>
                </c:pt>
                <c:pt idx="63">
                  <c:v>756.66496313732296</c:v>
                </c:pt>
                <c:pt idx="64">
                  <c:v>775.20809304811462</c:v>
                </c:pt>
                <c:pt idx="65">
                  <c:v>793.74224018427151</c:v>
                </c:pt>
                <c:pt idx="66">
                  <c:v>812.26764360731715</c:v>
                </c:pt>
                <c:pt idx="67">
                  <c:v>830.78453059749984</c:v>
                </c:pt>
                <c:pt idx="68">
                  <c:v>849.29311748933662</c:v>
                </c:pt>
                <c:pt idx="69">
                  <c:v>867.79361043061851</c:v>
                </c:pt>
                <c:pt idx="70">
                  <c:v>886.28620607340656</c:v>
                </c:pt>
                <c:pt idx="71">
                  <c:v>807.69571767022671</c:v>
                </c:pt>
                <c:pt idx="72">
                  <c:v>822.81626726121738</c:v>
                </c:pt>
                <c:pt idx="73">
                  <c:v>837.93122299822573</c:v>
                </c:pt>
                <c:pt idx="74">
                  <c:v>853.04069990631922</c:v>
                </c:pt>
                <c:pt idx="75">
                  <c:v>868.14480860757533</c:v>
                </c:pt>
                <c:pt idx="76">
                  <c:v>883.24365556486009</c:v>
                </c:pt>
                <c:pt idx="77">
                  <c:v>898.33734330808841</c:v>
                </c:pt>
                <c:pt idx="78">
                  <c:v>913.42597064450467</c:v>
                </c:pt>
                <c:pt idx="79">
                  <c:v>928.50963285436319</c:v>
                </c:pt>
                <c:pt idx="80">
                  <c:v>943.58842187324615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1.9304236770755561</c:v>
                </c:pt>
                <c:pt idx="2">
                  <c:v>2.2005431941130786</c:v>
                </c:pt>
                <c:pt idx="3">
                  <c:v>2.5085966027473376</c:v>
                </c:pt>
                <c:pt idx="4">
                  <c:v>2.8599292900818849</c:v>
                </c:pt>
                <c:pt idx="5">
                  <c:v>3.2606422901155638</c:v>
                </c:pt>
                <c:pt idx="6">
                  <c:v>3.7176994237676539</c:v>
                </c:pt>
                <c:pt idx="7">
                  <c:v>4.2390496717872974</c:v>
                </c:pt>
                <c:pt idx="8">
                  <c:v>4.8337669518256181</c:v>
                </c:pt>
                <c:pt idx="9">
                  <c:v>5.5122097811616655</c:v>
                </c:pt>
                <c:pt idx="10">
                  <c:v>6.2862036612006031</c:v>
                </c:pt>
                <c:pt idx="11">
                  <c:v>7.1692494252757299</c:v>
                </c:pt>
                <c:pt idx="12">
                  <c:v>8.1767612547718809</c:v>
                </c:pt>
                <c:pt idx="13">
                  <c:v>9.3263385984806693</c:v>
                </c:pt>
                <c:pt idx="14">
                  <c:v>10.63807683593024</c:v>
                </c:pt>
                <c:pt idx="15">
                  <c:v>12.134922218106686</c:v>
                </c:pt>
                <c:pt idx="16">
                  <c:v>13.843077410971809</c:v>
                </c:pt>
                <c:pt idx="17">
                  <c:v>15.792464872747601</c:v>
                </c:pt>
                <c:pt idx="18">
                  <c:v>18.017256331397849</c:v>
                </c:pt>
                <c:pt idx="19">
                  <c:v>20.556477812757489</c:v>
                </c:pt>
                <c:pt idx="20">
                  <c:v>23.454701023691115</c:v>
                </c:pt>
                <c:pt idx="21">
                  <c:v>26.762833442927743</c:v>
                </c:pt>
                <c:pt idx="22">
                  <c:v>30.539021242761304</c:v>
                </c:pt>
                <c:pt idx="23">
                  <c:v>34.849681189588146</c:v>
                </c:pt>
                <c:pt idx="24">
                  <c:v>39.770679986843192</c:v>
                </c:pt>
                <c:pt idx="25">
                  <c:v>45.388682172129364</c:v>
                </c:pt>
                <c:pt idx="26">
                  <c:v>52.429252431700149</c:v>
                </c:pt>
                <c:pt idx="27">
                  <c:v>59.444843734621855</c:v>
                </c:pt>
                <c:pt idx="28">
                  <c:v>66.438830160068335</c:v>
                </c:pt>
                <c:pt idx="29">
                  <c:v>73.413813630062123</c:v>
                </c:pt>
                <c:pt idx="30">
                  <c:v>80.371859071508695</c:v>
                </c:pt>
                <c:pt idx="31">
                  <c:v>87.892565006654152</c:v>
                </c:pt>
                <c:pt idx="32">
                  <c:v>95.397107943268111</c:v>
                </c:pt>
                <c:pt idx="33">
                  <c:v>102.88694134367064</c:v>
                </c:pt>
                <c:pt idx="34">
                  <c:v>110.36328916215848</c:v>
                </c:pt>
                <c:pt idx="35">
                  <c:v>117.82719554138386</c:v>
                </c:pt>
                <c:pt idx="36">
                  <c:v>125.27956120942126</c:v>
                </c:pt>
                <c:pt idx="37">
                  <c:v>132.72117073355489</c:v>
                </c:pt>
                <c:pt idx="38">
                  <c:v>140.15271332283422</c:v>
                </c:pt>
                <c:pt idx="39">
                  <c:v>147.57479897505831</c:v>
                </c:pt>
                <c:pt idx="40">
                  <c:v>154.98797119694123</c:v>
                </c:pt>
                <c:pt idx="41">
                  <c:v>124.42023577374732</c:v>
                </c:pt>
                <c:pt idx="42">
                  <c:v>132.43514527618871</c:v>
                </c:pt>
                <c:pt idx="43">
                  <c:v>140.43834935186021</c:v>
                </c:pt>
                <c:pt idx="44">
                  <c:v>148.43061018864856</c:v>
                </c:pt>
                <c:pt idx="45">
                  <c:v>156.41260103328369</c:v>
                </c:pt>
                <c:pt idx="46">
                  <c:v>164.38492068159675</c:v>
                </c:pt>
                <c:pt idx="47">
                  <c:v>172.34810500427977</c:v>
                </c:pt>
                <c:pt idx="48">
                  <c:v>180.30263622653692</c:v>
                </c:pt>
                <c:pt idx="49">
                  <c:v>188.24895048125131</c:v>
                </c:pt>
                <c:pt idx="50">
                  <c:v>196.18744401776067</c:v>
                </c:pt>
                <c:pt idx="51">
                  <c:v>164.24263944991466</c:v>
                </c:pt>
                <c:pt idx="52">
                  <c:v>172.06385728933944</c:v>
                </c:pt>
                <c:pt idx="53">
                  <c:v>179.87671263181528</c:v>
                </c:pt>
                <c:pt idx="54">
                  <c:v>187.68162045019108</c:v>
                </c:pt>
                <c:pt idx="55">
                  <c:v>195.47895833058593</c:v>
                </c:pt>
                <c:pt idx="56">
                  <c:v>203.26907123098988</c:v>
                </c:pt>
                <c:pt idx="57">
                  <c:v>211.0522754710428</c:v>
                </c:pt>
                <c:pt idx="58">
                  <c:v>218.82886210158495</c:v>
                </c:pt>
                <c:pt idx="59">
                  <c:v>226.59909976948106</c:v>
                </c:pt>
                <c:pt idx="60">
                  <c:v>234.36323716840596</c:v>
                </c:pt>
                <c:pt idx="61">
                  <c:v>202.13640047813919</c:v>
                </c:pt>
                <c:pt idx="62">
                  <c:v>209.49617300598433</c:v>
                </c:pt>
                <c:pt idx="63">
                  <c:v>216.8499799827207</c:v>
                </c:pt>
                <c:pt idx="64">
                  <c:v>224.19805253054756</c:v>
                </c:pt>
                <c:pt idx="65">
                  <c:v>231.54060536306471</c:v>
                </c:pt>
                <c:pt idx="66">
                  <c:v>238.87783844523804</c:v>
                </c:pt>
                <c:pt idx="67">
                  <c:v>246.20993843849055</c:v>
                </c:pt>
                <c:pt idx="68">
                  <c:v>253.53707996444223</c:v>
                </c:pt>
                <c:pt idx="69">
                  <c:v>260.85942671475146</c:v>
                </c:pt>
                <c:pt idx="70">
                  <c:v>268.17713242968802</c:v>
                </c:pt>
                <c:pt idx="71">
                  <c:v>235.49207202192676</c:v>
                </c:pt>
                <c:pt idx="72">
                  <c:v>242.26251159741639</c:v>
                </c:pt>
                <c:pt idx="73">
                  <c:v>249.02864742441966</c:v>
                </c:pt>
                <c:pt idx="74">
                  <c:v>255.79061309504974</c:v>
                </c:pt>
                <c:pt idx="75">
                  <c:v>262.5485345519366</c:v>
                </c:pt>
                <c:pt idx="76">
                  <c:v>269.30253071627442</c:v>
                </c:pt>
                <c:pt idx="77">
                  <c:v>276.05271404949917</c:v>
                </c:pt>
                <c:pt idx="78">
                  <c:v>282.79919105709723</c:v>
                </c:pt>
                <c:pt idx="79">
                  <c:v>289.54206274177426</c:v>
                </c:pt>
                <c:pt idx="80">
                  <c:v>296.28142501216269</c:v>
                </c:pt>
                <c:pt idx="81">
                  <c:v>262.97077311274961</c:v>
                </c:pt>
                <c:pt idx="82">
                  <c:v>269.02119109240977</c:v>
                </c:pt>
                <c:pt idx="83">
                  <c:v>275.06854562533425</c:v>
                </c:pt>
                <c:pt idx="84">
                  <c:v>281.11291365958601</c:v>
                </c:pt>
                <c:pt idx="85">
                  <c:v>287.15436855951606</c:v>
                </c:pt>
                <c:pt idx="86">
                  <c:v>293.1929803462578</c:v>
                </c:pt>
                <c:pt idx="87">
                  <c:v>299.22881591734904</c:v>
                </c:pt>
                <c:pt idx="88">
                  <c:v>305.26193924769115</c:v>
                </c:pt>
                <c:pt idx="89">
                  <c:v>311.29241157377317</c:v>
                </c:pt>
                <c:pt idx="90">
                  <c:v>317.32029156286308</c:v>
                </c:pt>
                <c:pt idx="91">
                  <c:v>283.22072514214051</c:v>
                </c:pt>
                <c:pt idx="92">
                  <c:v>288.41849703340995</c:v>
                </c:pt>
                <c:pt idx="93">
                  <c:v>293.61417448551703</c:v>
                </c:pt>
                <c:pt idx="94">
                  <c:v>298.80779984677702</c:v>
                </c:pt>
                <c:pt idx="95">
                  <c:v>303.99941387106276</c:v>
                </c:pt>
                <c:pt idx="96">
                  <c:v>309.18905580466088</c:v>
                </c:pt>
                <c:pt idx="97">
                  <c:v>314.37676346698521</c:v>
                </c:pt>
                <c:pt idx="98">
                  <c:v>319.56257332567822</c:v>
                </c:pt>
                <c:pt idx="99">
                  <c:v>324.74652056657845</c:v>
                </c:pt>
                <c:pt idx="100">
                  <c:v>329.92863915898073</c:v>
                </c:pt>
                <c:pt idx="101">
                  <c:v>295.01805764690931</c:v>
                </c:pt>
                <c:pt idx="102">
                  <c:v>299.36915167299821</c:v>
                </c:pt>
                <c:pt idx="103">
                  <c:v>303.71883685080894</c:v>
                </c:pt>
                <c:pt idx="104">
                  <c:v>308.06713623755604</c:v>
                </c:pt>
                <c:pt idx="105">
                  <c:v>312.41407218540218</c:v>
                </c:pt>
                <c:pt idx="106">
                  <c:v>316.75966637275292</c:v>
                </c:pt>
                <c:pt idx="107">
                  <c:v>321.10393983374229</c:v>
                </c:pt>
                <c:pt idx="108">
                  <c:v>325.44691298603828</c:v>
                </c:pt>
                <c:pt idx="109">
                  <c:v>329.78860565708419</c:v>
                </c:pt>
                <c:pt idx="110">
                  <c:v>334.12903710888423</c:v>
                </c:pt>
                <c:pt idx="111">
                  <c:v>300.21113544922025</c:v>
                </c:pt>
                <c:pt idx="112">
                  <c:v>304.13970022013865</c:v>
                </c:pt>
                <c:pt idx="113">
                  <c:v>308.06713623755604</c:v>
                </c:pt>
                <c:pt idx="114">
                  <c:v>311.99345994696802</c:v>
                </c:pt>
                <c:pt idx="115">
                  <c:v>315.91868734548365</c:v>
                </c:pt>
                <c:pt idx="116">
                  <c:v>319.8428339995977</c:v>
                </c:pt>
                <c:pt idx="117">
                  <c:v>323.76591506204613</c:v>
                </c:pt>
                <c:pt idx="118">
                  <c:v>327.68794528779898</c:v>
                </c:pt>
                <c:pt idx="119">
                  <c:v>331.60893904924779</c:v>
                </c:pt>
                <c:pt idx="120">
                  <c:v>335.52891035063607</c:v>
                </c:pt>
                <c:pt idx="121">
                  <c:v>6.2496320642539887E-13</c:v>
                </c:pt>
                <c:pt idx="122">
                  <c:v>6.2496320642539887E-13</c:v>
                </c:pt>
                <c:pt idx="123">
                  <c:v>6.2496320642539887E-13</c:v>
                </c:pt>
                <c:pt idx="124">
                  <c:v>6.2496320642539887E-13</c:v>
                </c:pt>
                <c:pt idx="125">
                  <c:v>6.2496320642539887E-13</c:v>
                </c:pt>
                <c:pt idx="126">
                  <c:v>6.2496320642539887E-13</c:v>
                </c:pt>
                <c:pt idx="127">
                  <c:v>6.2496320642539887E-13</c:v>
                </c:pt>
                <c:pt idx="128">
                  <c:v>6.2496320642539887E-13</c:v>
                </c:pt>
                <c:pt idx="129">
                  <c:v>6.2496320642539887E-13</c:v>
                </c:pt>
                <c:pt idx="130">
                  <c:v>6.2496320642539887E-13</c:v>
                </c:pt>
                <c:pt idx="131">
                  <c:v>6.2496320642539887E-13</c:v>
                </c:pt>
                <c:pt idx="132">
                  <c:v>6.2496320642539887E-13</c:v>
                </c:pt>
                <c:pt idx="133">
                  <c:v>6.2496320642539887E-13</c:v>
                </c:pt>
                <c:pt idx="134">
                  <c:v>6.2496320642539887E-13</c:v>
                </c:pt>
                <c:pt idx="135">
                  <c:v>6.2496320642539887E-13</c:v>
                </c:pt>
                <c:pt idx="136">
                  <c:v>6.2496320642539887E-13</c:v>
                </c:pt>
                <c:pt idx="137">
                  <c:v>6.2496320642539887E-13</c:v>
                </c:pt>
                <c:pt idx="138">
                  <c:v>6.2496320642539887E-13</c:v>
                </c:pt>
                <c:pt idx="139">
                  <c:v>6.2496320642539887E-13</c:v>
                </c:pt>
                <c:pt idx="140">
                  <c:v>6.2496320642539887E-13</c:v>
                </c:pt>
                <c:pt idx="141">
                  <c:v>6.2496320642539887E-13</c:v>
                </c:pt>
                <c:pt idx="142">
                  <c:v>6.2496320642539887E-13</c:v>
                </c:pt>
                <c:pt idx="143">
                  <c:v>6.2496320642539887E-13</c:v>
                </c:pt>
                <c:pt idx="144">
                  <c:v>6.2496320642539887E-13</c:v>
                </c:pt>
                <c:pt idx="145">
                  <c:v>6.2496320642539887E-13</c:v>
                </c:pt>
                <c:pt idx="146">
                  <c:v>6.2496320642539887E-13</c:v>
                </c:pt>
                <c:pt idx="147">
                  <c:v>6.2496320642539887E-13</c:v>
                </c:pt>
                <c:pt idx="148">
                  <c:v>6.2496320642539887E-13</c:v>
                </c:pt>
                <c:pt idx="149">
                  <c:v>6.2496320642539887E-13</c:v>
                </c:pt>
                <c:pt idx="150">
                  <c:v>6.2496320642539887E-13</c:v>
                </c:pt>
                <c:pt idx="151">
                  <c:v>6.2496320642539887E-13</c:v>
                </c:pt>
                <c:pt idx="152">
                  <c:v>6.2496320642539887E-13</c:v>
                </c:pt>
                <c:pt idx="153">
                  <c:v>6.2496320642539887E-13</c:v>
                </c:pt>
                <c:pt idx="154">
                  <c:v>6.2496320642539887E-13</c:v>
                </c:pt>
                <c:pt idx="155">
                  <c:v>6.2496320642539887E-13</c:v>
                </c:pt>
                <c:pt idx="156">
                  <c:v>6.2496320642539887E-13</c:v>
                </c:pt>
                <c:pt idx="157">
                  <c:v>6.2496320642539887E-13</c:v>
                </c:pt>
                <c:pt idx="158">
                  <c:v>6.2496320642539887E-13</c:v>
                </c:pt>
                <c:pt idx="159">
                  <c:v>6.2496320642539887E-13</c:v>
                </c:pt>
                <c:pt idx="160">
                  <c:v>6.2496320642539887E-13</c:v>
                </c:pt>
                <c:pt idx="161">
                  <c:v>6.2496320642539887E-13</c:v>
                </c:pt>
                <c:pt idx="162">
                  <c:v>6.2496320642539887E-13</c:v>
                </c:pt>
                <c:pt idx="163">
                  <c:v>6.2496320642539887E-13</c:v>
                </c:pt>
                <c:pt idx="164">
                  <c:v>6.2496320642539887E-13</c:v>
                </c:pt>
                <c:pt idx="165">
                  <c:v>6.2496320642539887E-13</c:v>
                </c:pt>
                <c:pt idx="166">
                  <c:v>6.2496320642539887E-13</c:v>
                </c:pt>
                <c:pt idx="167">
                  <c:v>6.2496320642539887E-13</c:v>
                </c:pt>
                <c:pt idx="168">
                  <c:v>6.2496320642539887E-13</c:v>
                </c:pt>
                <c:pt idx="169">
                  <c:v>6.2496320642539887E-13</c:v>
                </c:pt>
                <c:pt idx="170">
                  <c:v>6.2496320642539887E-13</c:v>
                </c:pt>
                <c:pt idx="171">
                  <c:v>6.2496320642539887E-13</c:v>
                </c:pt>
                <c:pt idx="172">
                  <c:v>6.2496320642539887E-13</c:v>
                </c:pt>
                <c:pt idx="173">
                  <c:v>6.2496320642539887E-13</c:v>
                </c:pt>
                <c:pt idx="174">
                  <c:v>6.2496320642539887E-13</c:v>
                </c:pt>
                <c:pt idx="175">
                  <c:v>6.2496320642539887E-13</c:v>
                </c:pt>
                <c:pt idx="176">
                  <c:v>6.2496320642539887E-13</c:v>
                </c:pt>
                <c:pt idx="177">
                  <c:v>6.2496320642539887E-13</c:v>
                </c:pt>
                <c:pt idx="178">
                  <c:v>6.2496320642539887E-13</c:v>
                </c:pt>
                <c:pt idx="179">
                  <c:v>6.2496320642539887E-13</c:v>
                </c:pt>
                <c:pt idx="180">
                  <c:v>6.2496320642539887E-13</c:v>
                </c:pt>
                <c:pt idx="181">
                  <c:v>6.2496320642539887E-13</c:v>
                </c:pt>
                <c:pt idx="182">
                  <c:v>6.2496320642539887E-13</c:v>
                </c:pt>
                <c:pt idx="183">
                  <c:v>6.2496320642539887E-13</c:v>
                </c:pt>
                <c:pt idx="184">
                  <c:v>6.2496320642539887E-13</c:v>
                </c:pt>
                <c:pt idx="185">
                  <c:v>6.2496320642539887E-13</c:v>
                </c:pt>
                <c:pt idx="186">
                  <c:v>6.2496320642539887E-13</c:v>
                </c:pt>
                <c:pt idx="187">
                  <c:v>6.2496320642539887E-13</c:v>
                </c:pt>
                <c:pt idx="188">
                  <c:v>6.2496320642539887E-13</c:v>
                </c:pt>
                <c:pt idx="189">
                  <c:v>6.2496320642539887E-13</c:v>
                </c:pt>
                <c:pt idx="190">
                  <c:v>6.2496320642539887E-13</c:v>
                </c:pt>
                <c:pt idx="191">
                  <c:v>6.2496320642539887E-13</c:v>
                </c:pt>
                <c:pt idx="192">
                  <c:v>6.2496320642539887E-13</c:v>
                </c:pt>
                <c:pt idx="193">
                  <c:v>6.2496320642539887E-13</c:v>
                </c:pt>
                <c:pt idx="194">
                  <c:v>6.2496320642539887E-13</c:v>
                </c:pt>
                <c:pt idx="195">
                  <c:v>6.2496320642539887E-13</c:v>
                </c:pt>
                <c:pt idx="196">
                  <c:v>6.2496320642539887E-13</c:v>
                </c:pt>
                <c:pt idx="197">
                  <c:v>6.2496320642539887E-13</c:v>
                </c:pt>
                <c:pt idx="198">
                  <c:v>6.2496320642539887E-13</c:v>
                </c:pt>
                <c:pt idx="199">
                  <c:v>6.2496320642539887E-13</c:v>
                </c:pt>
                <c:pt idx="200">
                  <c:v>6.2496320642539887E-13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2.808913523269716</c:v>
                </c:pt>
                <c:pt idx="2">
                  <c:v>3.2024549307028356</c:v>
                </c:pt>
                <c:pt idx="3">
                  <c:v>3.6513289373607773</c:v>
                </c:pt>
                <c:pt idx="4">
                  <c:v>4.1633414020375676</c:v>
                </c:pt>
                <c:pt idx="5">
                  <c:v>4.7474028110253315</c:v>
                </c:pt>
                <c:pt idx="6">
                  <c:v>5.4136850511054888</c:v>
                </c:pt>
                <c:pt idx="7">
                  <c:v>6.1738004921248475</c:v>
                </c:pt>
                <c:pt idx="8">
                  <c:v>7.04100656176103</c:v>
                </c:pt>
                <c:pt idx="9">
                  <c:v>8.0304394501257814</c:v>
                </c:pt>
                <c:pt idx="10">
                  <c:v>9.1593811020942599</c:v>
                </c:pt>
                <c:pt idx="11">
                  <c:v>10.44756425004144</c:v>
                </c:pt>
                <c:pt idx="12">
                  <c:v>11.917520919716907</c:v>
                </c:pt>
                <c:pt idx="13">
                  <c:v>13.594980619539625</c:v>
                </c:pt>
                <c:pt idx="14">
                  <c:v>15.509325312648487</c:v>
                </c:pt>
                <c:pt idx="15">
                  <c:v>17.694109287621362</c:v>
                </c:pt>
                <c:pt idx="16">
                  <c:v>20.187653206198199</c:v>
                </c:pt>
                <c:pt idx="17">
                  <c:v>23.033722935573341</c:v>
                </c:pt>
                <c:pt idx="18">
                  <c:v>26.282305292835535</c:v>
                </c:pt>
                <c:pt idx="19">
                  <c:v>29.990494567361733</c:v>
                </c:pt>
                <c:pt idx="20">
                  <c:v>34.223505674790481</c:v>
                </c:pt>
                <c:pt idx="21">
                  <c:v>39.055832069512576</c:v>
                </c:pt>
                <c:pt idx="22">
                  <c:v>44.572569142487318</c:v>
                </c:pt>
                <c:pt idx="23">
                  <c:v>50.870926804611692</c:v>
                </c:pt>
                <c:pt idx="24">
                  <c:v>58.061958356588072</c:v>
                </c:pt>
                <c:pt idx="25">
                  <c:v>66.272536635761469</c:v>
                </c:pt>
                <c:pt idx="26">
                  <c:v>76.563490652949312</c:v>
                </c:pt>
                <c:pt idx="27">
                  <c:v>86.819205269098731</c:v>
                </c:pt>
                <c:pt idx="28">
                  <c:v>97.044440512052844</c:v>
                </c:pt>
                <c:pt idx="29">
                  <c:v>107.2428670785069</c:v>
                </c:pt>
                <c:pt idx="30">
                  <c:v>117.41739809202973</c:v>
                </c:pt>
                <c:pt idx="31">
                  <c:v>128.41557453190208</c:v>
                </c:pt>
                <c:pt idx="32">
                  <c:v>139.39094880292336</c:v>
                </c:pt>
                <c:pt idx="33">
                  <c:v>150.34557139672583</c:v>
                </c:pt>
                <c:pt idx="34">
                  <c:v>161.28116902339272</c:v>
                </c:pt>
                <c:pt idx="35">
                  <c:v>172.19921472129715</c:v>
                </c:pt>
                <c:pt idx="36">
                  <c:v>183.10097920475641</c:v>
                </c:pt>
                <c:pt idx="37">
                  <c:v>193.98756931268113</c:v>
                </c:pt>
                <c:pt idx="38">
                  <c:v>204.85995735606244</c:v>
                </c:pt>
                <c:pt idx="39">
                  <c:v>215.71900389754816</c:v>
                </c:pt>
                <c:pt idx="40">
                  <c:v>226.56547569658815</c:v>
                </c:pt>
                <c:pt idx="41">
                  <c:v>181.84387743661719</c:v>
                </c:pt>
                <c:pt idx="42">
                  <c:v>193.56912276774736</c:v>
                </c:pt>
                <c:pt idx="43">
                  <c:v>205.2778545096966</c:v>
                </c:pt>
                <c:pt idx="44">
                  <c:v>216.97114792933803</c:v>
                </c:pt>
                <c:pt idx="45">
                  <c:v>228.64995281860425</c:v>
                </c:pt>
                <c:pt idx="46">
                  <c:v>240.31511393681538</c:v>
                </c:pt>
                <c:pt idx="47">
                  <c:v>251.96738727080017</c:v>
                </c:pt>
                <c:pt idx="48">
                  <c:v>263.60745312628956</c:v>
                </c:pt>
                <c:pt idx="49">
                  <c:v>275.23592678364861</c:v>
                </c:pt>
                <c:pt idx="50">
                  <c:v>286.85336725699199</c:v>
                </c:pt>
                <c:pt idx="51">
                  <c:v>240.10692263363936</c:v>
                </c:pt>
                <c:pt idx="52">
                  <c:v>251.5514487000452</c:v>
                </c:pt>
                <c:pt idx="53">
                  <c:v>262.98417726074223</c:v>
                </c:pt>
                <c:pt idx="54">
                  <c:v>274.40569374429145</c:v>
                </c:pt>
                <c:pt idx="55">
                  <c:v>285.81653083541875</c:v>
                </c:pt>
                <c:pt idx="56">
                  <c:v>297.21717518827546</c:v>
                </c:pt>
                <c:pt idx="57">
                  <c:v>308.60807305507313</c:v>
                </c:pt>
                <c:pt idx="58">
                  <c:v>319.98963503972237</c:v>
                </c:pt>
                <c:pt idx="59">
                  <c:v>331.36224013942228</c:v>
                </c:pt>
                <c:pt idx="60">
                  <c:v>342.7262392021392</c:v>
                </c:pt>
                <c:pt idx="61">
                  <c:v>295.55951555452697</c:v>
                </c:pt>
                <c:pt idx="62">
                  <c:v>306.33065301274718</c:v>
                </c:pt>
                <c:pt idx="63">
                  <c:v>317.09337448903136</c:v>
                </c:pt>
                <c:pt idx="64">
                  <c:v>327.84800604214905</c:v>
                </c:pt>
                <c:pt idx="65">
                  <c:v>338.59485058221628</c:v>
                </c:pt>
                <c:pt idx="66">
                  <c:v>349.3341902125137</c:v>
                </c:pt>
                <c:pt idx="67">
                  <c:v>360.06628826816967</c:v>
                </c:pt>
                <c:pt idx="68">
                  <c:v>370.79139109899648</c:v>
                </c:pt>
                <c:pt idx="69">
                  <c:v>381.50972963521639</c:v>
                </c:pt>
                <c:pt idx="70">
                  <c:v>392.22152076799443</c:v>
                </c:pt>
                <c:pt idx="71">
                  <c:v>344.37848728901122</c:v>
                </c:pt>
                <c:pt idx="72">
                  <c:v>354.28835078897436</c:v>
                </c:pt>
                <c:pt idx="73">
                  <c:v>364.19214271753418</c:v>
                </c:pt>
                <c:pt idx="74">
                  <c:v>374.09005154157148</c:v>
                </c:pt>
                <c:pt idx="75">
                  <c:v>383.9822549363555</c:v>
                </c:pt>
                <c:pt idx="76">
                  <c:v>393.86892067156981</c:v>
                </c:pt>
                <c:pt idx="77">
                  <c:v>403.75020740370678</c:v>
                </c:pt>
                <c:pt idx="78">
                  <c:v>413.62626538682213</c:v>
                </c:pt>
                <c:pt idx="79">
                  <c:v>423.49723711184964</c:v>
                </c:pt>
                <c:pt idx="80">
                  <c:v>433.36325788318953</c:v>
                </c:pt>
                <c:pt idx="81">
                  <c:v>384.6003320904606</c:v>
                </c:pt>
                <c:pt idx="82">
                  <c:v>393.45708472964401</c:v>
                </c:pt>
                <c:pt idx="83">
                  <c:v>402.30951556989913</c:v>
                </c:pt>
                <c:pt idx="84">
                  <c:v>411.15773316674648</c:v>
                </c:pt>
                <c:pt idx="85">
                  <c:v>420.00184101993727</c:v>
                </c:pt>
                <c:pt idx="86">
                  <c:v>428.84193791273259</c:v>
                </c:pt>
                <c:pt idx="87">
                  <c:v>437.67811822173894</c:v>
                </c:pt>
                <c:pt idx="88">
                  <c:v>446.51047220041374</c:v>
                </c:pt>
                <c:pt idx="89">
                  <c:v>455.33908623896281</c:v>
                </c:pt>
                <c:pt idx="90">
                  <c:v>464.16404310302778</c:v>
                </c:pt>
                <c:pt idx="91">
                  <c:v>414.24334869220405</c:v>
                </c:pt>
                <c:pt idx="92">
                  <c:v>421.85242254279427</c:v>
                </c:pt>
                <c:pt idx="93">
                  <c:v>429.45854163500036</c:v>
                </c:pt>
                <c:pt idx="94">
                  <c:v>437.0617657122807</c:v>
                </c:pt>
                <c:pt idx="95">
                  <c:v>444.66215226871276</c:v>
                </c:pt>
                <c:pt idx="96">
                  <c:v>452.2597566715263</c:v>
                </c:pt>
                <c:pt idx="97">
                  <c:v>459.85463227497115</c:v>
                </c:pt>
                <c:pt idx="98">
                  <c:v>467.4468305262676</c:v>
                </c:pt>
                <c:pt idx="99">
                  <c:v>475.03640106431271</c:v>
                </c:pt>
                <c:pt idx="100">
                  <c:v>482.62339181174951</c:v>
                </c:pt>
                <c:pt idx="101">
                  <c:v>431.5137501046442</c:v>
                </c:pt>
                <c:pt idx="102">
                  <c:v>437.88356491828085</c:v>
                </c:pt>
                <c:pt idx="103">
                  <c:v>444.25139218014823</c:v>
                </c:pt>
                <c:pt idx="104">
                  <c:v>450.61726441852403</c:v>
                </c:pt>
                <c:pt idx="105">
                  <c:v>456.98121316702412</c:v>
                </c:pt>
                <c:pt idx="106">
                  <c:v>463.3432690087522</c:v>
                </c:pt>
                <c:pt idx="107">
                  <c:v>469.70346161789774</c:v>
                </c:pt>
                <c:pt idx="108">
                  <c:v>476.06181979896178</c:v>
                </c:pt>
                <c:pt idx="109">
                  <c:v>482.41837152377838</c:v>
                </c:pt>
                <c:pt idx="110">
                  <c:v>488.77314396648063</c:v>
                </c:pt>
                <c:pt idx="111">
                  <c:v>439.11620170572905</c:v>
                </c:pt>
                <c:pt idx="112">
                  <c:v>444.86752926426288</c:v>
                </c:pt>
                <c:pt idx="113">
                  <c:v>450.61726441852403</c:v>
                </c:pt>
                <c:pt idx="114">
                  <c:v>456.36543036921802</c:v>
                </c:pt>
                <c:pt idx="115">
                  <c:v>462.11204968448232</c:v>
                </c:pt>
                <c:pt idx="116">
                  <c:v>467.85714432496087</c:v>
                </c:pt>
                <c:pt idx="117">
                  <c:v>473.6007356675803</c:v>
                </c:pt>
                <c:pt idx="118">
                  <c:v>479.34284452811465</c:v>
                </c:pt>
                <c:pt idx="119">
                  <c:v>485.08349118260935</c:v>
                </c:pt>
                <c:pt idx="120">
                  <c:v>490.82269538774068</c:v>
                </c:pt>
                <c:pt idx="121">
                  <c:v>8.8379730068101964E-13</c:v>
                </c:pt>
                <c:pt idx="122">
                  <c:v>8.8379730068101964E-13</c:v>
                </c:pt>
                <c:pt idx="123">
                  <c:v>8.8379730068101964E-13</c:v>
                </c:pt>
                <c:pt idx="124">
                  <c:v>8.8379730068101964E-13</c:v>
                </c:pt>
                <c:pt idx="125">
                  <c:v>8.8379730068101964E-13</c:v>
                </c:pt>
                <c:pt idx="126">
                  <c:v>8.8379730068101964E-13</c:v>
                </c:pt>
                <c:pt idx="127">
                  <c:v>8.8379730068101964E-13</c:v>
                </c:pt>
                <c:pt idx="128">
                  <c:v>8.8379730068101964E-13</c:v>
                </c:pt>
                <c:pt idx="129">
                  <c:v>8.8379730068101964E-13</c:v>
                </c:pt>
                <c:pt idx="130">
                  <c:v>8.8379730068101964E-13</c:v>
                </c:pt>
                <c:pt idx="131">
                  <c:v>8.8379730068101964E-13</c:v>
                </c:pt>
                <c:pt idx="132">
                  <c:v>8.8379730068101964E-13</c:v>
                </c:pt>
                <c:pt idx="133">
                  <c:v>8.8379730068101964E-13</c:v>
                </c:pt>
                <c:pt idx="134">
                  <c:v>8.8379730068101964E-13</c:v>
                </c:pt>
                <c:pt idx="135">
                  <c:v>8.8379730068101964E-13</c:v>
                </c:pt>
                <c:pt idx="136">
                  <c:v>8.8379730068101964E-13</c:v>
                </c:pt>
                <c:pt idx="137">
                  <c:v>8.8379730068101964E-13</c:v>
                </c:pt>
                <c:pt idx="138">
                  <c:v>8.8379730068101964E-13</c:v>
                </c:pt>
                <c:pt idx="139">
                  <c:v>8.8379730068101964E-13</c:v>
                </c:pt>
                <c:pt idx="140">
                  <c:v>8.8379730068101964E-13</c:v>
                </c:pt>
                <c:pt idx="141">
                  <c:v>8.8379730068101964E-13</c:v>
                </c:pt>
                <c:pt idx="142">
                  <c:v>8.8379730068101964E-13</c:v>
                </c:pt>
                <c:pt idx="143">
                  <c:v>8.8379730068101964E-13</c:v>
                </c:pt>
                <c:pt idx="144">
                  <c:v>8.8379730068101964E-13</c:v>
                </c:pt>
                <c:pt idx="145">
                  <c:v>8.8379730068101964E-13</c:v>
                </c:pt>
                <c:pt idx="146">
                  <c:v>8.8379730068101964E-13</c:v>
                </c:pt>
                <c:pt idx="147">
                  <c:v>8.8379730068101964E-13</c:v>
                </c:pt>
                <c:pt idx="148">
                  <c:v>8.8379730068101964E-13</c:v>
                </c:pt>
                <c:pt idx="149">
                  <c:v>8.8379730068101964E-13</c:v>
                </c:pt>
                <c:pt idx="150">
                  <c:v>8.8379730068101964E-13</c:v>
                </c:pt>
                <c:pt idx="151">
                  <c:v>8.8379730068101964E-13</c:v>
                </c:pt>
                <c:pt idx="152">
                  <c:v>8.8379730068101964E-13</c:v>
                </c:pt>
                <c:pt idx="153">
                  <c:v>8.8379730068101964E-13</c:v>
                </c:pt>
                <c:pt idx="154">
                  <c:v>8.8379730068101964E-13</c:v>
                </c:pt>
                <c:pt idx="155">
                  <c:v>8.8379730068101964E-13</c:v>
                </c:pt>
                <c:pt idx="156">
                  <c:v>8.8379730068101964E-13</c:v>
                </c:pt>
                <c:pt idx="157">
                  <c:v>8.8379730068101964E-13</c:v>
                </c:pt>
                <c:pt idx="158">
                  <c:v>8.8379730068101964E-13</c:v>
                </c:pt>
                <c:pt idx="159">
                  <c:v>8.8379730068101964E-13</c:v>
                </c:pt>
                <c:pt idx="160">
                  <c:v>8.8379730068101964E-13</c:v>
                </c:pt>
                <c:pt idx="161">
                  <c:v>8.8379730068101964E-13</c:v>
                </c:pt>
                <c:pt idx="162">
                  <c:v>8.8379730068101964E-13</c:v>
                </c:pt>
                <c:pt idx="163">
                  <c:v>8.8379730068101964E-13</c:v>
                </c:pt>
                <c:pt idx="164">
                  <c:v>8.8379730068101964E-13</c:v>
                </c:pt>
                <c:pt idx="165">
                  <c:v>8.8379730068101964E-13</c:v>
                </c:pt>
                <c:pt idx="166">
                  <c:v>8.8379730068101964E-13</c:v>
                </c:pt>
                <c:pt idx="167">
                  <c:v>8.8379730068101964E-13</c:v>
                </c:pt>
                <c:pt idx="168">
                  <c:v>8.8379730068101964E-13</c:v>
                </c:pt>
                <c:pt idx="169">
                  <c:v>8.8379730068101964E-13</c:v>
                </c:pt>
                <c:pt idx="170">
                  <c:v>8.8379730068101964E-13</c:v>
                </c:pt>
                <c:pt idx="171">
                  <c:v>8.8379730068101964E-13</c:v>
                </c:pt>
                <c:pt idx="172">
                  <c:v>8.8379730068101964E-13</c:v>
                </c:pt>
                <c:pt idx="173">
                  <c:v>8.8379730068101964E-13</c:v>
                </c:pt>
                <c:pt idx="174">
                  <c:v>8.8379730068101964E-13</c:v>
                </c:pt>
                <c:pt idx="175">
                  <c:v>8.8379730068101964E-13</c:v>
                </c:pt>
                <c:pt idx="176">
                  <c:v>8.8379730068101964E-13</c:v>
                </c:pt>
                <c:pt idx="177">
                  <c:v>8.8379730068101964E-13</c:v>
                </c:pt>
                <c:pt idx="178">
                  <c:v>8.8379730068101964E-13</c:v>
                </c:pt>
                <c:pt idx="179">
                  <c:v>8.8379730068101964E-13</c:v>
                </c:pt>
                <c:pt idx="180">
                  <c:v>8.8379730068101964E-13</c:v>
                </c:pt>
                <c:pt idx="181">
                  <c:v>8.8379730068101964E-13</c:v>
                </c:pt>
                <c:pt idx="182">
                  <c:v>8.8379730068101964E-13</c:v>
                </c:pt>
                <c:pt idx="183">
                  <c:v>8.8379730068101964E-13</c:v>
                </c:pt>
                <c:pt idx="184">
                  <c:v>8.8379730068101964E-13</c:v>
                </c:pt>
                <c:pt idx="185">
                  <c:v>8.8379730068101964E-13</c:v>
                </c:pt>
                <c:pt idx="186">
                  <c:v>8.8379730068101964E-13</c:v>
                </c:pt>
                <c:pt idx="187">
                  <c:v>8.8379730068101964E-13</c:v>
                </c:pt>
                <c:pt idx="188">
                  <c:v>8.8379730068101964E-13</c:v>
                </c:pt>
                <c:pt idx="189">
                  <c:v>8.8379730068101964E-13</c:v>
                </c:pt>
                <c:pt idx="190">
                  <c:v>8.8379730068101964E-13</c:v>
                </c:pt>
                <c:pt idx="191">
                  <c:v>8.8379730068101964E-13</c:v>
                </c:pt>
                <c:pt idx="192">
                  <c:v>8.8379730068101964E-13</c:v>
                </c:pt>
                <c:pt idx="193">
                  <c:v>8.8379730068101964E-13</c:v>
                </c:pt>
                <c:pt idx="194">
                  <c:v>8.8379730068101964E-13</c:v>
                </c:pt>
                <c:pt idx="195">
                  <c:v>8.8379730068101964E-13</c:v>
                </c:pt>
                <c:pt idx="196">
                  <c:v>8.8379730068101964E-13</c:v>
                </c:pt>
                <c:pt idx="197">
                  <c:v>8.8379730068101964E-13</c:v>
                </c:pt>
                <c:pt idx="198">
                  <c:v>8.8379730068101964E-13</c:v>
                </c:pt>
                <c:pt idx="199">
                  <c:v>8.8379730068101964E-13</c:v>
                </c:pt>
                <c:pt idx="200">
                  <c:v>8.8379730068101964E-13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98.910576940047747</c:v>
                </c:pt>
                <c:pt idx="22">
                  <c:v>111.62178907894229</c:v>
                </c:pt>
                <c:pt idx="23">
                  <c:v>124.29746324975936</c:v>
                </c:pt>
                <c:pt idx="24">
                  <c:v>136.94173921341991</c:v>
                </c:pt>
                <c:pt idx="25">
                  <c:v>149.55792775717688</c:v>
                </c:pt>
                <c:pt idx="26">
                  <c:v>162.1487342616247</c:v>
                </c:pt>
                <c:pt idx="27">
                  <c:v>174.71640889684613</c:v>
                </c:pt>
                <c:pt idx="28">
                  <c:v>187.26285118992155</c:v>
                </c:pt>
                <c:pt idx="29">
                  <c:v>199.78968502059959</c:v>
                </c:pt>
                <c:pt idx="30">
                  <c:v>212.29831377776441</c:v>
                </c:pt>
                <c:pt idx="31">
                  <c:v>171.38026392325889</c:v>
                </c:pt>
                <c:pt idx="32">
                  <c:v>187.26285118992155</c:v>
                </c:pt>
                <c:pt idx="33">
                  <c:v>203.11401186522849</c:v>
                </c:pt>
                <c:pt idx="34">
                  <c:v>218.93654452800624</c:v>
                </c:pt>
                <c:pt idx="35">
                  <c:v>234.73280983380309</c:v>
                </c:pt>
                <c:pt idx="36">
                  <c:v>250.50482454301473</c:v>
                </c:pt>
                <c:pt idx="37">
                  <c:v>266.25433058421976</c:v>
                </c:pt>
                <c:pt idx="38">
                  <c:v>281.9828468964256</c:v>
                </c:pt>
                <c:pt idx="39">
                  <c:v>297.69170908523739</c:v>
                </c:pt>
                <c:pt idx="40">
                  <c:v>313.38210026249618</c:v>
                </c:pt>
                <c:pt idx="41">
                  <c:v>248.16968942779479</c:v>
                </c:pt>
                <c:pt idx="42">
                  <c:v>264.50544806917605</c:v>
                </c:pt>
                <c:pt idx="43">
                  <c:v>280.81846105391605</c:v>
                </c:pt>
                <c:pt idx="44">
                  <c:v>297.1102356403631</c:v>
                </c:pt>
                <c:pt idx="45">
                  <c:v>313.38210026249629</c:v>
                </c:pt>
                <c:pt idx="46">
                  <c:v>329.63523412538729</c:v>
                </c:pt>
                <c:pt idx="47">
                  <c:v>345.87069065471763</c:v>
                </c:pt>
                <c:pt idx="48">
                  <c:v>362.08941631105768</c:v>
                </c:pt>
                <c:pt idx="49">
                  <c:v>378.29226585591255</c:v>
                </c:pt>
                <c:pt idx="50">
                  <c:v>394.48001486506837</c:v>
                </c:pt>
                <c:pt idx="51">
                  <c:v>328.28149525528767</c:v>
                </c:pt>
                <c:pt idx="52">
                  <c:v>343.16596745045564</c:v>
                </c:pt>
                <c:pt idx="53">
                  <c:v>358.03625523049817</c:v>
                </c:pt>
                <c:pt idx="54">
                  <c:v>372.89303063734627</c:v>
                </c:pt>
                <c:pt idx="55">
                  <c:v>387.73690779386089</c:v>
                </c:pt>
                <c:pt idx="56">
                  <c:v>402.56844996817728</c:v>
                </c:pt>
                <c:pt idx="57">
                  <c:v>417.38817554255644</c:v>
                </c:pt>
                <c:pt idx="58">
                  <c:v>432.19656309026982</c:v>
                </c:pt>
                <c:pt idx="59">
                  <c:v>446.99405572041906</c:v>
                </c:pt>
                <c:pt idx="60">
                  <c:v>461.78106481747722</c:v>
                </c:pt>
                <c:pt idx="61">
                  <c:v>394.48001486506809</c:v>
                </c:pt>
                <c:pt idx="62">
                  <c:v>407.95878231757428</c:v>
                </c:pt>
                <c:pt idx="63">
                  <c:v>421.42793186976087</c:v>
                </c:pt>
                <c:pt idx="64">
                  <c:v>434.88781420496622</c:v>
                </c:pt>
                <c:pt idx="65">
                  <c:v>448.33875652973478</c:v>
                </c:pt>
                <c:pt idx="66">
                  <c:v>461.78106481747722</c:v>
                </c:pt>
                <c:pt idx="67">
                  <c:v>475.21502577729029</c:v>
                </c:pt>
                <c:pt idx="68">
                  <c:v>488.64090858857691</c:v>
                </c:pt>
                <c:pt idx="69">
                  <c:v>502.05896643512528</c:v>
                </c:pt>
                <c:pt idx="70">
                  <c:v>515.4694378666801</c:v>
                </c:pt>
                <c:pt idx="71">
                  <c:v>446.80194854061955</c:v>
                </c:pt>
                <c:pt idx="72">
                  <c:v>458.70928319621294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494.39244873679581</c:v>
                </c:pt>
                <c:pt idx="76">
                  <c:v>506.27449261865348</c:v>
                </c:pt>
                <c:pt idx="77">
                  <c:v>518.15064181809225</c:v>
                </c:pt>
                <c:pt idx="78">
                  <c:v>530.02105046908628</c:v>
                </c:pt>
                <c:pt idx="79">
                  <c:v>541.885865239483</c:v>
                </c:pt>
                <c:pt idx="80">
                  <c:v>553.74522585166289</c:v>
                </c:pt>
                <c:pt idx="81">
                  <c:v>483.84686153879824</c:v>
                </c:pt>
                <c:pt idx="82">
                  <c:v>494.39244873679564</c:v>
                </c:pt>
                <c:pt idx="83">
                  <c:v>504.93326966944079</c:v>
                </c:pt>
                <c:pt idx="84">
                  <c:v>515.46943786667975</c:v>
                </c:pt>
                <c:pt idx="85">
                  <c:v>526.00106183871378</c:v>
                </c:pt>
                <c:pt idx="86">
                  <c:v>536.52824539615085</c:v>
                </c:pt>
                <c:pt idx="87">
                  <c:v>547.05108794372757</c:v>
                </c:pt>
                <c:pt idx="88">
                  <c:v>557.56968475025758</c:v>
                </c:pt>
                <c:pt idx="89">
                  <c:v>568.08412719715159</c:v>
                </c:pt>
                <c:pt idx="90">
                  <c:v>578.59450300758738</c:v>
                </c:pt>
                <c:pt idx="91">
                  <c:v>507.04087198522149</c:v>
                </c:pt>
                <c:pt idx="92">
                  <c:v>515.85248498703106</c:v>
                </c:pt>
                <c:pt idx="93">
                  <c:v>524.66092206348765</c:v>
                </c:pt>
                <c:pt idx="94">
                  <c:v>533.46624406259423</c:v>
                </c:pt>
                <c:pt idx="95">
                  <c:v>542.26850965950382</c:v>
                </c:pt>
                <c:pt idx="96">
                  <c:v>551.06777546888088</c:v>
                </c:pt>
                <c:pt idx="97">
                  <c:v>559.86409614971535</c:v>
                </c:pt>
                <c:pt idx="98">
                  <c:v>568.65752450320394</c:v>
                </c:pt>
                <c:pt idx="99">
                  <c:v>577.44811156426465</c:v>
                </c:pt>
                <c:pt idx="100">
                  <c:v>586.23590668718828</c:v>
                </c:pt>
                <c:pt idx="101">
                  <c:v>514.70332559574501</c:v>
                </c:pt>
                <c:pt idx="102">
                  <c:v>523.51217342482903</c:v>
                </c:pt>
                <c:pt idx="103">
                  <c:v>532.31789836558289</c:v>
                </c:pt>
                <c:pt idx="104">
                  <c:v>541.12055937003333</c:v>
                </c:pt>
                <c:pt idx="105">
                  <c:v>549.92021331550598</c:v>
                </c:pt>
                <c:pt idx="106">
                  <c:v>558.71691511038534</c:v>
                </c:pt>
                <c:pt idx="107">
                  <c:v>567.51071779286804</c:v>
                </c:pt>
                <c:pt idx="108">
                  <c:v>576.30167262327871</c:v>
                </c:pt>
                <c:pt idx="109">
                  <c:v>585.08982917045807</c:v>
                </c:pt>
                <c:pt idx="110">
                  <c:v>593.87523539269307</c:v>
                </c:pt>
                <c:pt idx="111">
                  <c:v>526.38394569812306</c:v>
                </c:pt>
                <c:pt idx="112">
                  <c:v>533.46624406259491</c:v>
                </c:pt>
                <c:pt idx="113">
                  <c:v>540.54656504915692</c:v>
                </c:pt>
                <c:pt idx="114">
                  <c:v>547.62493821970645</c:v>
                </c:pt>
                <c:pt idx="115">
                  <c:v>554.70139230936445</c:v>
                </c:pt>
                <c:pt idx="116">
                  <c:v>561.77595526008315</c:v>
                </c:pt>
                <c:pt idx="117">
                  <c:v>568.84865425246801</c:v>
                </c:pt>
                <c:pt idx="118">
                  <c:v>575.91951573593792</c:v>
                </c:pt>
                <c:pt idx="119">
                  <c:v>582.98856545732622</c:v>
                </c:pt>
                <c:pt idx="120">
                  <c:v>590.05582848802101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2.5899319369248102</c:v>
                </c:pt>
                <c:pt idx="2">
                  <c:v>3.2253851310403672</c:v>
                </c:pt>
                <c:pt idx="3">
                  <c:v>4.0173528690193505</c:v>
                </c:pt>
                <c:pt idx="4">
                  <c:v>5.00452528642787</c:v>
                </c:pt>
                <c:pt idx="5">
                  <c:v>6.2351890481209198</c:v>
                </c:pt>
                <c:pt idx="6">
                  <c:v>7.7696150958050287</c:v>
                </c:pt>
                <c:pt idx="7">
                  <c:v>9.683042215330218</c:v>
                </c:pt>
                <c:pt idx="8">
                  <c:v>12.069405492775401</c:v>
                </c:pt>
                <c:pt idx="9">
                  <c:v>15.045996113937354</c:v>
                </c:pt>
                <c:pt idx="10">
                  <c:v>18.759285743865959</c:v>
                </c:pt>
                <c:pt idx="11">
                  <c:v>23.392207267964867</c:v>
                </c:pt>
                <c:pt idx="12">
                  <c:v>29.173256947236883</c:v>
                </c:pt>
                <c:pt idx="13">
                  <c:v>36.387874748664522</c:v>
                </c:pt>
                <c:pt idx="14">
                  <c:v>45.392674405485643</c:v>
                </c:pt>
                <c:pt idx="15">
                  <c:v>56.633238462952697</c:v>
                </c:pt>
                <c:pt idx="16">
                  <c:v>70.666373465260961</c:v>
                </c:pt>
                <c:pt idx="17">
                  <c:v>88.187945673386295</c:v>
                </c:pt>
                <c:pt idx="18">
                  <c:v>110.06769971495227</c:v>
                </c:pt>
                <c:pt idx="19">
                  <c:v>137.39281569228118</c:v>
                </c:pt>
                <c:pt idx="20">
                  <c:v>171.52240247513097</c:v>
                </c:pt>
                <c:pt idx="21">
                  <c:v>117.08953497430657</c:v>
                </c:pt>
                <c:pt idx="22">
                  <c:v>138.71071738701849</c:v>
                </c:pt>
                <c:pt idx="23">
                  <c:v>160.25079164727728</c:v>
                </c:pt>
                <c:pt idx="24">
                  <c:v>181.72221165400222</c:v>
                </c:pt>
                <c:pt idx="25">
                  <c:v>203.1342371552947</c:v>
                </c:pt>
                <c:pt idx="26">
                  <c:v>224.49401164296532</c:v>
                </c:pt>
                <c:pt idx="27">
                  <c:v>245.80720608227134</c:v>
                </c:pt>
                <c:pt idx="28">
                  <c:v>267.07842670720612</c:v>
                </c:pt>
                <c:pt idx="29">
                  <c:v>288.31148567604197</c:v>
                </c:pt>
                <c:pt idx="30">
                  <c:v>309.50958762804532</c:v>
                </c:pt>
                <c:pt idx="31">
                  <c:v>229.73908693575422</c:v>
                </c:pt>
                <c:pt idx="32">
                  <c:v>247.552271690163</c:v>
                </c:pt>
                <c:pt idx="33">
                  <c:v>265.33636719298863</c:v>
                </c:pt>
                <c:pt idx="34">
                  <c:v>283.09359729649924</c:v>
                </c:pt>
                <c:pt idx="35">
                  <c:v>300.8258840165891</c:v>
                </c:pt>
                <c:pt idx="36">
                  <c:v>318.53490425391561</c:v>
                </c:pt>
                <c:pt idx="37">
                  <c:v>336.22213322966473</c:v>
                </c:pt>
                <c:pt idx="38">
                  <c:v>353.88887829705351</c:v>
                </c:pt>
                <c:pt idx="39">
                  <c:v>371.53630564474861</c:v>
                </c:pt>
                <c:pt idx="40">
                  <c:v>389.16546165993583</c:v>
                </c:pt>
                <c:pt idx="41">
                  <c:v>305.51576628998953</c:v>
                </c:pt>
                <c:pt idx="42">
                  <c:v>318.88191759321518</c:v>
                </c:pt>
                <c:pt idx="43">
                  <c:v>332.23566943149461</c:v>
                </c:pt>
                <c:pt idx="44">
                  <c:v>345.57759046125335</c:v>
                </c:pt>
                <c:pt idx="45">
                  <c:v>358.90820183854021</c:v>
                </c:pt>
                <c:pt idx="46">
                  <c:v>372.22798284097098</c:v>
                </c:pt>
                <c:pt idx="47">
                  <c:v>385.53737564275275</c:v>
                </c:pt>
                <c:pt idx="48">
                  <c:v>398.83678939579403</c:v>
                </c:pt>
                <c:pt idx="49">
                  <c:v>412.12660373799196</c:v>
                </c:pt>
                <c:pt idx="50">
                  <c:v>425.4071718253474</c:v>
                </c:pt>
                <c:pt idx="51">
                  <c:v>367.73157741875724</c:v>
                </c:pt>
                <c:pt idx="52">
                  <c:v>377.41467255842053</c:v>
                </c:pt>
                <c:pt idx="53">
                  <c:v>387.09236005182021</c:v>
                </c:pt>
                <c:pt idx="54">
                  <c:v>396.76479421746376</c:v>
                </c:pt>
                <c:pt idx="55">
                  <c:v>406.43212123270035</c:v>
                </c:pt>
                <c:pt idx="56">
                  <c:v>416.09447975082225</c:v>
                </c:pt>
                <c:pt idx="57">
                  <c:v>425.75200145784316</c:v>
                </c:pt>
                <c:pt idx="58">
                  <c:v>435.40481157611185</c:v>
                </c:pt>
                <c:pt idx="59">
                  <c:v>445.05302932092792</c:v>
                </c:pt>
                <c:pt idx="60">
                  <c:v>454.69676831549168</c:v>
                </c:pt>
                <c:pt idx="61">
                  <c:v>418.68178489381393</c:v>
                </c:pt>
                <c:pt idx="62">
                  <c:v>425.75200145784316</c:v>
                </c:pt>
                <c:pt idx="63">
                  <c:v>432.81969257844707</c:v>
                </c:pt>
                <c:pt idx="64">
                  <c:v>439.88490533840906</c:v>
                </c:pt>
                <c:pt idx="65">
                  <c:v>446.94768518373309</c:v>
                </c:pt>
                <c:pt idx="66">
                  <c:v>454.00807600607862</c:v>
                </c:pt>
                <c:pt idx="67">
                  <c:v>461.06612021979964</c:v>
                </c:pt>
                <c:pt idx="68">
                  <c:v>468.12185883401872</c:v>
                </c:pt>
                <c:pt idx="69">
                  <c:v>475.17533152012783</c:v>
                </c:pt>
                <c:pt idx="70">
                  <c:v>482.22657667507048</c:v>
                </c:pt>
                <c:pt idx="71">
                  <c:v>451.42528061425111</c:v>
                </c:pt>
                <c:pt idx="72">
                  <c:v>456.7627116241062</c:v>
                </c:pt>
                <c:pt idx="73">
                  <c:v>462.09881038696238</c:v>
                </c:pt>
                <c:pt idx="74">
                  <c:v>467.43359446949609</c:v>
                </c:pt>
                <c:pt idx="75">
                  <c:v>472.76708100439265</c:v>
                </c:pt>
                <c:pt idx="76">
                  <c:v>478.09928670594991</c:v>
                </c:pt>
                <c:pt idx="77">
                  <c:v>483.43022788495313</c:v>
                </c:pt>
                <c:pt idx="78">
                  <c:v>488.75992046285774</c:v>
                </c:pt>
                <c:pt idx="79">
                  <c:v>494.08837998532084</c:v>
                </c:pt>
                <c:pt idx="80">
                  <c:v>499.4156216351189</c:v>
                </c:pt>
                <c:pt idx="81">
                  <c:v>1.4005661123635408E-12</c:v>
                </c:pt>
                <c:pt idx="82">
                  <c:v>1.4005661123635408E-12</c:v>
                </c:pt>
                <c:pt idx="83">
                  <c:v>1.4005661123635408E-12</c:v>
                </c:pt>
                <c:pt idx="84">
                  <c:v>1.4005661123635408E-12</c:v>
                </c:pt>
                <c:pt idx="85">
                  <c:v>1.4005661123635408E-12</c:v>
                </c:pt>
                <c:pt idx="86">
                  <c:v>1.4005661123635408E-12</c:v>
                </c:pt>
                <c:pt idx="87">
                  <c:v>1.4005661123635408E-12</c:v>
                </c:pt>
                <c:pt idx="88">
                  <c:v>1.4005661123635408E-12</c:v>
                </c:pt>
                <c:pt idx="89">
                  <c:v>1.4005661123635408E-12</c:v>
                </c:pt>
                <c:pt idx="90">
                  <c:v>1.4005661123635408E-12</c:v>
                </c:pt>
                <c:pt idx="91">
                  <c:v>1.4005661123635408E-12</c:v>
                </c:pt>
                <c:pt idx="92">
                  <c:v>1.4005661123635408E-12</c:v>
                </c:pt>
                <c:pt idx="93">
                  <c:v>1.4005661123635408E-12</c:v>
                </c:pt>
                <c:pt idx="94">
                  <c:v>1.4005661123635408E-12</c:v>
                </c:pt>
                <c:pt idx="95">
                  <c:v>1.4005661123635408E-12</c:v>
                </c:pt>
                <c:pt idx="96">
                  <c:v>1.4005661123635408E-12</c:v>
                </c:pt>
                <c:pt idx="97">
                  <c:v>1.4005661123635408E-12</c:v>
                </c:pt>
                <c:pt idx="98">
                  <c:v>1.4005661123635408E-12</c:v>
                </c:pt>
                <c:pt idx="99">
                  <c:v>1.4005661123635408E-12</c:v>
                </c:pt>
                <c:pt idx="100">
                  <c:v>1.4005661123635408E-12</c:v>
                </c:pt>
                <c:pt idx="101">
                  <c:v>1.4005661123635408E-12</c:v>
                </c:pt>
                <c:pt idx="102">
                  <c:v>1.4005661123635408E-12</c:v>
                </c:pt>
                <c:pt idx="103">
                  <c:v>1.4005661123635408E-12</c:v>
                </c:pt>
                <c:pt idx="104">
                  <c:v>1.4005661123635408E-12</c:v>
                </c:pt>
                <c:pt idx="105">
                  <c:v>1.4005661123635408E-12</c:v>
                </c:pt>
                <c:pt idx="106">
                  <c:v>1.4005661123635408E-12</c:v>
                </c:pt>
                <c:pt idx="107">
                  <c:v>1.4005661123635408E-12</c:v>
                </c:pt>
                <c:pt idx="108">
                  <c:v>1.4005661123635408E-12</c:v>
                </c:pt>
                <c:pt idx="109">
                  <c:v>1.4005661123635408E-12</c:v>
                </c:pt>
                <c:pt idx="110">
                  <c:v>1.4005661123635408E-12</c:v>
                </c:pt>
                <c:pt idx="111">
                  <c:v>1.4005661123635408E-12</c:v>
                </c:pt>
                <c:pt idx="112">
                  <c:v>1.4005661123635408E-12</c:v>
                </c:pt>
                <c:pt idx="113">
                  <c:v>1.4005661123635408E-12</c:v>
                </c:pt>
                <c:pt idx="114">
                  <c:v>1.4005661123635408E-12</c:v>
                </c:pt>
                <c:pt idx="115">
                  <c:v>1.4005661123635408E-12</c:v>
                </c:pt>
                <c:pt idx="116">
                  <c:v>1.4005661123635408E-12</c:v>
                </c:pt>
                <c:pt idx="117">
                  <c:v>1.4005661123635408E-12</c:v>
                </c:pt>
                <c:pt idx="118">
                  <c:v>1.4005661123635408E-12</c:v>
                </c:pt>
                <c:pt idx="119">
                  <c:v>1.4005661123635408E-12</c:v>
                </c:pt>
                <c:pt idx="120">
                  <c:v>1.4005661123635408E-12</c:v>
                </c:pt>
                <c:pt idx="121">
                  <c:v>1.4005661123635408E-12</c:v>
                </c:pt>
                <c:pt idx="122">
                  <c:v>1.4005661123635408E-12</c:v>
                </c:pt>
                <c:pt idx="123">
                  <c:v>1.4005661123635408E-12</c:v>
                </c:pt>
                <c:pt idx="124">
                  <c:v>1.4005661123635408E-12</c:v>
                </c:pt>
                <c:pt idx="125">
                  <c:v>1.4005661123635408E-12</c:v>
                </c:pt>
                <c:pt idx="126">
                  <c:v>1.4005661123635408E-12</c:v>
                </c:pt>
                <c:pt idx="127">
                  <c:v>1.4005661123635408E-12</c:v>
                </c:pt>
                <c:pt idx="128">
                  <c:v>1.4005661123635408E-12</c:v>
                </c:pt>
                <c:pt idx="129">
                  <c:v>1.4005661123635408E-12</c:v>
                </c:pt>
                <c:pt idx="130">
                  <c:v>1.4005661123635408E-12</c:v>
                </c:pt>
                <c:pt idx="131">
                  <c:v>1.4005661123635408E-12</c:v>
                </c:pt>
                <c:pt idx="132">
                  <c:v>1.4005661123635408E-12</c:v>
                </c:pt>
                <c:pt idx="133">
                  <c:v>1.4005661123635408E-12</c:v>
                </c:pt>
                <c:pt idx="134">
                  <c:v>1.4005661123635408E-12</c:v>
                </c:pt>
                <c:pt idx="135">
                  <c:v>1.4005661123635408E-12</c:v>
                </c:pt>
                <c:pt idx="136">
                  <c:v>1.4005661123635408E-12</c:v>
                </c:pt>
                <c:pt idx="137">
                  <c:v>1.4005661123635408E-12</c:v>
                </c:pt>
                <c:pt idx="138">
                  <c:v>1.4005661123635408E-12</c:v>
                </c:pt>
                <c:pt idx="139">
                  <c:v>1.4005661123635408E-12</c:v>
                </c:pt>
                <c:pt idx="140">
                  <c:v>1.4005661123635408E-12</c:v>
                </c:pt>
                <c:pt idx="141">
                  <c:v>1.4005661123635408E-12</c:v>
                </c:pt>
                <c:pt idx="142">
                  <c:v>1.4005661123635408E-12</c:v>
                </c:pt>
                <c:pt idx="143">
                  <c:v>1.4005661123635408E-12</c:v>
                </c:pt>
                <c:pt idx="144">
                  <c:v>1.4005661123635408E-12</c:v>
                </c:pt>
                <c:pt idx="145">
                  <c:v>1.4005661123635408E-12</c:v>
                </c:pt>
                <c:pt idx="146">
                  <c:v>1.4005661123635408E-12</c:v>
                </c:pt>
                <c:pt idx="147">
                  <c:v>1.4005661123635408E-12</c:v>
                </c:pt>
                <c:pt idx="148">
                  <c:v>1.4005661123635408E-12</c:v>
                </c:pt>
                <c:pt idx="149">
                  <c:v>1.4005661123635408E-12</c:v>
                </c:pt>
                <c:pt idx="150">
                  <c:v>1.4005661123635408E-12</c:v>
                </c:pt>
                <c:pt idx="151">
                  <c:v>1.4005661123635408E-12</c:v>
                </c:pt>
                <c:pt idx="152">
                  <c:v>1.4005661123635408E-12</c:v>
                </c:pt>
                <c:pt idx="153">
                  <c:v>1.4005661123635408E-12</c:v>
                </c:pt>
                <c:pt idx="154">
                  <c:v>1.4005661123635408E-12</c:v>
                </c:pt>
                <c:pt idx="155">
                  <c:v>1.4005661123635408E-12</c:v>
                </c:pt>
                <c:pt idx="156">
                  <c:v>1.4005661123635408E-12</c:v>
                </c:pt>
                <c:pt idx="157">
                  <c:v>1.4005661123635408E-12</c:v>
                </c:pt>
                <c:pt idx="158">
                  <c:v>1.4005661123635408E-12</c:v>
                </c:pt>
                <c:pt idx="159">
                  <c:v>1.4005661123635408E-12</c:v>
                </c:pt>
                <c:pt idx="160">
                  <c:v>1.4005661123635408E-12</c:v>
                </c:pt>
                <c:pt idx="161">
                  <c:v>1.4005661123635408E-12</c:v>
                </c:pt>
                <c:pt idx="162">
                  <c:v>1.4005661123635408E-12</c:v>
                </c:pt>
                <c:pt idx="163">
                  <c:v>1.4005661123635408E-12</c:v>
                </c:pt>
                <c:pt idx="164">
                  <c:v>1.4005661123635408E-12</c:v>
                </c:pt>
                <c:pt idx="165">
                  <c:v>1.4005661123635408E-12</c:v>
                </c:pt>
                <c:pt idx="166">
                  <c:v>1.4005661123635408E-12</c:v>
                </c:pt>
                <c:pt idx="167">
                  <c:v>1.4005661123635408E-12</c:v>
                </c:pt>
                <c:pt idx="168">
                  <c:v>1.4005661123635408E-12</c:v>
                </c:pt>
                <c:pt idx="169">
                  <c:v>1.4005661123635408E-12</c:v>
                </c:pt>
                <c:pt idx="170">
                  <c:v>1.4005661123635408E-12</c:v>
                </c:pt>
                <c:pt idx="171">
                  <c:v>1.4005661123635408E-12</c:v>
                </c:pt>
                <c:pt idx="172">
                  <c:v>1.4005661123635408E-12</c:v>
                </c:pt>
                <c:pt idx="173">
                  <c:v>1.4005661123635408E-12</c:v>
                </c:pt>
                <c:pt idx="174">
                  <c:v>1.4005661123635408E-12</c:v>
                </c:pt>
                <c:pt idx="175">
                  <c:v>1.4005661123635408E-12</c:v>
                </c:pt>
                <c:pt idx="176">
                  <c:v>1.4005661123635408E-12</c:v>
                </c:pt>
                <c:pt idx="177">
                  <c:v>1.4005661123635408E-12</c:v>
                </c:pt>
                <c:pt idx="178">
                  <c:v>1.4005661123635408E-12</c:v>
                </c:pt>
                <c:pt idx="179">
                  <c:v>1.4005661123635408E-12</c:v>
                </c:pt>
                <c:pt idx="180">
                  <c:v>1.4005661123635408E-12</c:v>
                </c:pt>
                <c:pt idx="181">
                  <c:v>1.4005661123635408E-12</c:v>
                </c:pt>
                <c:pt idx="182">
                  <c:v>1.4005661123635408E-12</c:v>
                </c:pt>
                <c:pt idx="183">
                  <c:v>1.4005661123635408E-12</c:v>
                </c:pt>
                <c:pt idx="184">
                  <c:v>1.4005661123635408E-12</c:v>
                </c:pt>
                <c:pt idx="185">
                  <c:v>1.4005661123635408E-12</c:v>
                </c:pt>
                <c:pt idx="186">
                  <c:v>1.4005661123635408E-12</c:v>
                </c:pt>
                <c:pt idx="187">
                  <c:v>1.4005661123635408E-12</c:v>
                </c:pt>
                <c:pt idx="188">
                  <c:v>1.4005661123635408E-12</c:v>
                </c:pt>
                <c:pt idx="189">
                  <c:v>1.4005661123635408E-12</c:v>
                </c:pt>
                <c:pt idx="190">
                  <c:v>1.4005661123635408E-12</c:v>
                </c:pt>
                <c:pt idx="191">
                  <c:v>1.4005661123635408E-12</c:v>
                </c:pt>
                <c:pt idx="192">
                  <c:v>1.4005661123635408E-12</c:v>
                </c:pt>
                <c:pt idx="193">
                  <c:v>1.4005661123635408E-12</c:v>
                </c:pt>
                <c:pt idx="194">
                  <c:v>1.4005661123635408E-12</c:v>
                </c:pt>
                <c:pt idx="195">
                  <c:v>1.4005661123635408E-12</c:v>
                </c:pt>
                <c:pt idx="196">
                  <c:v>1.4005661123635408E-12</c:v>
                </c:pt>
                <c:pt idx="197">
                  <c:v>1.4005661123635408E-12</c:v>
                </c:pt>
                <c:pt idx="198">
                  <c:v>1.4005661123635408E-12</c:v>
                </c:pt>
                <c:pt idx="199">
                  <c:v>1.4005661123635408E-12</c:v>
                </c:pt>
                <c:pt idx="200">
                  <c:v>1.4005661123635408E-12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3" zoomScale="85" zoomScaleNormal="85" workbookViewId="0">
      <selection activeCell="D151" sqref="D151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26.44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0.24707150964812719</v>
      </c>
      <c r="D9" s="33">
        <f t="shared" ref="D9:D18" si="0">C9*$C$5</f>
        <v>6.5325707150964831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164</v>
      </c>
      <c r="C10" s="32">
        <v>0.74423004161937201</v>
      </c>
      <c r="D10" s="33">
        <f t="shared" si="0"/>
        <v>19.677442300416196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4</v>
      </c>
      <c r="C11" s="32">
        <v>1.4E-3</v>
      </c>
      <c r="D11" s="33">
        <f t="shared" si="0"/>
        <v>3.7016E-2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</v>
      </c>
      <c r="C12" s="32">
        <v>2.8999999999999998E-3</v>
      </c>
      <c r="D12" s="33">
        <f t="shared" si="0"/>
        <v>7.6675999999999994E-2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14</v>
      </c>
      <c r="C13" s="32">
        <v>2.8999999999999998E-3</v>
      </c>
      <c r="D13" s="33">
        <f t="shared" si="0"/>
        <v>7.6675999999999994E-2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5</v>
      </c>
      <c r="C14" s="32">
        <v>1.4E-3</v>
      </c>
      <c r="D14" s="33">
        <f t="shared" si="0"/>
        <v>3.7016E-2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0.99990155126749913</v>
      </c>
      <c r="D19" s="38">
        <f>SUM(D9:D18)</f>
        <v>26.43739701551268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10</v>
      </c>
      <c r="B36" s="60">
        <v>27</v>
      </c>
      <c r="C36" s="60"/>
      <c r="D36" s="60">
        <v>0</v>
      </c>
      <c r="E36" s="51"/>
      <c r="F36" s="51"/>
      <c r="G36" s="51"/>
      <c r="H36" s="51"/>
      <c r="I36" s="49">
        <f>IFERROR(B36/A36,"")</f>
        <v>2.7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228</v>
      </c>
      <c r="C37" s="60">
        <v>1</v>
      </c>
      <c r="D37" s="60">
        <f>34+70</f>
        <v>104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20.100000000000001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399</v>
      </c>
      <c r="C38" s="60">
        <v>2</v>
      </c>
      <c r="D38" s="60">
        <f>70+70</f>
        <v>140</v>
      </c>
      <c r="E38" s="51">
        <v>0.2</v>
      </c>
      <c r="F38" s="51">
        <v>0.4</v>
      </c>
      <c r="G38" s="51">
        <v>0.4</v>
      </c>
      <c r="H38" s="51"/>
      <c r="I38" s="53">
        <f t="shared" si="1"/>
        <v>27.5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40</v>
      </c>
      <c r="B39" s="60">
        <v>527</v>
      </c>
      <c r="C39" s="60">
        <v>3</v>
      </c>
      <c r="D39" s="60">
        <f>70+70</f>
        <v>140</v>
      </c>
      <c r="E39" s="51"/>
      <c r="F39" s="51"/>
      <c r="G39" s="51"/>
      <c r="H39" s="51"/>
      <c r="I39" s="49">
        <f t="shared" si="1"/>
        <v>26.8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50</v>
      </c>
      <c r="B40" s="60">
        <v>615</v>
      </c>
      <c r="C40" s="60">
        <v>4</v>
      </c>
      <c r="D40" s="60">
        <f>70+59</f>
        <v>129</v>
      </c>
      <c r="E40" s="51"/>
      <c r="F40" s="51"/>
      <c r="G40" s="51"/>
      <c r="H40" s="51"/>
      <c r="I40" s="49">
        <f t="shared" si="1"/>
        <v>22.8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60</v>
      </c>
      <c r="B41" s="60">
        <v>679</v>
      </c>
      <c r="C41" s="60">
        <v>5</v>
      </c>
      <c r="D41" s="60">
        <f>51+45</f>
        <v>96</v>
      </c>
      <c r="E41" s="51"/>
      <c r="F41" s="51"/>
      <c r="G41" s="51"/>
      <c r="H41" s="51"/>
      <c r="I41" s="53">
        <f t="shared" si="1"/>
        <v>19.3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70</v>
      </c>
      <c r="B42" s="60">
        <v>741</v>
      </c>
      <c r="C42" s="60">
        <v>6</v>
      </c>
      <c r="D42" s="60">
        <f>41+39</f>
        <v>80</v>
      </c>
      <c r="E42" s="51"/>
      <c r="F42" s="51"/>
      <c r="G42" s="51"/>
      <c r="H42" s="51"/>
      <c r="I42" s="53">
        <f t="shared" si="1"/>
        <v>15.8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80</v>
      </c>
      <c r="B43" s="60">
        <f>719+71</f>
        <v>790</v>
      </c>
      <c r="C43" s="60">
        <v>7</v>
      </c>
      <c r="D43" s="60">
        <f>B43</f>
        <v>790</v>
      </c>
      <c r="E43" s="51"/>
      <c r="F43" s="51"/>
      <c r="G43" s="51"/>
      <c r="H43" s="51"/>
      <c r="I43" s="49">
        <f t="shared" si="1"/>
        <v>12.9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158</v>
      </c>
      <c r="C62" s="60">
        <v>1</v>
      </c>
      <c r="D62" s="60">
        <v>12.5</v>
      </c>
      <c r="E62" s="51"/>
      <c r="F62" s="51">
        <v>0.5</v>
      </c>
      <c r="G62" s="51">
        <v>0.5</v>
      </c>
      <c r="H62" s="51"/>
      <c r="I62" s="53">
        <f>IFERROR(B62/A62,"")</f>
        <v>7.9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f>250-D62</f>
        <v>237.5</v>
      </c>
      <c r="C63" s="60">
        <v>2</v>
      </c>
      <c r="D63" s="60">
        <v>45.9</v>
      </c>
      <c r="E63" s="51">
        <v>0.2</v>
      </c>
      <c r="F63" s="51">
        <v>0.4</v>
      </c>
      <c r="G63" s="51">
        <v>0.4</v>
      </c>
      <c r="H63" s="51"/>
      <c r="I63" s="49">
        <f>IF(A63&lt;&gt;0,(B63-(B62-D62))/(A63-A62),"")</f>
        <v>9.1999999999999993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f>350-SUM(D62:D63)</f>
        <v>291.60000000000002</v>
      </c>
      <c r="C64" s="60">
        <v>3</v>
      </c>
      <c r="D64" s="60">
        <v>83.4</v>
      </c>
      <c r="E64" s="51"/>
      <c r="F64" s="51"/>
      <c r="G64" s="51"/>
      <c r="H64" s="51"/>
      <c r="I64" s="49">
        <f>IF(A64&lt;&gt;0,(B64-(B63-D63))/(A64-A63),"")</f>
        <v>10.000000000000004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f>465-SUM(D62:D64)</f>
        <v>323.2</v>
      </c>
      <c r="C65" s="60">
        <v>4</v>
      </c>
      <c r="D65" s="60">
        <v>83.4</v>
      </c>
      <c r="E65" s="51"/>
      <c r="F65" s="51"/>
      <c r="G65" s="51"/>
      <c r="H65" s="51"/>
      <c r="I65" s="49">
        <f>IF(A65&lt;&gt;0,(B65-(B64-D64))/(A65-A64),"")</f>
        <v>11.499999999999996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f>600-SUM(D62:D65)</f>
        <v>374.79999999999995</v>
      </c>
      <c r="C66" s="60">
        <v>5</v>
      </c>
      <c r="D66" s="60">
        <v>83.4</v>
      </c>
      <c r="E66" s="51"/>
      <c r="F66" s="51"/>
      <c r="G66" s="51"/>
      <c r="H66" s="51"/>
      <c r="I66" s="49">
        <f t="shared" ref="I66:I81" si="2">IF(A66&lt;&gt;0,(B66-(B65-D65))/(A66-A65),"")</f>
        <v>13.499999999999996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f>755-SUM(D62:D66)</f>
        <v>446.4</v>
      </c>
      <c r="C67" s="60">
        <v>6</v>
      </c>
      <c r="D67" s="60">
        <v>83.4</v>
      </c>
      <c r="E67" s="51"/>
      <c r="F67" s="51"/>
      <c r="G67" s="51"/>
      <c r="H67" s="51"/>
      <c r="I67" s="49">
        <f t="shared" si="2"/>
        <v>15.5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925-SUM(D62:D67)</f>
        <v>533</v>
      </c>
      <c r="C68" s="60">
        <v>7</v>
      </c>
      <c r="D68" s="60">
        <v>83.4</v>
      </c>
      <c r="E68" s="51"/>
      <c r="F68" s="51"/>
      <c r="G68" s="51"/>
      <c r="H68" s="51"/>
      <c r="I68" s="49">
        <f t="shared" si="2"/>
        <v>17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f>1100-SUM(D62:D68)</f>
        <v>624.6</v>
      </c>
      <c r="C69" s="50">
        <v>8</v>
      </c>
      <c r="D69" s="50">
        <v>83.4</v>
      </c>
      <c r="E69" s="51"/>
      <c r="F69" s="51"/>
      <c r="G69" s="51"/>
      <c r="H69" s="51"/>
      <c r="I69" s="49">
        <f t="shared" si="2"/>
        <v>17.5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100</v>
      </c>
      <c r="B70" s="50">
        <v>726.2</v>
      </c>
      <c r="C70" s="50">
        <v>9</v>
      </c>
      <c r="D70" s="50">
        <v>726.2</v>
      </c>
      <c r="E70" s="51"/>
      <c r="F70" s="51"/>
      <c r="G70" s="51"/>
      <c r="H70" s="51"/>
      <c r="I70" s="49">
        <f t="shared" si="2"/>
        <v>18.5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Aulne glutineux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25</v>
      </c>
      <c r="B88" s="60">
        <v>30</v>
      </c>
      <c r="C88" s="60">
        <v>0</v>
      </c>
      <c r="D88" s="60">
        <v>0</v>
      </c>
      <c r="E88" s="51"/>
      <c r="F88" s="51"/>
      <c r="G88" s="51"/>
      <c r="H88" s="87"/>
      <c r="I88" s="53">
        <f>IFERROR(B88/A88,"")</f>
        <v>1.2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54</v>
      </c>
      <c r="C89" s="60">
        <v>0</v>
      </c>
      <c r="D89" s="60">
        <v>0</v>
      </c>
      <c r="E89" s="51"/>
      <c r="F89" s="51"/>
      <c r="G89" s="51"/>
      <c r="H89" s="87"/>
      <c r="I89" s="53">
        <f t="shared" ref="I89:I107" si="3">IF(A89&lt;&gt;0,(B89-(B88-D88))/(A89-A88),"")</f>
        <v>4.8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v>106</v>
      </c>
      <c r="C90" s="60">
        <v>1</v>
      </c>
      <c r="D90" s="60">
        <v>27</v>
      </c>
      <c r="E90" s="87"/>
      <c r="F90" s="87"/>
      <c r="G90" s="87"/>
      <c r="H90" s="87"/>
      <c r="I90" s="53">
        <f t="shared" si="3"/>
        <v>5.2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v>135</v>
      </c>
      <c r="C91" s="60">
        <v>2</v>
      </c>
      <c r="D91" s="60">
        <v>28</v>
      </c>
      <c r="E91" s="87"/>
      <c r="F91" s="87"/>
      <c r="G91" s="87"/>
      <c r="H91" s="87"/>
      <c r="I91" s="53">
        <f t="shared" si="3"/>
        <v>5.6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v>162</v>
      </c>
      <c r="C92" s="60">
        <v>3</v>
      </c>
      <c r="D92" s="60">
        <v>28</v>
      </c>
      <c r="E92" s="87"/>
      <c r="F92" s="87"/>
      <c r="G92" s="87"/>
      <c r="H92" s="87"/>
      <c r="I92" s="53">
        <f t="shared" si="3"/>
        <v>5.5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v>186</v>
      </c>
      <c r="C93" s="60">
        <v>4</v>
      </c>
      <c r="D93" s="60">
        <v>28</v>
      </c>
      <c r="E93" s="87"/>
      <c r="F93" s="87"/>
      <c r="G93" s="87"/>
      <c r="H93" s="87"/>
      <c r="I93" s="53">
        <f t="shared" si="3"/>
        <v>5.2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v>206</v>
      </c>
      <c r="C94" s="60">
        <v>5</v>
      </c>
      <c r="D94" s="60">
        <v>28</v>
      </c>
      <c r="E94" s="87"/>
      <c r="F94" s="87"/>
      <c r="G94" s="87"/>
      <c r="H94" s="87"/>
      <c r="I94" s="53">
        <f t="shared" si="3"/>
        <v>4.8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90</v>
      </c>
      <c r="B95" s="60">
        <v>221</v>
      </c>
      <c r="C95" s="60">
        <v>6</v>
      </c>
      <c r="D95" s="60">
        <v>28</v>
      </c>
      <c r="E95" s="87"/>
      <c r="F95" s="87"/>
      <c r="G95" s="87"/>
      <c r="H95" s="87"/>
      <c r="I95" s="53">
        <f t="shared" si="3"/>
        <v>4.3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100</v>
      </c>
      <c r="B96" s="60">
        <v>230</v>
      </c>
      <c r="C96" s="60">
        <v>7</v>
      </c>
      <c r="D96" s="60">
        <v>28</v>
      </c>
      <c r="E96" s="87"/>
      <c r="F96" s="87"/>
      <c r="G96" s="87"/>
      <c r="H96" s="87"/>
      <c r="I96" s="53">
        <f t="shared" si="3"/>
        <v>3.7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110</v>
      </c>
      <c r="B97" s="60">
        <v>233</v>
      </c>
      <c r="C97" s="60">
        <v>8</v>
      </c>
      <c r="D97" s="60">
        <v>27</v>
      </c>
      <c r="E97" s="87"/>
      <c r="F97" s="87"/>
      <c r="G97" s="87"/>
      <c r="H97" s="87"/>
      <c r="I97" s="53">
        <f t="shared" si="3"/>
        <v>3.1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120</v>
      </c>
      <c r="B98" s="60">
        <v>234</v>
      </c>
      <c r="C98" s="60">
        <v>9</v>
      </c>
      <c r="D98" s="60">
        <v>234</v>
      </c>
      <c r="E98" s="87"/>
      <c r="F98" s="87"/>
      <c r="G98" s="87"/>
      <c r="H98" s="87"/>
      <c r="I98" s="53">
        <f t="shared" si="3"/>
        <v>2.8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Alisier torminal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25</v>
      </c>
      <c r="B114" s="60">
        <v>30</v>
      </c>
      <c r="C114" s="50">
        <v>0</v>
      </c>
      <c r="D114" s="60">
        <v>0</v>
      </c>
      <c r="E114" s="51"/>
      <c r="F114" s="51"/>
      <c r="G114" s="51"/>
      <c r="H114" s="51">
        <v>1</v>
      </c>
      <c r="I114" s="53">
        <f>IFERROR(B114/A114,"")</f>
        <v>1.2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v>54</v>
      </c>
      <c r="C115" s="50">
        <v>0</v>
      </c>
      <c r="D115" s="60">
        <v>0</v>
      </c>
      <c r="E115" s="51"/>
      <c r="F115" s="51">
        <v>0.5</v>
      </c>
      <c r="G115" s="51">
        <v>0.5</v>
      </c>
      <c r="H115" s="51"/>
      <c r="I115" s="53">
        <f t="shared" ref="I115:I133" si="4">IF(A115&lt;&gt;0,(B115-(B114-D114))/(A115-A114),"")</f>
        <v>4.8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v>106</v>
      </c>
      <c r="C116" s="50">
        <v>1</v>
      </c>
      <c r="D116" s="60">
        <v>27</v>
      </c>
      <c r="E116" s="51"/>
      <c r="F116" s="51">
        <v>0.5</v>
      </c>
      <c r="G116" s="51">
        <v>0.5</v>
      </c>
      <c r="H116" s="51"/>
      <c r="I116" s="53">
        <f t="shared" si="4"/>
        <v>5.2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v>135</v>
      </c>
      <c r="C117" s="50">
        <v>2</v>
      </c>
      <c r="D117" s="60">
        <v>28</v>
      </c>
      <c r="E117" s="51"/>
      <c r="F117" s="51">
        <v>0.7</v>
      </c>
      <c r="G117" s="51"/>
      <c r="H117" s="51"/>
      <c r="I117" s="53">
        <f t="shared" si="4"/>
        <v>5.6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v>162</v>
      </c>
      <c r="C118" s="50">
        <v>3</v>
      </c>
      <c r="D118" s="60">
        <v>28</v>
      </c>
      <c r="E118" s="51"/>
      <c r="F118" s="51">
        <v>0.65</v>
      </c>
      <c r="G118" s="51"/>
      <c r="H118" s="51"/>
      <c r="I118" s="53">
        <f t="shared" si="4"/>
        <v>5.5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v>186</v>
      </c>
      <c r="C119" s="50">
        <v>4</v>
      </c>
      <c r="D119" s="60">
        <v>28</v>
      </c>
      <c r="E119" s="51"/>
      <c r="F119" s="51">
        <v>0.6</v>
      </c>
      <c r="G119" s="51"/>
      <c r="H119" s="51"/>
      <c r="I119" s="53">
        <f t="shared" si="4"/>
        <v>5.2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v>206</v>
      </c>
      <c r="C120" s="60">
        <v>5</v>
      </c>
      <c r="D120" s="60">
        <v>28</v>
      </c>
      <c r="E120" s="87"/>
      <c r="F120" s="87">
        <v>0.55000000000000004</v>
      </c>
      <c r="G120" s="87"/>
      <c r="H120" s="87"/>
      <c r="I120" s="53">
        <f t="shared" si="4"/>
        <v>4.8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90</v>
      </c>
      <c r="B121" s="60">
        <v>221</v>
      </c>
      <c r="C121" s="60">
        <v>6</v>
      </c>
      <c r="D121" s="60">
        <v>28</v>
      </c>
      <c r="E121" s="87"/>
      <c r="F121" s="87">
        <v>0.5</v>
      </c>
      <c r="G121" s="87"/>
      <c r="H121" s="87"/>
      <c r="I121" s="53">
        <f t="shared" si="4"/>
        <v>4.3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100</v>
      </c>
      <c r="B122" s="60">
        <v>230</v>
      </c>
      <c r="C122" s="60">
        <v>7</v>
      </c>
      <c r="D122" s="60">
        <v>28</v>
      </c>
      <c r="E122" s="87"/>
      <c r="F122" s="87">
        <v>0.45</v>
      </c>
      <c r="G122" s="87"/>
      <c r="H122" s="87"/>
      <c r="I122" s="53">
        <f t="shared" si="4"/>
        <v>3.7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110</v>
      </c>
      <c r="B123" s="60">
        <v>233</v>
      </c>
      <c r="C123" s="60">
        <v>8</v>
      </c>
      <c r="D123" s="60">
        <v>27</v>
      </c>
      <c r="E123" s="87"/>
      <c r="F123" s="87">
        <v>0.4</v>
      </c>
      <c r="G123" s="87"/>
      <c r="H123" s="87"/>
      <c r="I123" s="53">
        <f t="shared" si="4"/>
        <v>3.1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120</v>
      </c>
      <c r="B124" s="60">
        <v>234</v>
      </c>
      <c r="C124" s="60">
        <v>9</v>
      </c>
      <c r="D124" s="60">
        <v>234</v>
      </c>
      <c r="E124" s="87"/>
      <c r="F124" s="87"/>
      <c r="G124" s="87"/>
      <c r="H124" s="87"/>
      <c r="I124" s="53">
        <f t="shared" si="4"/>
        <v>2.8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Chêne sessile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20</v>
      </c>
      <c r="B140" s="60">
        <v>42</v>
      </c>
      <c r="C140" s="50">
        <v>1</v>
      </c>
      <c r="D140" s="60">
        <v>0</v>
      </c>
      <c r="E140" s="51"/>
      <c r="F140" s="51"/>
      <c r="G140" s="51"/>
      <c r="H140" s="51">
        <v>1</v>
      </c>
      <c r="I140" s="57">
        <f>IFERROR(B140/A140,"")</f>
        <v>2.1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v>106</v>
      </c>
      <c r="C141" s="50">
        <v>2</v>
      </c>
      <c r="D141" s="60">
        <v>29</v>
      </c>
      <c r="E141" s="51"/>
      <c r="F141" s="51">
        <v>0.5</v>
      </c>
      <c r="G141" s="51">
        <v>0.5</v>
      </c>
      <c r="H141" s="51"/>
      <c r="I141" s="57">
        <f t="shared" ref="I141:I159" si="5">IF(A141&lt;&gt;0,(B141-(B140-D140))/(A141-A140),"")</f>
        <v>6.4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v>158</v>
      </c>
      <c r="C142" s="50">
        <v>3</v>
      </c>
      <c r="D142" s="60">
        <v>42</v>
      </c>
      <c r="E142" s="51"/>
      <c r="F142" s="51">
        <v>0.5</v>
      </c>
      <c r="G142" s="51">
        <v>0.5</v>
      </c>
      <c r="H142" s="51"/>
      <c r="I142" s="57">
        <f t="shared" si="5"/>
        <v>8.1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v>200</v>
      </c>
      <c r="C143" s="50">
        <v>4</v>
      </c>
      <c r="D143" s="60">
        <v>42</v>
      </c>
      <c r="E143" s="51">
        <v>0.3</v>
      </c>
      <c r="F143" s="51">
        <v>0.7</v>
      </c>
      <c r="G143" s="51"/>
      <c r="H143" s="51"/>
      <c r="I143" s="57">
        <f t="shared" si="5"/>
        <v>8.4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f>193+D144</f>
        <v>235</v>
      </c>
      <c r="C144" s="50">
        <v>5</v>
      </c>
      <c r="D144" s="60">
        <v>42</v>
      </c>
      <c r="E144" s="51">
        <v>0.35</v>
      </c>
      <c r="F144" s="51">
        <v>0.65</v>
      </c>
      <c r="G144" s="51"/>
      <c r="H144" s="51"/>
      <c r="I144" s="57">
        <f t="shared" si="5"/>
        <v>7.7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70</v>
      </c>
      <c r="B145" s="60">
        <f>221+D145</f>
        <v>263</v>
      </c>
      <c r="C145" s="50">
        <v>6</v>
      </c>
      <c r="D145" s="60">
        <v>42</v>
      </c>
      <c r="E145" s="51">
        <v>0.4</v>
      </c>
      <c r="F145" s="51">
        <v>0.6</v>
      </c>
      <c r="G145" s="51"/>
      <c r="H145" s="51"/>
      <c r="I145" s="57">
        <f t="shared" si="5"/>
        <v>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80</v>
      </c>
      <c r="B146" s="60">
        <v>283</v>
      </c>
      <c r="C146" s="50">
        <v>7</v>
      </c>
      <c r="D146" s="60">
        <v>42</v>
      </c>
      <c r="E146" s="51">
        <v>0.45</v>
      </c>
      <c r="F146" s="51">
        <v>0.55000000000000004</v>
      </c>
      <c r="G146" s="51"/>
      <c r="H146" s="51"/>
      <c r="I146" s="57">
        <f t="shared" si="5"/>
        <v>6.2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90</v>
      </c>
      <c r="B147" s="60">
        <v>296</v>
      </c>
      <c r="C147" s="50">
        <v>8</v>
      </c>
      <c r="D147" s="60">
        <v>42</v>
      </c>
      <c r="E147" s="51">
        <v>0.5</v>
      </c>
      <c r="F147" s="51">
        <v>0.5</v>
      </c>
      <c r="G147" s="51"/>
      <c r="H147" s="51"/>
      <c r="I147" s="57">
        <f>IF(A147&lt;&gt;0,(B147-(B146-D146))/(A147-A146),"")</f>
        <v>5.5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100</v>
      </c>
      <c r="B148" s="60">
        <v>300</v>
      </c>
      <c r="C148" s="50">
        <v>9</v>
      </c>
      <c r="D148" s="60">
        <v>42</v>
      </c>
      <c r="E148" s="51">
        <v>0.55000000000000004</v>
      </c>
      <c r="F148" s="51">
        <v>0.45</v>
      </c>
      <c r="G148" s="51"/>
      <c r="H148" s="51"/>
      <c r="I148" s="57">
        <f t="shared" si="5"/>
        <v>4.5999999999999996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110</v>
      </c>
      <c r="B149" s="60">
        <v>304</v>
      </c>
      <c r="C149" s="50">
        <v>10</v>
      </c>
      <c r="D149" s="60">
        <v>39</v>
      </c>
      <c r="E149" s="51">
        <v>0.6</v>
      </c>
      <c r="F149" s="51">
        <v>0.4</v>
      </c>
      <c r="G149" s="51"/>
      <c r="H149" s="51"/>
      <c r="I149" s="57">
        <f t="shared" si="5"/>
        <v>4.5999999999999996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120</v>
      </c>
      <c r="B150" s="60">
        <v>302</v>
      </c>
      <c r="C150" s="50">
        <v>11</v>
      </c>
      <c r="D150" s="60">
        <v>302</v>
      </c>
      <c r="E150" s="51">
        <v>0.65</v>
      </c>
      <c r="F150" s="51">
        <v>0.35</v>
      </c>
      <c r="G150" s="51"/>
      <c r="H150" s="51"/>
      <c r="I150" s="57">
        <f t="shared" si="5"/>
        <v>3.7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Bouleau verruqueux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20</v>
      </c>
      <c r="B166" s="60">
        <v>95</v>
      </c>
      <c r="C166" s="60">
        <v>1</v>
      </c>
      <c r="D166" s="60">
        <v>43</v>
      </c>
      <c r="E166" s="51"/>
      <c r="F166" s="51"/>
      <c r="G166" s="51"/>
      <c r="H166" s="51">
        <v>1</v>
      </c>
      <c r="I166" s="49">
        <f>IFERROR(B166/A166,"")</f>
        <v>4.75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30</v>
      </c>
      <c r="B167" s="60">
        <v>174</v>
      </c>
      <c r="C167" s="60">
        <v>2</v>
      </c>
      <c r="D167" s="60">
        <v>56</v>
      </c>
      <c r="E167" s="51"/>
      <c r="F167" s="51">
        <v>0.5</v>
      </c>
      <c r="G167" s="51">
        <v>0.5</v>
      </c>
      <c r="H167" s="51"/>
      <c r="I167" s="49">
        <f t="shared" ref="I167:I185" si="6">IF(A167&lt;&gt;0,(B167-(B166-D166))/(A167-A166),"")</f>
        <v>12.2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40</v>
      </c>
      <c r="B168" s="60">
        <v>220</v>
      </c>
      <c r="C168" s="60">
        <v>3</v>
      </c>
      <c r="D168" s="60">
        <v>56</v>
      </c>
      <c r="E168" s="51"/>
      <c r="F168" s="51">
        <v>0.5</v>
      </c>
      <c r="G168" s="51">
        <v>0.5</v>
      </c>
      <c r="H168" s="51"/>
      <c r="I168" s="49">
        <f t="shared" si="6"/>
        <v>10.199999999999999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50</v>
      </c>
      <c r="B169" s="60">
        <v>241</v>
      </c>
      <c r="C169" s="60">
        <v>4</v>
      </c>
      <c r="D169" s="60">
        <v>39</v>
      </c>
      <c r="E169" s="51">
        <v>0.3</v>
      </c>
      <c r="F169" s="51">
        <v>0.7</v>
      </c>
      <c r="G169" s="51"/>
      <c r="H169" s="51"/>
      <c r="I169" s="49">
        <f t="shared" si="6"/>
        <v>7.7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60</v>
      </c>
      <c r="B170" s="60">
        <v>258</v>
      </c>
      <c r="C170" s="60">
        <v>5</v>
      </c>
      <c r="D170" s="60">
        <v>25</v>
      </c>
      <c r="E170" s="51">
        <v>0.35</v>
      </c>
      <c r="F170" s="51">
        <v>0.65</v>
      </c>
      <c r="G170" s="51"/>
      <c r="H170" s="51"/>
      <c r="I170" s="49">
        <f t="shared" si="6"/>
        <v>5.6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70</v>
      </c>
      <c r="B171" s="60">
        <v>274</v>
      </c>
      <c r="C171" s="60">
        <v>6</v>
      </c>
      <c r="D171" s="60">
        <v>21</v>
      </c>
      <c r="E171" s="51">
        <v>0.4</v>
      </c>
      <c r="F171" s="51">
        <v>0.6</v>
      </c>
      <c r="G171" s="51"/>
      <c r="H171" s="51"/>
      <c r="I171" s="49">
        <f t="shared" si="6"/>
        <v>4.0999999999999996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80</v>
      </c>
      <c r="B172" s="60">
        <v>284</v>
      </c>
      <c r="C172" s="60">
        <v>7</v>
      </c>
      <c r="D172" s="60">
        <v>284</v>
      </c>
      <c r="E172" s="51">
        <v>0.45</v>
      </c>
      <c r="F172" s="51">
        <v>0.55000000000000004</v>
      </c>
      <c r="G172" s="51"/>
      <c r="H172" s="51"/>
      <c r="I172" s="49">
        <f t="shared" si="6"/>
        <v>3.1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E25" sqref="E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Aulne glutineux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Alisier torminal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sessile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Bouleau verruqueux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446.28010102877403</v>
      </c>
      <c r="T3" s="59">
        <f>IF('Données projet'!E9&gt;30,$R$33-$H$33,LOOKUP('Données projet'!$E$9,$A$3:$A$203,R3:R203)-LOOKUP('Données projet'!$E$9,$A$3:$A$203,$H$3:$H$203))</f>
        <v>445.84011537290456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252.98248842635206</v>
      </c>
      <c r="AO3" s="59">
        <f>IF('Données projet'!E10&gt;30,$AM$33-$H$33,LOOKUP('Données projet'!$E$10,$A$3:$A$203,AM3:AM203)-LOOKUP('Données projet'!$E$10,$A$3:$A$203,$H$3:$H$203))</f>
        <v>207.11938580878308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114.23168847330004</v>
      </c>
      <c r="BJ3" s="59">
        <f>IF('Données projet'!E11&gt;30,$BH$33-$H$33,LOOKUP('Données projet'!$E$11,$A$3:$A$203,BH3:BH203)-LOOKUP('Données projet'!$E$11,$A$3:$A$203,$H$3:$H$203))</f>
        <v>42.34857998136755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201.36664523637006</v>
      </c>
      <c r="CE3" s="59">
        <f>IF('Données projet'!E12&gt;30,$CC$33-$H$33,LOOKUP('Données projet'!$E$12,$A$3:$A$203,CC3:CC203)-LOOKUP('Données projet'!$E$12,$A$3:$A$203,$H$3:$H$203))</f>
        <v>79.394119001888555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282.08542131880455</v>
      </c>
      <c r="CZ3" s="59">
        <f>IF('Données projet'!E13&gt;30,$CX$33-$H$33,LOOKUP('Données projet'!$E$13,$A$3:$A$203,CX3:CX203)-LOOKUP('Données projet'!$E$13,$A$3:$A$203,$H$3:$H$203))</f>
        <v>174.27503468762325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235.31102883830971</v>
      </c>
      <c r="DU3" s="59">
        <f>IF('Données projet'!E14&gt;30,$DS$33-$H$33,LOOKUP('Données projet'!$E$14,$A$3:$A$203,DS3:DS203)-LOOKUP('Données projet'!$E$14,$A$3:$A$203,$H$3:$H$203))</f>
        <v>271.48630853790422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2.7</v>
      </c>
      <c r="N4" s="13">
        <f>IF('Données projet'!$A$36&gt;35,N3+M4-V3,IF(A4&lt;'Données projet'!$A$36,$K$205^A4,IF(A4='Données projet'!$A$36,'Données projet'!$B$36,N3+M4-V3)))</f>
        <v>1.3903891703159093</v>
      </c>
      <c r="O4" s="13">
        <f>N4*VLOOKUP('Données projet'!$B$9,Paramètres!$A$1:$I$89,3,0)*VLOOKUP('Données projet'!$B$9,Paramètres!$A$1:$I$89,5,0)</f>
        <v>0.77722754620659329</v>
      </c>
      <c r="P4" s="13">
        <f>EXP(-1.0587+0.8836*LN(O4)+0.284)</f>
        <v>0.36884206136494596</v>
      </c>
      <c r="Q4" s="20">
        <f t="shared" ref="Q4:Q34" si="2">(O4+P4)*0.475*44/12</f>
        <v>1.9960712331870976</v>
      </c>
      <c r="R4" s="59">
        <f t="shared" si="0"/>
        <v>295.3294045665204</v>
      </c>
      <c r="S4" s="59">
        <f ca="1">AVERAGE(OFFSET($R$3,0,0,'Données projet'!$E$9+1,1))-AVERAGE(OFFSET($H$3,0,0,'Données projet'!$E$9+1,1))</f>
        <v>446.28010102877403</v>
      </c>
      <c r="T4" s="59">
        <f>$T$3</f>
        <v>445.84011537290456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7.9</v>
      </c>
      <c r="AI4" s="13">
        <f>IF('Données projet'!$A$62&gt;35,AI3+AH4-AQ3,IF(A4&lt;'Données projet'!$A$62,$AF$205^A4,IF(A4='Données projet'!$A$62,'Données projet'!$B$62,AI3+AH4-AQ3)))</f>
        <v>1.2880503926580862</v>
      </c>
      <c r="AJ4" s="13">
        <f>AI4*VLOOKUP('Données projet'!$B$10,Paramètres!$A$1:$I$89,3,0)*VLOOKUP('Données projet'!$B$10,Paramètres!$A$1:$I$89,5,0)</f>
        <v>0.60280758376398436</v>
      </c>
      <c r="AK4" s="13">
        <f>EXP(-1.0587+0.8836*LN(AJ4)+0.284)</f>
        <v>0.29465781953181042</v>
      </c>
      <c r="AL4" s="20">
        <f t="shared" ref="AL4:AL67" si="4">(AJ4+AK4)*0.475*44/12</f>
        <v>1.5630855774068424</v>
      </c>
      <c r="AM4" s="59">
        <f t="shared" ref="AM4:AM67" si="5">AL4+(AD4+AE4)*44/12</f>
        <v>294.89641891074018</v>
      </c>
      <c r="AN4" s="59">
        <f ca="1">AVERAGE(OFFSET($AM$3,0,0,'Données projet'!$E$10+1,1))-AVERAGE(OFFSET($H$3,0,0,'Données projet'!$E$10+1,1))</f>
        <v>252.98248842635206</v>
      </c>
      <c r="AO4" s="59">
        <f>$AO$3</f>
        <v>207.11938580878308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1.2</v>
      </c>
      <c r="BD4" s="12">
        <f>IF('Données projet'!$A$88&gt;35,BD3+BC4-BL3,IF(A4&lt;'Données projet'!$A$88,$BA$205^A4,IF(A4='Données projet'!$A$88,'Données projet'!$B$88,BD3+BC4-BL3)))</f>
        <v>1.1457367676485573</v>
      </c>
      <c r="BE4" s="13">
        <f>BD4*VLOOKUP('Données projet'!$B$11,Paramètres!$A$1:$I$89,3,0)*VLOOKUP('Données projet'!$B$11,Paramètres!$A$1:$I$89,5,0)</f>
        <v>0.75068673016333476</v>
      </c>
      <c r="BF4" s="13">
        <f>EXP(-1.0587+0.8836*LN(BE4)+0.284)</f>
        <v>0.35769050069344399</v>
      </c>
      <c r="BG4" s="20">
        <f t="shared" ref="BG4:BG67" si="7">(BE4+BF4)*0.475*44/12</f>
        <v>1.9304236770755561</v>
      </c>
      <c r="BH4" s="59">
        <f t="shared" ref="BH4:BH67" si="8">BG4+(AY4+AZ4)*44/12</f>
        <v>295.26375701040888</v>
      </c>
      <c r="BI4" s="59">
        <f ca="1">AVERAGE(OFFSET($BH$3,0,0,'Données projet'!$E$11+1,1))-AVERAGE(OFFSET($H$3,0,0,'Données projet'!$E$11+1,1))</f>
        <v>114.23168847330004</v>
      </c>
      <c r="BJ4" s="59">
        <f>$BJ$3</f>
        <v>42.34857998136755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1.2</v>
      </c>
      <c r="BY4" s="12">
        <f>IF('Données projet'!$A$114&gt;35,BY3+BX4-CG3,IF(A4&lt;'Données projet'!$A$114,$BV$205^A4,IF(A4='Données projet'!$A$114,'Données projet'!$B$114,BY3+BX4-CG3)))</f>
        <v>1.1457367676485573</v>
      </c>
      <c r="BZ4" s="13">
        <f>BY4*VLOOKUP('Données projet'!$B$12,Paramètres!$A$1:$I$89,3,0)*VLOOKUP('Données projet'!$B$12,Paramètres!$A$1:$I$89,5,0)</f>
        <v>1.1081566016696847</v>
      </c>
      <c r="CA4" s="13">
        <f>EXP(-1.0587+0.8836*LN(BZ4)+0.284)</f>
        <v>0.50461671312632472</v>
      </c>
      <c r="CB4" s="20">
        <f t="shared" ref="CB4:CB67" si="10">(BZ4+CA4)*0.475*44/12</f>
        <v>2.808913523269716</v>
      </c>
      <c r="CC4" s="59">
        <f t="shared" ref="CC4:CC67" si="11">CB4+(BT4+BU4)*44/12</f>
        <v>296.14224685660304</v>
      </c>
      <c r="CD4" s="59">
        <f ca="1">AVERAGE(OFFSET($CC$3,0,0,'Données projet'!$E$12+1,1))-AVERAGE(OFFSET($H$3,0,0,'Données projet'!$E$12+1,1))</f>
        <v>201.36664523637006</v>
      </c>
      <c r="CE4" s="59">
        <f>$CE$3</f>
        <v>79.394119001888555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2.1</v>
      </c>
      <c r="CT4" s="12">
        <f>IF('Données projet'!$A$140&gt;35,CT3+CS4-DB3,IF(A4&lt;'Données projet'!$A$140,$CQ$205^A4,IF(A4='Données projet'!$A$140,'Données projet'!$B$140,CT3+CS4-DB3)))</f>
        <v>1.2054868146447177</v>
      </c>
      <c r="CU4" s="17">
        <f>CT4*VLOOKUP('Données projet'!$B$13,Paramètres!$A$1:$I$89,3,0)*VLOOKUP('Données projet'!$B$13,Paramètres!$A$1:$I$89,5,0)</f>
        <v>1.0907244698905405</v>
      </c>
      <c r="CV4" s="13">
        <f>EXP(-1.0587+0.8836*LN(CU4)+0.284)</f>
        <v>0.49759623852608204</v>
      </c>
      <c r="CW4" s="20">
        <f t="shared" ref="CW4:CW67" si="13">(CU4+CV4)*0.475*44/12</f>
        <v>2.7663252338256172</v>
      </c>
      <c r="CX4" s="59">
        <f t="shared" ref="CX4:CX67" si="14">CW4+(CO4+CP4)*44/12</f>
        <v>296.09965856715894</v>
      </c>
      <c r="CY4" s="59">
        <f ca="1">AVERAGE(OFFSET($CX$3,0,0,'Données projet'!$E$13+1,1))-AVERAGE(OFFSET($H$3,0,0,'Données projet'!$E$13+1,1))</f>
        <v>282.08542131880455</v>
      </c>
      <c r="CZ4" s="59">
        <f>$CZ$3</f>
        <v>174.27503468762325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4.75</v>
      </c>
      <c r="DO4" s="12">
        <f>IF('Données projet'!$A$166&gt;35,DO3+DN4-DW3,IF(A4&lt;'Données projet'!$A$166,$DL$205^A4,IF(A4='Données projet'!$A$166,'Données projet'!$B$166,DO3+DN4-DW3)))</f>
        <v>1.2557008269631629</v>
      </c>
      <c r="DP4" s="17">
        <f>DO4*VLOOKUP('Données projet'!$B$14,Paramètres!$A$1:$I$89,3,0)*VLOOKUP('Données projet'!$B$14,Paramètres!$A$1:$I$89,5,0)</f>
        <v>1.0186245108325178</v>
      </c>
      <c r="DQ4" s="13">
        <f>EXP(-1.0587+0.8836*LN(DP4)+0.284)</f>
        <v>0.4684177496027801</v>
      </c>
      <c r="DR4" s="20">
        <f t="shared" ref="DR4:DR67" si="16">(DP4+DQ4)*0.475*44/12</f>
        <v>2.5899319369248102</v>
      </c>
      <c r="DS4" s="59">
        <f t="shared" ref="DS4:DS67" si="17">DR4+(DJ4+DK4)*44/12</f>
        <v>295.92326527025813</v>
      </c>
      <c r="DT4" s="59">
        <f ca="1">AVERAGE(OFFSET($DS$3,0,0,'Données projet'!$E$14+1,1))-AVERAGE(OFFSET($H$3,0,0,'Données projet'!$E$14+1,1))</f>
        <v>235.31102883830971</v>
      </c>
      <c r="DU4" s="59">
        <f>$DU$3</f>
        <v>271.48630853790422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2.7</v>
      </c>
      <c r="N5" s="13">
        <f>IF('Données projet'!$A$36&gt;35,N4+M5-V4,IF(A5&lt;'Données projet'!$A$36,$K$205^A5,IF(A5='Données projet'!$A$36,'Données projet'!$B$36,N4+M5-V4)))</f>
        <v>1.9331820449317625</v>
      </c>
      <c r="O5" s="13">
        <f>N5*VLOOKUP('Données projet'!$B$9,Paramètres!$A$1:$I$89,3,0)*VLOOKUP('Données projet'!$B$9,Paramètres!$A$1:$I$89,5,0)</f>
        <v>1.0806487631168553</v>
      </c>
      <c r="P5" s="13">
        <f t="shared" ref="P5:P68" si="33">EXP(-1.0587+0.8836*LN(O5)+0.284)</f>
        <v>0.49353248375234221</v>
      </c>
      <c r="Q5" s="20">
        <f t="shared" si="2"/>
        <v>2.7416990049638525</v>
      </c>
      <c r="R5" s="59">
        <f t="shared" si="0"/>
        <v>296.07503233829715</v>
      </c>
      <c r="S5" s="59">
        <f ca="1">AVERAGE(OFFSET($R$3,0,0,'Données projet'!$E$9+1,1))-AVERAGE(OFFSET($H$3,0,0,'Données projet'!$E$9+1,1))</f>
        <v>446.28010102877403</v>
      </c>
      <c r="T5" s="59">
        <f t="shared" ref="T5:T68" si="34">$T$3</f>
        <v>445.84011537290456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7.9</v>
      </c>
      <c r="AI5" s="13">
        <f>IF('Données projet'!$A$62&gt;35,AI4+AH5-AQ4,IF(A5&lt;'Données projet'!$A$62,$AF$205^A5,IF(A5='Données projet'!$A$62,'Données projet'!$B$62,AI4+AH5-AQ4)))</f>
        <v>1.6590738140266501</v>
      </c>
      <c r="AJ5" s="13">
        <f>AI5*VLOOKUP('Données projet'!$B$10,Paramètres!$A$1:$I$89,3,0)*VLOOKUP('Données projet'!$B$10,Paramètres!$A$1:$I$89,5,0)</f>
        <v>0.77644654496447219</v>
      </c>
      <c r="AK5" s="13">
        <f t="shared" ref="AK5:AK68" si="35">EXP(-1.0587+0.8836*LN(AJ5)+0.284)</f>
        <v>0.36851455096495994</v>
      </c>
      <c r="AL5" s="20">
        <f t="shared" si="4"/>
        <v>1.9941405754104276</v>
      </c>
      <c r="AM5" s="59">
        <f t="shared" si="5"/>
        <v>295.32747390874374</v>
      </c>
      <c r="AN5" s="59">
        <f ca="1">AVERAGE(OFFSET($AM$3,0,0,'Données projet'!$E$10+1,1))-AVERAGE(OFFSET($H$3,0,0,'Données projet'!$E$10+1,1))</f>
        <v>252.98248842635206</v>
      </c>
      <c r="AO5" s="59">
        <f t="shared" ref="AO5:AO68" si="36">$AO$3</f>
        <v>207.11938580878308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1.2</v>
      </c>
      <c r="BD5" s="12">
        <f>IF('Données projet'!$A$88&gt;35,BD4+BC5-BL4,IF(A5&lt;'Données projet'!$A$88,$BA$205^A5,IF(A5='Données projet'!$A$88,'Données projet'!$B$88,BD4+BC5-BL4)))</f>
        <v>1.312712740741764</v>
      </c>
      <c r="BE5" s="13">
        <f>BD5*VLOOKUP('Données projet'!$B$11,Paramètres!$A$1:$I$89,3,0)*VLOOKUP('Données projet'!$B$11,Paramètres!$A$1:$I$89,5,0)</f>
        <v>0.86008938773400379</v>
      </c>
      <c r="BF5" s="13">
        <f t="shared" ref="BF5:BF68" si="37">EXP(-1.0587+0.8836*LN(BE5)+0.284)</f>
        <v>0.40338038879025201</v>
      </c>
      <c r="BG5" s="20">
        <f t="shared" si="7"/>
        <v>2.2005431941130786</v>
      </c>
      <c r="BH5" s="59">
        <f t="shared" si="8"/>
        <v>295.53387652744641</v>
      </c>
      <c r="BI5" s="59">
        <f ca="1">AVERAGE(OFFSET($BH$3,0,0,'Données projet'!$E$11+1,1))-AVERAGE(OFFSET($H$3,0,0,'Données projet'!$E$11+1,1))</f>
        <v>114.23168847330004</v>
      </c>
      <c r="BJ5" s="59">
        <f t="shared" ref="BJ5:BJ68" si="38">$BJ$3</f>
        <v>42.34857998136755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1.2</v>
      </c>
      <c r="BY5" s="12">
        <f>IF('Données projet'!$A$114&gt;35,BY4+BX5-CG4,IF(A5&lt;'Données projet'!$A$114,$BV$205^A5,IF(A5='Données projet'!$A$114,'Données projet'!$B$114,BY4+BX5-CG4)))</f>
        <v>1.312712740741764</v>
      </c>
      <c r="BZ5" s="13">
        <f>BY5*VLOOKUP('Données projet'!$B$12,Paramètres!$A$1:$I$89,3,0)*VLOOKUP('Données projet'!$B$12,Paramètres!$A$1:$I$89,5,0)</f>
        <v>1.2696557628454344</v>
      </c>
      <c r="CA5" s="13">
        <f t="shared" ref="CA5:CA68" si="39">EXP(-1.0587+0.8836*LN(BZ5)+0.284)</f>
        <v>0.56907434090738995</v>
      </c>
      <c r="CB5" s="20">
        <f t="shared" si="10"/>
        <v>3.2024549307028356</v>
      </c>
      <c r="CC5" s="59">
        <f t="shared" si="11"/>
        <v>296.53578826403617</v>
      </c>
      <c r="CD5" s="59">
        <f ca="1">AVERAGE(OFFSET($CC$3,0,0,'Données projet'!$E$12+1,1))-AVERAGE(OFFSET($H$3,0,0,'Données projet'!$E$12+1,1))</f>
        <v>201.36664523637006</v>
      </c>
      <c r="CE5" s="59">
        <f t="shared" ref="CE5:CE68" si="40">$CE$3</f>
        <v>79.394119001888555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2.1</v>
      </c>
      <c r="CT5" s="12">
        <f>IF('Données projet'!$A$140&gt;35,CT4+CS5-DB4,IF(A5&lt;'Données projet'!$A$140,$CQ$205^A5,IF(A5='Données projet'!$A$140,'Données projet'!$B$140,CT4+CS5-DB4)))</f>
        <v>1.4531984602822681</v>
      </c>
      <c r="CU5" s="17">
        <f>CT5*VLOOKUP('Données projet'!$B$13,Paramètres!$A$1:$I$89,3,0)*VLOOKUP('Données projet'!$B$13,Paramètres!$A$1:$I$89,5,0)</f>
        <v>1.3148539668633961</v>
      </c>
      <c r="CV5" s="13">
        <f t="shared" ref="CV5:CV68" si="41">EXP(-1.0587+0.8836*LN(CU5)+0.284)</f>
        <v>0.58693801963664449</v>
      </c>
      <c r="CW5" s="20">
        <f t="shared" si="13"/>
        <v>3.3122877098209038</v>
      </c>
      <c r="CX5" s="59">
        <f t="shared" si="14"/>
        <v>296.64562104315422</v>
      </c>
      <c r="CY5" s="59">
        <f ca="1">AVERAGE(OFFSET($CX$3,0,0,'Données projet'!$E$13+1,1))-AVERAGE(OFFSET($H$3,0,0,'Données projet'!$E$13+1,1))</f>
        <v>282.08542131880455</v>
      </c>
      <c r="CZ5" s="59">
        <f t="shared" ref="CZ5:CZ68" si="42">$CZ$3</f>
        <v>174.27503468762325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4.75</v>
      </c>
      <c r="DO5" s="12">
        <f>IF('Données projet'!$A$166&gt;35,DO4+DN5-DW4,IF(A5&lt;'Données projet'!$A$166,$DL$205^A5,IF(A5='Données projet'!$A$166,'Données projet'!$B$166,DO4+DN5-DW4)))</f>
        <v>1.576784566835971</v>
      </c>
      <c r="DP5" s="17">
        <f>DO5*VLOOKUP('Données projet'!$B$14,Paramètres!$A$1:$I$89,3,0)*VLOOKUP('Données projet'!$B$14,Paramètres!$A$1:$I$89,5,0)</f>
        <v>1.2790876406173397</v>
      </c>
      <c r="DQ5" s="13">
        <f t="shared" ref="DQ5:DQ68" si="43">EXP(-1.0587+0.8836*LN(DP5)+0.284)</f>
        <v>0.57280812840105289</v>
      </c>
      <c r="DR5" s="20">
        <f t="shared" si="16"/>
        <v>3.2253851310403672</v>
      </c>
      <c r="DS5" s="59">
        <f t="shared" si="17"/>
        <v>296.55871846437367</v>
      </c>
      <c r="DT5" s="59">
        <f ca="1">AVERAGE(OFFSET($DS$3,0,0,'Données projet'!$E$14+1,1))-AVERAGE(OFFSET($H$3,0,0,'Données projet'!$E$14+1,1))</f>
        <v>235.31102883830971</v>
      </c>
      <c r="DU5" s="59">
        <f t="shared" ref="DU5:DU68" si="44">$DU$3</f>
        <v>271.48630853790422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2.7</v>
      </c>
      <c r="N6" s="13">
        <f>IF('Données projet'!$A$36&gt;35,N5+M6-V5,IF(A6&lt;'Données projet'!$A$36,$K$205^A6,IF(A6='Données projet'!$A$36,'Données projet'!$B$36,N5+M6-V5)))</f>
        <v>2.6878753795222861</v>
      </c>
      <c r="O6" s="13">
        <f>N6*VLOOKUP('Données projet'!$B$9,Paramètres!$A$1:$I$89,3,0)*VLOOKUP('Données projet'!$B$9,Paramètres!$A$1:$I$89,5,0)</f>
        <v>1.5025223371529579</v>
      </c>
      <c r="P6" s="13">
        <f t="shared" si="33"/>
        <v>0.66037564050417386</v>
      </c>
      <c r="Q6" s="20">
        <f t="shared" si="2"/>
        <v>3.7670473110861704</v>
      </c>
      <c r="R6" s="59">
        <f t="shared" si="0"/>
        <v>297.10038064441949</v>
      </c>
      <c r="S6" s="59">
        <f ca="1">AVERAGE(OFFSET($R$3,0,0,'Données projet'!$E$9+1,1))-AVERAGE(OFFSET($H$3,0,0,'Données projet'!$E$9+1,1))</f>
        <v>446.28010102877403</v>
      </c>
      <c r="T6" s="59">
        <f t="shared" si="34"/>
        <v>445.84011537290456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7.9</v>
      </c>
      <c r="AI6" s="13">
        <f>IF('Données projet'!$A$62&gt;35,AI5+AH6-AQ5,IF(A6&lt;'Données projet'!$A$62,$AF$205^A6,IF(A6='Données projet'!$A$62,'Données projet'!$B$62,AI5+AH6-AQ5)))</f>
        <v>2.1369706776057753</v>
      </c>
      <c r="AJ6" s="13">
        <f>AI6*VLOOKUP('Données projet'!$B$10,Paramètres!$A$1:$I$89,3,0)*VLOOKUP('Données projet'!$B$10,Paramètres!$A$1:$I$89,5,0)</f>
        <v>1.0001022771195029</v>
      </c>
      <c r="AK6" s="13">
        <f t="shared" si="35"/>
        <v>0.46088365986243646</v>
      </c>
      <c r="AL6" s="20">
        <f t="shared" si="4"/>
        <v>2.5445505069102112</v>
      </c>
      <c r="AM6" s="59">
        <f t="shared" si="5"/>
        <v>295.8778838402435</v>
      </c>
      <c r="AN6" s="59">
        <f ca="1">AVERAGE(OFFSET($AM$3,0,0,'Données projet'!$E$10+1,1))-AVERAGE(OFFSET($H$3,0,0,'Données projet'!$E$10+1,1))</f>
        <v>252.98248842635206</v>
      </c>
      <c r="AO6" s="59">
        <f t="shared" si="36"/>
        <v>207.11938580878308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1.2</v>
      </c>
      <c r="BD6" s="12">
        <f>IF('Données projet'!$A$88&gt;35,BD5+BC6-BL5,IF(A6&lt;'Données projet'!$A$88,$BA$205^A6,IF(A6='Données projet'!$A$88,'Données projet'!$B$88,BD5+BC6-BL5)))</f>
        <v>1.5040232524285473</v>
      </c>
      <c r="BE6" s="13">
        <f>BD6*VLOOKUP('Données projet'!$B$11,Paramètres!$A$1:$I$89,3,0)*VLOOKUP('Données projet'!$B$11,Paramètres!$A$1:$I$89,5,0)</f>
        <v>0.98543603499118415</v>
      </c>
      <c r="BF6" s="13">
        <f t="shared" si="37"/>
        <v>0.45490651204078014</v>
      </c>
      <c r="BG6" s="20">
        <f t="shared" si="7"/>
        <v>2.5085966027473376</v>
      </c>
      <c r="BH6" s="59">
        <f t="shared" si="8"/>
        <v>295.84192993608065</v>
      </c>
      <c r="BI6" s="59">
        <f ca="1">AVERAGE(OFFSET($BH$3,0,0,'Données projet'!$E$11+1,1))-AVERAGE(OFFSET($H$3,0,0,'Données projet'!$E$11+1,1))</f>
        <v>114.23168847330004</v>
      </c>
      <c r="BJ6" s="59">
        <f t="shared" si="38"/>
        <v>42.34857998136755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1.2</v>
      </c>
      <c r="BY6" s="12">
        <f>IF('Données projet'!$A$114&gt;35,BY5+BX6-CG5,IF(A6&lt;'Données projet'!$A$114,$BV$205^A6,IF(A6='Données projet'!$A$114,'Données projet'!$B$114,BY5+BX6-CG5)))</f>
        <v>1.5040232524285473</v>
      </c>
      <c r="BZ6" s="13">
        <f>BY6*VLOOKUP('Données projet'!$B$12,Paramètres!$A$1:$I$89,3,0)*VLOOKUP('Données projet'!$B$12,Paramètres!$A$1:$I$89,5,0)</f>
        <v>1.4546912897488911</v>
      </c>
      <c r="CA6" s="13">
        <f t="shared" si="39"/>
        <v>0.64176551639126822</v>
      </c>
      <c r="CB6" s="20">
        <f t="shared" si="10"/>
        <v>3.6513289373607773</v>
      </c>
      <c r="CC6" s="59">
        <f t="shared" si="11"/>
        <v>296.98466227069412</v>
      </c>
      <c r="CD6" s="59">
        <f ca="1">AVERAGE(OFFSET($CC$3,0,0,'Données projet'!$E$12+1,1))-AVERAGE(OFFSET($H$3,0,0,'Données projet'!$E$12+1,1))</f>
        <v>201.36664523637006</v>
      </c>
      <c r="CE6" s="59">
        <f t="shared" si="40"/>
        <v>79.394119001888555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2.1</v>
      </c>
      <c r="CT6" s="12">
        <f>IF('Données projet'!$A$140&gt;35,CT5+CS6-DB5,IF(A6&lt;'Données projet'!$A$140,$CQ$205^A6,IF(A6='Données projet'!$A$140,'Données projet'!$B$140,CT5+CS6-DB5)))</f>
        <v>1.7518115829322798</v>
      </c>
      <c r="CU6" s="17">
        <f>CT6*VLOOKUP('Données projet'!$B$13,Paramètres!$A$1:$I$89,3,0)*VLOOKUP('Données projet'!$B$13,Paramètres!$A$1:$I$89,5,0)</f>
        <v>1.5850391202371266</v>
      </c>
      <c r="CV6" s="13">
        <f t="shared" si="41"/>
        <v>0.69232082604846479</v>
      </c>
      <c r="CW6" s="20">
        <f t="shared" si="13"/>
        <v>3.966401906447405</v>
      </c>
      <c r="CX6" s="59">
        <f t="shared" si="14"/>
        <v>297.29973523978072</v>
      </c>
      <c r="CY6" s="59">
        <f ca="1">AVERAGE(OFFSET($CX$3,0,0,'Données projet'!$E$13+1,1))-AVERAGE(OFFSET($H$3,0,0,'Données projet'!$E$13+1,1))</f>
        <v>282.08542131880455</v>
      </c>
      <c r="CZ6" s="59">
        <f t="shared" si="42"/>
        <v>174.27503468762325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4.75</v>
      </c>
      <c r="DO6" s="12">
        <f>IF('Données projet'!$A$166&gt;35,DO5+DN6-DW5,IF(A6&lt;'Données projet'!$A$166,$DL$205^A6,IF(A6='Données projet'!$A$166,'Données projet'!$B$166,DO5+DN6-DW5)))</f>
        <v>1.9799696845186814</v>
      </c>
      <c r="DP6" s="17">
        <f>DO6*VLOOKUP('Données projet'!$B$14,Paramètres!$A$1:$I$89,3,0)*VLOOKUP('Données projet'!$B$14,Paramètres!$A$1:$I$89,5,0)</f>
        <v>1.6061514080815542</v>
      </c>
      <c r="DQ6" s="13">
        <f t="shared" si="43"/>
        <v>0.70046267939367102</v>
      </c>
      <c r="DR6" s="20">
        <f t="shared" si="16"/>
        <v>4.0173528690193505</v>
      </c>
      <c r="DS6" s="59">
        <f t="shared" si="17"/>
        <v>297.35068620235268</v>
      </c>
      <c r="DT6" s="59">
        <f ca="1">AVERAGE(OFFSET($DS$3,0,0,'Données projet'!$E$14+1,1))-AVERAGE(OFFSET($H$3,0,0,'Données projet'!$E$14+1,1))</f>
        <v>235.31102883830971</v>
      </c>
      <c r="DU6" s="59">
        <f t="shared" si="44"/>
        <v>271.48630853790422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2.7</v>
      </c>
      <c r="N7" s="13">
        <f>IF('Données projet'!$A$36&gt;35,N6+M7-V6,IF(A7&lt;'Données projet'!$A$36,$K$205^A7,IF(A7='Données projet'!$A$36,'Données projet'!$B$36,N6+M7-V6)))</f>
        <v>3.7371928188465509</v>
      </c>
      <c r="O7" s="13">
        <f>N7*VLOOKUP('Données projet'!$B$9,Paramètres!$A$1:$I$89,3,0)*VLOOKUP('Données projet'!$B$9,Paramètres!$A$1:$I$89,5,0)</f>
        <v>2.0890907857352219</v>
      </c>
      <c r="P7" s="13">
        <f t="shared" si="33"/>
        <v>0.88362164787137598</v>
      </c>
      <c r="Q7" s="20">
        <f t="shared" si="2"/>
        <v>5.1774741551981576</v>
      </c>
      <c r="R7" s="59">
        <f t="shared" si="0"/>
        <v>298.5108074885315</v>
      </c>
      <c r="S7" s="59">
        <f ca="1">AVERAGE(OFFSET($R$3,0,0,'Données projet'!$E$9+1,1))-AVERAGE(OFFSET($H$3,0,0,'Données projet'!$E$9+1,1))</f>
        <v>446.28010102877403</v>
      </c>
      <c r="T7" s="59">
        <f t="shared" si="34"/>
        <v>445.84011537290456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7.9</v>
      </c>
      <c r="AI7" s="13">
        <f>IF('Données projet'!$A$62&gt;35,AI6+AH7-AQ6,IF(A7&lt;'Données projet'!$A$62,$AF$205^A7,IF(A7='Données projet'!$A$62,'Données projet'!$B$62,AI6+AH7-AQ6)))</f>
        <v>2.7525259203889356</v>
      </c>
      <c r="AJ7" s="13">
        <f>AI7*VLOOKUP('Données projet'!$B$10,Paramètres!$A$1:$I$89,3,0)*VLOOKUP('Données projet'!$B$10,Paramètres!$A$1:$I$89,5,0)</f>
        <v>1.2881821307420218</v>
      </c>
      <c r="AK7" s="13">
        <f t="shared" si="35"/>
        <v>0.57640532069082717</v>
      </c>
      <c r="AL7" s="20">
        <f t="shared" si="4"/>
        <v>3.2474898112455457</v>
      </c>
      <c r="AM7" s="59">
        <f t="shared" si="5"/>
        <v>296.58082314457886</v>
      </c>
      <c r="AN7" s="59">
        <f ca="1">AVERAGE(OFFSET($AM$3,0,0,'Données projet'!$E$10+1,1))-AVERAGE(OFFSET($H$3,0,0,'Données projet'!$E$10+1,1))</f>
        <v>252.98248842635206</v>
      </c>
      <c r="AO7" s="59">
        <f t="shared" si="36"/>
        <v>207.11938580878308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1.2</v>
      </c>
      <c r="BD7" s="12">
        <f>IF('Données projet'!$A$88&gt;35,BD6+BC7-BL6,IF(A7&lt;'Données projet'!$A$88,$BA$205^A7,IF(A7='Données projet'!$A$88,'Données projet'!$B$88,BD6+BC7-BL6)))</f>
        <v>1.7232147397057538</v>
      </c>
      <c r="BE7" s="13">
        <f>BD7*VLOOKUP('Données projet'!$B$11,Paramètres!$A$1:$I$89,3,0)*VLOOKUP('Données projet'!$B$11,Paramètres!$A$1:$I$89,5,0)</f>
        <v>1.1290502974552099</v>
      </c>
      <c r="BF7" s="13">
        <f t="shared" si="37"/>
        <v>0.5130143667066378</v>
      </c>
      <c r="BG7" s="20">
        <f t="shared" si="7"/>
        <v>2.8599292900818849</v>
      </c>
      <c r="BH7" s="59">
        <f t="shared" si="8"/>
        <v>296.19326262341519</v>
      </c>
      <c r="BI7" s="59">
        <f ca="1">AVERAGE(OFFSET($BH$3,0,0,'Données projet'!$E$11+1,1))-AVERAGE(OFFSET($H$3,0,0,'Données projet'!$E$11+1,1))</f>
        <v>114.23168847330004</v>
      </c>
      <c r="BJ7" s="59">
        <f t="shared" si="38"/>
        <v>42.34857998136755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1.2</v>
      </c>
      <c r="BY7" s="12">
        <f>IF('Données projet'!$A$114&gt;35,BY6+BX7-CG6,IF(A7&lt;'Données projet'!$A$114,$BV$205^A7,IF(A7='Données projet'!$A$114,'Données projet'!$B$114,BY6+BX7-CG6)))</f>
        <v>1.7232147397057538</v>
      </c>
      <c r="BZ7" s="13">
        <f>BY7*VLOOKUP('Données projet'!$B$12,Paramètres!$A$1:$I$89,3,0)*VLOOKUP('Données projet'!$B$12,Paramètres!$A$1:$I$89,5,0)</f>
        <v>1.6666932962434051</v>
      </c>
      <c r="CA7" s="13">
        <f t="shared" si="39"/>
        <v>0.72374195851500689</v>
      </c>
      <c r="CB7" s="20">
        <f t="shared" si="10"/>
        <v>4.1633414020375676</v>
      </c>
      <c r="CC7" s="59">
        <f t="shared" si="11"/>
        <v>297.4966747353709</v>
      </c>
      <c r="CD7" s="59">
        <f ca="1">AVERAGE(OFFSET($CC$3,0,0,'Données projet'!$E$12+1,1))-AVERAGE(OFFSET($H$3,0,0,'Données projet'!$E$12+1,1))</f>
        <v>201.36664523637006</v>
      </c>
      <c r="CE7" s="59">
        <f t="shared" si="40"/>
        <v>79.394119001888555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2.1</v>
      </c>
      <c r="CT7" s="12">
        <f>IF('Données projet'!$A$140&gt;35,CT6+CS7-DB6,IF(A7&lt;'Données projet'!$A$140,$CQ$205^A7,IF(A7='Données projet'!$A$140,'Données projet'!$B$140,CT6+CS7-DB6)))</f>
        <v>2.1117857649667546</v>
      </c>
      <c r="CU7" s="17">
        <f>CT7*VLOOKUP('Données projet'!$B$13,Paramètres!$A$1:$I$89,3,0)*VLOOKUP('Données projet'!$B$13,Paramètres!$A$1:$I$89,5,0)</f>
        <v>1.9107437601419195</v>
      </c>
      <c r="CV7" s="13">
        <f t="shared" si="41"/>
        <v>0.81662477151702284</v>
      </c>
      <c r="CW7" s="20">
        <f t="shared" si="13"/>
        <v>4.7501668593059909</v>
      </c>
      <c r="CX7" s="59">
        <f t="shared" si="14"/>
        <v>298.08350019263929</v>
      </c>
      <c r="CY7" s="59">
        <f ca="1">AVERAGE(OFFSET($CX$3,0,0,'Données projet'!$E$13+1,1))-AVERAGE(OFFSET($H$3,0,0,'Données projet'!$E$13+1,1))</f>
        <v>282.08542131880455</v>
      </c>
      <c r="CZ7" s="59">
        <f t="shared" si="42"/>
        <v>174.27503468762325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4.75</v>
      </c>
      <c r="DO7" s="12">
        <f>IF('Données projet'!$A$166&gt;35,DO6+DN7-DW6,IF(A7&lt;'Données projet'!$A$166,$DL$205^A7,IF(A7='Données projet'!$A$166,'Données projet'!$B$166,DO6+DN7-DW6)))</f>
        <v>2.4862495702121006</v>
      </c>
      <c r="DP7" s="17">
        <f>DO7*VLOOKUP('Données projet'!$B$14,Paramètres!$A$1:$I$89,3,0)*VLOOKUP('Données projet'!$B$14,Paramètres!$A$1:$I$89,5,0)</f>
        <v>2.0168456513560562</v>
      </c>
      <c r="DQ7" s="13">
        <f t="shared" si="43"/>
        <v>0.8565659963537261</v>
      </c>
      <c r="DR7" s="20">
        <f t="shared" si="16"/>
        <v>5.00452528642787</v>
      </c>
      <c r="DS7" s="59">
        <f t="shared" si="17"/>
        <v>298.33785861976116</v>
      </c>
      <c r="DT7" s="59">
        <f ca="1">AVERAGE(OFFSET($DS$3,0,0,'Données projet'!$E$14+1,1))-AVERAGE(OFFSET($H$3,0,0,'Données projet'!$E$14+1,1))</f>
        <v>235.31102883830971</v>
      </c>
      <c r="DU7" s="59">
        <f t="shared" si="44"/>
        <v>271.48630853790422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2.7</v>
      </c>
      <c r="N8" s="13">
        <f>IF('Données projet'!$A$36&gt;35,N7+M8-V7,IF(A8&lt;'Données projet'!$A$36,$K$205^A8,IF(A8='Données projet'!$A$36,'Données projet'!$B$36,N7+M8-V7)))</f>
        <v>5.1961524227066302</v>
      </c>
      <c r="O8" s="13">
        <f>N8*VLOOKUP('Données projet'!$B$9,Paramètres!$A$1:$I$89,3,0)*VLOOKUP('Données projet'!$B$9,Paramètres!$A$1:$I$89,5,0)</f>
        <v>2.9046492042930061</v>
      </c>
      <c r="P8" s="13">
        <f t="shared" si="33"/>
        <v>1.1823380038531133</v>
      </c>
      <c r="Q8" s="20">
        <f t="shared" si="2"/>
        <v>7.1181693875211574</v>
      </c>
      <c r="R8" s="59">
        <f t="shared" si="0"/>
        <v>300.45150272085448</v>
      </c>
      <c r="S8" s="59">
        <f ca="1">AVERAGE(OFFSET($R$3,0,0,'Données projet'!$E$9+1,1))-AVERAGE(OFFSET($H$3,0,0,'Données projet'!$E$9+1,1))</f>
        <v>446.28010102877403</v>
      </c>
      <c r="T8" s="59">
        <f t="shared" si="34"/>
        <v>445.84011537290456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7.9</v>
      </c>
      <c r="AI8" s="13">
        <f>IF('Données projet'!$A$62&gt;35,AI7+AH8-AQ7,IF(A8&lt;'Données projet'!$A$62,$AF$205^A8,IF(A8='Données projet'!$A$62,'Données projet'!$B$62,AI7+AH8-AQ7)))</f>
        <v>3.5453920925585285</v>
      </c>
      <c r="AJ8" s="13">
        <f>AI8*VLOOKUP('Données projet'!$B$10,Paramètres!$A$1:$I$89,3,0)*VLOOKUP('Données projet'!$B$10,Paramètres!$A$1:$I$89,5,0)</f>
        <v>1.6592434993173915</v>
      </c>
      <c r="AK8" s="13">
        <f t="shared" si="35"/>
        <v>0.72088277944126433</v>
      </c>
      <c r="AL8" s="20">
        <f t="shared" si="4"/>
        <v>4.1453866021713255</v>
      </c>
      <c r="AM8" s="59">
        <f t="shared" si="5"/>
        <v>297.47871993550461</v>
      </c>
      <c r="AN8" s="59">
        <f ca="1">AVERAGE(OFFSET($AM$3,0,0,'Données projet'!$E$10+1,1))-AVERAGE(OFFSET($H$3,0,0,'Données projet'!$E$10+1,1))</f>
        <v>252.98248842635206</v>
      </c>
      <c r="AO8" s="59">
        <f t="shared" si="36"/>
        <v>207.11938580878308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1.2</v>
      </c>
      <c r="BD8" s="12">
        <f>IF('Données projet'!$A$88&gt;35,BD7+BC8-BL7,IF(A8&lt;'Données projet'!$A$88,$BA$205^A8,IF(A8='Données projet'!$A$88,'Données projet'!$B$88,BD7+BC8-BL7)))</f>
        <v>1.9743504858348202</v>
      </c>
      <c r="BE8" s="13">
        <f>BD8*VLOOKUP('Données projet'!$B$11,Paramètres!$A$1:$I$89,3,0)*VLOOKUP('Données projet'!$B$11,Paramètres!$A$1:$I$89,5,0)</f>
        <v>1.2935944383189741</v>
      </c>
      <c r="BF8" s="13">
        <f t="shared" si="37"/>
        <v>0.57854467562297607</v>
      </c>
      <c r="BG8" s="20">
        <f t="shared" si="7"/>
        <v>3.2606422901155638</v>
      </c>
      <c r="BH8" s="59">
        <f t="shared" si="8"/>
        <v>296.5939756234489</v>
      </c>
      <c r="BI8" s="59">
        <f ca="1">AVERAGE(OFFSET($BH$3,0,0,'Données projet'!$E$11+1,1))-AVERAGE(OFFSET($H$3,0,0,'Données projet'!$E$11+1,1))</f>
        <v>114.23168847330004</v>
      </c>
      <c r="BJ8" s="59">
        <f t="shared" si="38"/>
        <v>42.34857998136755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1.2</v>
      </c>
      <c r="BY8" s="12">
        <f>IF('Données projet'!$A$114&gt;35,BY7+BX8-CG7,IF(A8&lt;'Données projet'!$A$114,$BV$205^A8,IF(A8='Données projet'!$A$114,'Données projet'!$B$114,BY7+BX8-CG7)))</f>
        <v>1.9743504858348202</v>
      </c>
      <c r="BZ8" s="13">
        <f>BY8*VLOOKUP('Données projet'!$B$12,Paramètres!$A$1:$I$89,3,0)*VLOOKUP('Données projet'!$B$12,Paramètres!$A$1:$I$89,5,0)</f>
        <v>1.9095917898994379</v>
      </c>
      <c r="CA8" s="13">
        <f t="shared" si="39"/>
        <v>0.81618972839261894</v>
      </c>
      <c r="CB8" s="20">
        <f t="shared" si="10"/>
        <v>4.7474028110253315</v>
      </c>
      <c r="CC8" s="59">
        <f t="shared" si="11"/>
        <v>298.08073614435864</v>
      </c>
      <c r="CD8" s="59">
        <f ca="1">AVERAGE(OFFSET($CC$3,0,0,'Données projet'!$E$12+1,1))-AVERAGE(OFFSET($H$3,0,0,'Données projet'!$E$12+1,1))</f>
        <v>201.36664523637006</v>
      </c>
      <c r="CE8" s="59">
        <f t="shared" si="40"/>
        <v>79.394119001888555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2.1</v>
      </c>
      <c r="CT8" s="12">
        <f>IF('Données projet'!$A$140&gt;35,CT7+CS8-DB7,IF(A8&lt;'Données projet'!$A$140,$CQ$205^A8,IF(A8='Données projet'!$A$140,'Données projet'!$B$140,CT7+CS8-DB7)))</f>
        <v>2.5457298950218314</v>
      </c>
      <c r="CU8" s="17">
        <f>CT8*VLOOKUP('Données projet'!$B$13,Paramètres!$A$1:$I$89,3,0)*VLOOKUP('Données projet'!$B$13,Paramètres!$A$1:$I$89,5,0)</f>
        <v>2.3033764090157529</v>
      </c>
      <c r="CV8" s="13">
        <f t="shared" si="41"/>
        <v>0.96324708482559218</v>
      </c>
      <c r="CW8" s="20">
        <f t="shared" si="13"/>
        <v>5.6893692517736758</v>
      </c>
      <c r="CX8" s="59">
        <f t="shared" si="14"/>
        <v>299.02270258510697</v>
      </c>
      <c r="CY8" s="59">
        <f ca="1">AVERAGE(OFFSET($CX$3,0,0,'Données projet'!$E$13+1,1))-AVERAGE(OFFSET($H$3,0,0,'Données projet'!$E$13+1,1))</f>
        <v>282.08542131880455</v>
      </c>
      <c r="CZ8" s="59">
        <f t="shared" si="42"/>
        <v>174.27503468762325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4.75</v>
      </c>
      <c r="DO8" s="12">
        <f>IF('Données projet'!$A$166&gt;35,DO7+DN8-DW7,IF(A8&lt;'Données projet'!$A$166,$DL$205^A8,IF(A8='Données projet'!$A$166,'Données projet'!$B$166,DO7+DN8-DW7)))</f>
        <v>3.121985641352143</v>
      </c>
      <c r="DP8" s="17">
        <f>DO8*VLOOKUP('Données projet'!$B$14,Paramètres!$A$1:$I$89,3,0)*VLOOKUP('Données projet'!$B$14,Paramètres!$A$1:$I$89,5,0)</f>
        <v>2.5325547522648586</v>
      </c>
      <c r="DQ8" s="13">
        <f t="shared" si="43"/>
        <v>1.0474580983308857</v>
      </c>
      <c r="DR8" s="20">
        <f t="shared" si="16"/>
        <v>6.2351890481209198</v>
      </c>
      <c r="DS8" s="59">
        <f t="shared" si="17"/>
        <v>299.56852238145422</v>
      </c>
      <c r="DT8" s="59">
        <f ca="1">AVERAGE(OFFSET($DS$3,0,0,'Données projet'!$E$14+1,1))-AVERAGE(OFFSET($H$3,0,0,'Données projet'!$E$14+1,1))</f>
        <v>235.31102883830971</v>
      </c>
      <c r="DU8" s="59">
        <f t="shared" si="44"/>
        <v>271.48630853790422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2.7</v>
      </c>
      <c r="N9" s="13">
        <f>IF('Données projet'!$A$36&gt;35,N8+M9-V8,IF(A9&lt;'Données projet'!$A$36,$K$205^A9,IF(A9='Données projet'!$A$36,'Données projet'!$B$36,N8+M9-V8)))</f>
        <v>7.2246740558420726</v>
      </c>
      <c r="O9" s="13">
        <f>N9*VLOOKUP('Données projet'!$B$9,Paramètres!$A$1:$I$89,3,0)*VLOOKUP('Données projet'!$B$9,Paramètres!$A$1:$I$89,5,0)</f>
        <v>4.0385927972157187</v>
      </c>
      <c r="P9" s="13">
        <f t="shared" si="33"/>
        <v>1.5820381480274153</v>
      </c>
      <c r="Q9" s="20">
        <f t="shared" si="2"/>
        <v>9.7892655629651237</v>
      </c>
      <c r="R9" s="59">
        <f t="shared" si="0"/>
        <v>303.12259889629843</v>
      </c>
      <c r="S9" s="59">
        <f ca="1">AVERAGE(OFFSET($R$3,0,0,'Données projet'!$E$9+1,1))-AVERAGE(OFFSET($H$3,0,0,'Données projet'!$E$9+1,1))</f>
        <v>446.28010102877403</v>
      </c>
      <c r="T9" s="59">
        <f t="shared" si="34"/>
        <v>445.84011537290456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7.9</v>
      </c>
      <c r="AI9" s="13">
        <f>IF('Données projet'!$A$62&gt;35,AI8+AH9-AQ8,IF(A9&lt;'Données projet'!$A$62,$AF$205^A9,IF(A9='Données projet'!$A$62,'Données projet'!$B$62,AI8+AH9-AQ8)))</f>
        <v>4.566643676946887</v>
      </c>
      <c r="AJ9" s="13">
        <f>AI9*VLOOKUP('Données projet'!$B$10,Paramètres!$A$1:$I$89,3,0)*VLOOKUP('Données projet'!$B$10,Paramètres!$A$1:$I$89,5,0)</f>
        <v>2.1371892408111433</v>
      </c>
      <c r="AK9" s="13">
        <f t="shared" si="35"/>
        <v>0.9015738804633705</v>
      </c>
      <c r="AL9" s="20">
        <f t="shared" si="4"/>
        <v>5.292512436219778</v>
      </c>
      <c r="AM9" s="59">
        <f t="shared" si="5"/>
        <v>298.62584576955311</v>
      </c>
      <c r="AN9" s="59">
        <f ca="1">AVERAGE(OFFSET($AM$3,0,0,'Données projet'!$E$10+1,1))-AVERAGE(OFFSET($H$3,0,0,'Données projet'!$E$10+1,1))</f>
        <v>252.98248842635206</v>
      </c>
      <c r="AO9" s="59">
        <f t="shared" si="36"/>
        <v>207.11938580878308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1.2</v>
      </c>
      <c r="BD9" s="12">
        <f>IF('Données projet'!$A$88&gt;35,BD8+BC9-BL8,IF(A9&lt;'Données projet'!$A$88,$BA$205^A9,IF(A9='Données projet'!$A$88,'Données projet'!$B$88,BD8+BC9-BL8)))</f>
        <v>2.2620859438457455</v>
      </c>
      <c r="BE9" s="13">
        <f>BD9*VLOOKUP('Données projet'!$B$11,Paramètres!$A$1:$I$89,3,0)*VLOOKUP('Données projet'!$B$11,Paramètres!$A$1:$I$89,5,0)</f>
        <v>1.4821187104077325</v>
      </c>
      <c r="BF9" s="13">
        <f t="shared" si="37"/>
        <v>0.65244555204259524</v>
      </c>
      <c r="BG9" s="20">
        <f t="shared" si="7"/>
        <v>3.7176994237676539</v>
      </c>
      <c r="BH9" s="59">
        <f t="shared" si="8"/>
        <v>297.05103275710098</v>
      </c>
      <c r="BI9" s="59">
        <f ca="1">AVERAGE(OFFSET($BH$3,0,0,'Données projet'!$E$11+1,1))-AVERAGE(OFFSET($H$3,0,0,'Données projet'!$E$11+1,1))</f>
        <v>114.23168847330004</v>
      </c>
      <c r="BJ9" s="59">
        <f t="shared" si="38"/>
        <v>42.34857998136755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1.2</v>
      </c>
      <c r="BY9" s="12">
        <f>IF('Données projet'!$A$114&gt;35,BY8+BX9-CG8,IF(A9&lt;'Données projet'!$A$114,$BV$205^A9,IF(A9='Données projet'!$A$114,'Données projet'!$B$114,BY8+BX9-CG8)))</f>
        <v>2.2620859438457455</v>
      </c>
      <c r="BZ9" s="13">
        <f>BY9*VLOOKUP('Données projet'!$B$12,Paramètres!$A$1:$I$89,3,0)*VLOOKUP('Données projet'!$B$12,Paramètres!$A$1:$I$89,5,0)</f>
        <v>2.1878895248876051</v>
      </c>
      <c r="CA9" s="13">
        <f t="shared" si="39"/>
        <v>0.92044638962272363</v>
      </c>
      <c r="CB9" s="20">
        <f t="shared" si="10"/>
        <v>5.4136850511054888</v>
      </c>
      <c r="CC9" s="59">
        <f t="shared" si="11"/>
        <v>298.74701838443877</v>
      </c>
      <c r="CD9" s="59">
        <f ca="1">AVERAGE(OFFSET($CC$3,0,0,'Données projet'!$E$12+1,1))-AVERAGE(OFFSET($H$3,0,0,'Données projet'!$E$12+1,1))</f>
        <v>201.36664523637006</v>
      </c>
      <c r="CE9" s="59">
        <f t="shared" si="40"/>
        <v>79.394119001888555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2.1</v>
      </c>
      <c r="CT9" s="12">
        <f>IF('Données projet'!$A$140&gt;35,CT8+CS9-DB8,IF(A9&lt;'Données projet'!$A$140,$CQ$205^A9,IF(A9='Données projet'!$A$140,'Données projet'!$B$140,CT8+CS9-DB8)))</f>
        <v>3.0688438220956993</v>
      </c>
      <c r="CU9" s="17">
        <f>CT9*VLOOKUP('Données projet'!$B$13,Paramètres!$A$1:$I$89,3,0)*VLOOKUP('Données projet'!$B$13,Paramètres!$A$1:$I$89,5,0)</f>
        <v>2.7766898902321886</v>
      </c>
      <c r="CV9" s="13">
        <f t="shared" si="41"/>
        <v>1.1361949561012803</v>
      </c>
      <c r="CW9" s="20">
        <f t="shared" si="13"/>
        <v>6.8149411073641248</v>
      </c>
      <c r="CX9" s="59">
        <f t="shared" si="14"/>
        <v>300.14827444069743</v>
      </c>
      <c r="CY9" s="59">
        <f ca="1">AVERAGE(OFFSET($CX$3,0,0,'Données projet'!$E$13+1,1))-AVERAGE(OFFSET($H$3,0,0,'Données projet'!$E$13+1,1))</f>
        <v>282.08542131880455</v>
      </c>
      <c r="CZ9" s="59">
        <f t="shared" si="42"/>
        <v>174.27503468762325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4.75</v>
      </c>
      <c r="DO9" s="12">
        <f>IF('Données projet'!$A$166&gt;35,DO8+DN9-DW8,IF(A9&lt;'Données projet'!$A$166,$DL$205^A9,IF(A9='Données projet'!$A$166,'Données projet'!$B$166,DO8+DN9-DW8)))</f>
        <v>3.920279951613006</v>
      </c>
      <c r="DP9" s="17">
        <f>DO9*VLOOKUP('Données projet'!$B$14,Paramètres!$A$1:$I$89,3,0)*VLOOKUP('Données projet'!$B$14,Paramètres!$A$1:$I$89,5,0)</f>
        <v>3.1801310967484708</v>
      </c>
      <c r="DQ9" s="13">
        <f t="shared" si="43"/>
        <v>1.2808919247663788</v>
      </c>
      <c r="DR9" s="20">
        <f t="shared" si="16"/>
        <v>7.7696150958050287</v>
      </c>
      <c r="DS9" s="59">
        <f t="shared" si="17"/>
        <v>301.10294842913834</v>
      </c>
      <c r="DT9" s="59">
        <f ca="1">AVERAGE(OFFSET($DS$3,0,0,'Données projet'!$E$14+1,1))-AVERAGE(OFFSET($H$3,0,0,'Données projet'!$E$14+1,1))</f>
        <v>235.31102883830971</v>
      </c>
      <c r="DU9" s="59">
        <f t="shared" si="44"/>
        <v>271.48630853790422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2.7</v>
      </c>
      <c r="N10" s="13">
        <f>IF('Données projet'!$A$36&gt;35,N9+M10-V9,IF(A10&lt;'Données projet'!$A$36,$K$205^A10,IF(A10='Données projet'!$A$36,'Données projet'!$B$36,N9+M10-V9)))</f>
        <v>10.045108566305135</v>
      </c>
      <c r="O10" s="13">
        <f>N10*VLOOKUP('Données projet'!$B$9,Paramètres!$A$1:$I$89,3,0)*VLOOKUP('Données projet'!$B$9,Paramètres!$A$1:$I$89,5,0)</f>
        <v>5.6152156885645708</v>
      </c>
      <c r="P10" s="13">
        <f t="shared" si="33"/>
        <v>2.1168605708837163</v>
      </c>
      <c r="Q10" s="20">
        <f t="shared" si="2"/>
        <v>13.466699485205766</v>
      </c>
      <c r="R10" s="59">
        <f t="shared" si="0"/>
        <v>306.80003281853908</v>
      </c>
      <c r="S10" s="59">
        <f ca="1">AVERAGE(OFFSET($R$3,0,0,'Données projet'!$E$9+1,1))-AVERAGE(OFFSET($H$3,0,0,'Données projet'!$E$9+1,1))</f>
        <v>446.28010102877403</v>
      </c>
      <c r="T10" s="59">
        <f t="shared" si="34"/>
        <v>445.84011537290456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7.9</v>
      </c>
      <c r="AI10" s="13">
        <f>IF('Données projet'!$A$62&gt;35,AI9+AH10-AQ9,IF(A10&lt;'Données projet'!$A$62,$AF$205^A10,IF(A10='Données projet'!$A$62,'Données projet'!$B$62,AI9+AH10-AQ9)))</f>
        <v>5.8820671812210037</v>
      </c>
      <c r="AJ10" s="13">
        <f>AI10*VLOOKUP('Données projet'!$B$10,Paramètres!$A$1:$I$89,3,0)*VLOOKUP('Données projet'!$B$10,Paramètres!$A$1:$I$89,5,0)</f>
        <v>2.7528074408114294</v>
      </c>
      <c r="AK10" s="13">
        <f t="shared" si="35"/>
        <v>1.1275556652411438</v>
      </c>
      <c r="AL10" s="20">
        <f t="shared" si="4"/>
        <v>6.7582990763748976</v>
      </c>
      <c r="AM10" s="59">
        <f t="shared" si="5"/>
        <v>300.09163240970821</v>
      </c>
      <c r="AN10" s="59">
        <f ca="1">AVERAGE(OFFSET($AM$3,0,0,'Données projet'!$E$10+1,1))-AVERAGE(OFFSET($H$3,0,0,'Données projet'!$E$10+1,1))</f>
        <v>252.98248842635206</v>
      </c>
      <c r="AO10" s="59">
        <f t="shared" si="36"/>
        <v>207.11938580878308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1.2</v>
      </c>
      <c r="BD10" s="12">
        <f>IF('Données projet'!$A$88&gt;35,BD9+BC10-BL9,IF(A10&lt;'Données projet'!$A$88,$BA$205^A10,IF(A10='Données projet'!$A$88,'Données projet'!$B$88,BD9+BC10-BL9)))</f>
        <v>2.5917550374450604</v>
      </c>
      <c r="BE10" s="13">
        <f>BD10*VLOOKUP('Données projet'!$B$11,Paramètres!$A$1:$I$89,3,0)*VLOOKUP('Données projet'!$B$11,Paramètres!$A$1:$I$89,5,0)</f>
        <v>1.6981179005340035</v>
      </c>
      <c r="BF10" s="13">
        <f t="shared" si="37"/>
        <v>0.73578621723860749</v>
      </c>
      <c r="BG10" s="20">
        <f t="shared" si="7"/>
        <v>4.2390496717872974</v>
      </c>
      <c r="BH10" s="59">
        <f t="shared" si="8"/>
        <v>297.57238300512063</v>
      </c>
      <c r="BI10" s="59">
        <f ca="1">AVERAGE(OFFSET($BH$3,0,0,'Données projet'!$E$11+1,1))-AVERAGE(OFFSET($H$3,0,0,'Données projet'!$E$11+1,1))</f>
        <v>114.23168847330004</v>
      </c>
      <c r="BJ10" s="59">
        <f t="shared" si="38"/>
        <v>42.34857998136755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1.2</v>
      </c>
      <c r="BY10" s="12">
        <f>IF('Données projet'!$A$114&gt;35,BY9+BX10-CG9,IF(A10&lt;'Données projet'!$A$114,$BV$205^A10,IF(A10='Données projet'!$A$114,'Données projet'!$B$114,BY9+BX10-CG9)))</f>
        <v>2.5917550374450604</v>
      </c>
      <c r="BZ10" s="13">
        <f>BY10*VLOOKUP('Données projet'!$B$12,Paramètres!$A$1:$I$89,3,0)*VLOOKUP('Données projet'!$B$12,Paramètres!$A$1:$I$89,5,0)</f>
        <v>2.5067454722168625</v>
      </c>
      <c r="CA10" s="13">
        <f t="shared" si="39"/>
        <v>1.038020360582093</v>
      </c>
      <c r="CB10" s="20">
        <f t="shared" si="10"/>
        <v>6.1738004921248475</v>
      </c>
      <c r="CC10" s="59">
        <f t="shared" si="11"/>
        <v>299.50713382545814</v>
      </c>
      <c r="CD10" s="59">
        <f ca="1">AVERAGE(OFFSET($CC$3,0,0,'Données projet'!$E$12+1,1))-AVERAGE(OFFSET($H$3,0,0,'Données projet'!$E$12+1,1))</f>
        <v>201.36664523637006</v>
      </c>
      <c r="CE10" s="59">
        <f t="shared" si="40"/>
        <v>79.394119001888555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2.1</v>
      </c>
      <c r="CT10" s="12">
        <f>IF('Données projet'!$A$140&gt;35,CT9+CS10-DB9,IF(A10&lt;'Données projet'!$A$140,$CQ$205^A10,IF(A10='Données projet'!$A$140,'Données projet'!$B$140,CT9+CS10-DB9)))</f>
        <v>3.6994507637402658</v>
      </c>
      <c r="CU10" s="17">
        <f>CT10*VLOOKUP('Données projet'!$B$13,Paramètres!$A$1:$I$89,3,0)*VLOOKUP('Données projet'!$B$13,Paramètres!$A$1:$I$89,5,0)</f>
        <v>3.3472630510321921</v>
      </c>
      <c r="CV10" s="13">
        <f t="shared" si="41"/>
        <v>1.34019505338418</v>
      </c>
      <c r="CW10" s="20">
        <f t="shared" si="13"/>
        <v>8.1639895318585136</v>
      </c>
      <c r="CX10" s="59">
        <f t="shared" si="14"/>
        <v>301.49732286519185</v>
      </c>
      <c r="CY10" s="59">
        <f ca="1">AVERAGE(OFFSET($CX$3,0,0,'Données projet'!$E$13+1,1))-AVERAGE(OFFSET($H$3,0,0,'Données projet'!$E$13+1,1))</f>
        <v>282.08542131880455</v>
      </c>
      <c r="CZ10" s="59">
        <f t="shared" si="42"/>
        <v>174.27503468762325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4.75</v>
      </c>
      <c r="DO10" s="12">
        <f>IF('Données projet'!$A$166&gt;35,DO9+DN10-DW9,IF(A10&lt;'Données projet'!$A$166,$DL$205^A10,IF(A10='Données projet'!$A$166,'Données projet'!$B$166,DO9+DN10-DW9)))</f>
        <v>4.9226987771675601</v>
      </c>
      <c r="DP10" s="17">
        <f>DO10*VLOOKUP('Données projet'!$B$14,Paramètres!$A$1:$I$89,3,0)*VLOOKUP('Données projet'!$B$14,Paramètres!$A$1:$I$89,5,0)</f>
        <v>3.993293248038325</v>
      </c>
      <c r="DQ10" s="13">
        <f t="shared" si="43"/>
        <v>1.566348215309169</v>
      </c>
      <c r="DR10" s="20">
        <f t="shared" si="16"/>
        <v>9.683042215330218</v>
      </c>
      <c r="DS10" s="59">
        <f t="shared" si="17"/>
        <v>303.01637554866352</v>
      </c>
      <c r="DT10" s="59">
        <f ca="1">AVERAGE(OFFSET($DS$3,0,0,'Données projet'!$E$14+1,1))-AVERAGE(OFFSET($H$3,0,0,'Données projet'!$E$14+1,1))</f>
        <v>235.31102883830971</v>
      </c>
      <c r="DU10" s="59">
        <f t="shared" si="44"/>
        <v>271.48630853790422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2.7</v>
      </c>
      <c r="N11" s="13">
        <f>IF('Données projet'!$A$36&gt;35,N10+M11-V10,IF(A11&lt;'Données projet'!$A$36,$K$205^A11,IF(A11='Données projet'!$A$36,'Données projet'!$B$36,N10+M11-V10)))</f>
        <v>13.96661016523823</v>
      </c>
      <c r="O11" s="13">
        <f>N11*VLOOKUP('Données projet'!$B$9,Paramètres!$A$1:$I$89,3,0)*VLOOKUP('Données projet'!$B$9,Paramètres!$A$1:$I$89,5,0)</f>
        <v>7.8073350823681702</v>
      </c>
      <c r="P11" s="13">
        <f t="shared" si="33"/>
        <v>2.8324845909369802</v>
      </c>
      <c r="Q11" s="20">
        <f t="shared" si="2"/>
        <v>18.531019264339804</v>
      </c>
      <c r="R11" s="59">
        <f t="shared" si="0"/>
        <v>311.86435259767313</v>
      </c>
      <c r="S11" s="59">
        <f ca="1">AVERAGE(OFFSET($R$3,0,0,'Données projet'!$E$9+1,1))-AVERAGE(OFFSET($H$3,0,0,'Données projet'!$E$9+1,1))</f>
        <v>446.28010102877403</v>
      </c>
      <c r="T11" s="59">
        <f t="shared" si="34"/>
        <v>445.84011537290456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7.9</v>
      </c>
      <c r="AI11" s="13">
        <f>IF('Données projet'!$A$62&gt;35,AI10+AH11-AQ10,IF(A11&lt;'Données projet'!$A$62,$AF$205^A11,IF(A11='Données projet'!$A$62,'Données projet'!$B$62,AI10+AH11-AQ10)))</f>
        <v>7.5763989424129567</v>
      </c>
      <c r="AJ11" s="13">
        <f>AI11*VLOOKUP('Données projet'!$B$10,Paramètres!$A$1:$I$89,3,0)*VLOOKUP('Données projet'!$B$10,Paramètres!$A$1:$I$89,5,0)</f>
        <v>3.5457547050492639</v>
      </c>
      <c r="AK11" s="13">
        <f t="shared" si="35"/>
        <v>1.4101803587787649</v>
      </c>
      <c r="AL11" s="20">
        <f t="shared" si="4"/>
        <v>8.631586902833817</v>
      </c>
      <c r="AM11" s="59">
        <f t="shared" si="5"/>
        <v>301.96492023616713</v>
      </c>
      <c r="AN11" s="59">
        <f ca="1">AVERAGE(OFFSET($AM$3,0,0,'Données projet'!$E$10+1,1))-AVERAGE(OFFSET($H$3,0,0,'Données projet'!$E$10+1,1))</f>
        <v>252.98248842635206</v>
      </c>
      <c r="AO11" s="59">
        <f t="shared" si="36"/>
        <v>207.11938580878308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1.2</v>
      </c>
      <c r="BD11" s="12">
        <f>IF('Données projet'!$A$88&gt;35,BD10+BC11-BL10,IF(A11&lt;'Données projet'!$A$88,$BA$205^A11,IF(A11='Données projet'!$A$88,'Données projet'!$B$88,BD10+BC11-BL10)))</f>
        <v>2.9694690391391689</v>
      </c>
      <c r="BE11" s="13">
        <f>BD11*VLOOKUP('Données projet'!$B$11,Paramètres!$A$1:$I$89,3,0)*VLOOKUP('Données projet'!$B$11,Paramètres!$A$1:$I$89,5,0)</f>
        <v>1.9455961144439835</v>
      </c>
      <c r="BF11" s="13">
        <f t="shared" si="37"/>
        <v>0.82977247033627566</v>
      </c>
      <c r="BG11" s="20">
        <f t="shared" si="7"/>
        <v>4.8337669518256181</v>
      </c>
      <c r="BH11" s="59">
        <f t="shared" si="8"/>
        <v>298.16710028515894</v>
      </c>
      <c r="BI11" s="59">
        <f ca="1">AVERAGE(OFFSET($BH$3,0,0,'Données projet'!$E$11+1,1))-AVERAGE(OFFSET($H$3,0,0,'Données projet'!$E$11+1,1))</f>
        <v>114.23168847330004</v>
      </c>
      <c r="BJ11" s="59">
        <f t="shared" si="38"/>
        <v>42.34857998136755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1.2</v>
      </c>
      <c r="BY11" s="12">
        <f>IF('Données projet'!$A$114&gt;35,BY10+BX11-CG10,IF(A11&lt;'Données projet'!$A$114,$BV$205^A11,IF(A11='Données projet'!$A$114,'Données projet'!$B$114,BY10+BX11-CG10)))</f>
        <v>2.9694690391391689</v>
      </c>
      <c r="BZ11" s="13">
        <f>BY11*VLOOKUP('Données projet'!$B$12,Paramètres!$A$1:$I$89,3,0)*VLOOKUP('Données projet'!$B$12,Paramètres!$A$1:$I$89,5,0)</f>
        <v>2.8720704546554043</v>
      </c>
      <c r="CA11" s="13">
        <f t="shared" si="39"/>
        <v>1.1706127387002112</v>
      </c>
      <c r="CB11" s="20">
        <f t="shared" si="10"/>
        <v>7.04100656176103</v>
      </c>
      <c r="CC11" s="59">
        <f t="shared" si="11"/>
        <v>300.37433989509435</v>
      </c>
      <c r="CD11" s="59">
        <f ca="1">AVERAGE(OFFSET($CC$3,0,0,'Données projet'!$E$12+1,1))-AVERAGE(OFFSET($H$3,0,0,'Données projet'!$E$12+1,1))</f>
        <v>201.36664523637006</v>
      </c>
      <c r="CE11" s="59">
        <f t="shared" si="40"/>
        <v>79.394119001888555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2.1</v>
      </c>
      <c r="CT11" s="12">
        <f>IF('Données projet'!$A$140&gt;35,CT10+CS11-DB10,IF(A11&lt;'Données projet'!$A$140,$CQ$205^A11,IF(A11='Données projet'!$A$140,'Données projet'!$B$140,CT10+CS11-DB10)))</f>
        <v>4.4596391171162209</v>
      </c>
      <c r="CU11" s="17">
        <f>CT11*VLOOKUP('Données projet'!$B$13,Paramètres!$A$1:$I$89,3,0)*VLOOKUP('Données projet'!$B$13,Paramètres!$A$1:$I$89,5,0)</f>
        <v>4.0350814731667564</v>
      </c>
      <c r="CV11" s="13">
        <f t="shared" si="41"/>
        <v>1.5808227025391921</v>
      </c>
      <c r="CW11" s="20">
        <f t="shared" si="13"/>
        <v>9.7810331060211926</v>
      </c>
      <c r="CX11" s="59">
        <f t="shared" si="14"/>
        <v>303.11436643935451</v>
      </c>
      <c r="CY11" s="59">
        <f ca="1">AVERAGE(OFFSET($CX$3,0,0,'Données projet'!$E$13+1,1))-AVERAGE(OFFSET($H$3,0,0,'Données projet'!$E$13+1,1))</f>
        <v>282.08542131880455</v>
      </c>
      <c r="CZ11" s="59">
        <f t="shared" si="42"/>
        <v>174.27503468762325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4.75</v>
      </c>
      <c r="DO11" s="12">
        <f>IF('Données projet'!$A$166&gt;35,DO10+DN11-DW10,IF(A11&lt;'Données projet'!$A$166,$DL$205^A11,IF(A11='Données projet'!$A$166,'Données projet'!$B$166,DO10+DN11-DW10)))</f>
        <v>6.1814369253798551</v>
      </c>
      <c r="DP11" s="17">
        <f>DO11*VLOOKUP('Données projet'!$B$14,Paramètres!$A$1:$I$89,3,0)*VLOOKUP('Données projet'!$B$14,Paramètres!$A$1:$I$89,5,0)</f>
        <v>5.0143816338681386</v>
      </c>
      <c r="DQ11" s="13">
        <f t="shared" si="43"/>
        <v>1.9154205629407037</v>
      </c>
      <c r="DR11" s="20">
        <f t="shared" si="16"/>
        <v>12.069405492775401</v>
      </c>
      <c r="DS11" s="59">
        <f t="shared" si="17"/>
        <v>305.4027388261087</v>
      </c>
      <c r="DT11" s="59">
        <f ca="1">AVERAGE(OFFSET($DS$3,0,0,'Données projet'!$E$14+1,1))-AVERAGE(OFFSET($H$3,0,0,'Données projet'!$E$14+1,1))</f>
        <v>235.31102883830971</v>
      </c>
      <c r="DU11" s="59">
        <f t="shared" si="44"/>
        <v>271.48630853790422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2.7</v>
      </c>
      <c r="N12" s="13">
        <f>IF('Données projet'!$A$36&gt;35,N11+M12-V11,IF(A12&lt;'Données projet'!$A$36,$K$205^A12,IF(A12='Données projet'!$A$36,'Données projet'!$B$36,N11+M12-V11)))</f>
        <v>19.419023519771326</v>
      </c>
      <c r="O12" s="13">
        <f>N12*VLOOKUP('Données projet'!$B$9,Paramètres!$A$1:$I$89,3,0)*VLOOKUP('Données projet'!$B$9,Paramètres!$A$1:$I$89,5,0)</f>
        <v>10.855234147552173</v>
      </c>
      <c r="P12" s="13">
        <f t="shared" si="33"/>
        <v>3.790031836884808</v>
      </c>
      <c r="Q12" s="20">
        <f t="shared" si="2"/>
        <v>25.507171589561072</v>
      </c>
      <c r="R12" s="59">
        <f t="shared" si="0"/>
        <v>318.84050492289441</v>
      </c>
      <c r="S12" s="59">
        <f ca="1">AVERAGE(OFFSET($R$3,0,0,'Données projet'!$E$9+1,1))-AVERAGE(OFFSET($H$3,0,0,'Données projet'!$E$9+1,1))</f>
        <v>446.28010102877403</v>
      </c>
      <c r="T12" s="59">
        <f t="shared" si="34"/>
        <v>445.84011537290456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7.9</v>
      </c>
      <c r="AI12" s="13">
        <f>IF('Données projet'!$A$62&gt;35,AI11+AH12-AQ11,IF(A12&lt;'Données projet'!$A$62,$AF$205^A12,IF(A12='Données projet'!$A$62,'Données projet'!$B$62,AI11+AH12-AQ11)))</f>
        <v>9.7587836327093171</v>
      </c>
      <c r="AJ12" s="13">
        <f>AI12*VLOOKUP('Données projet'!$B$10,Paramètres!$A$1:$I$89,3,0)*VLOOKUP('Données projet'!$B$10,Paramètres!$A$1:$I$89,5,0)</f>
        <v>4.5671107401079603</v>
      </c>
      <c r="AK12" s="13">
        <f t="shared" si="35"/>
        <v>1.763645650133036</v>
      </c>
      <c r="AL12" s="20">
        <f t="shared" si="4"/>
        <v>11.026067379669733</v>
      </c>
      <c r="AM12" s="59">
        <f t="shared" si="5"/>
        <v>304.35940071300303</v>
      </c>
      <c r="AN12" s="59">
        <f ca="1">AVERAGE(OFFSET($AM$3,0,0,'Données projet'!$E$10+1,1))-AVERAGE(OFFSET($H$3,0,0,'Données projet'!$E$10+1,1))</f>
        <v>252.98248842635206</v>
      </c>
      <c r="AO12" s="59">
        <f t="shared" si="36"/>
        <v>207.11938580878308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1.2</v>
      </c>
      <c r="BD12" s="12">
        <f>IF('Données projet'!$A$88&gt;35,BD11+BC12-BL11,IF(A12&lt;'Données projet'!$A$88,$BA$205^A12,IF(A12='Données projet'!$A$88,'Données projet'!$B$88,BD11+BC12-BL11)))</f>
        <v>3.4022298585357786</v>
      </c>
      <c r="BE12" s="13">
        <f>BD12*VLOOKUP('Données projet'!$B$11,Paramètres!$A$1:$I$89,3,0)*VLOOKUP('Données projet'!$B$11,Paramètres!$A$1:$I$89,5,0)</f>
        <v>2.229141003312642</v>
      </c>
      <c r="BF12" s="13">
        <f t="shared" si="37"/>
        <v>0.93576413419644833</v>
      </c>
      <c r="BG12" s="20">
        <f t="shared" si="7"/>
        <v>5.5122097811616655</v>
      </c>
      <c r="BH12" s="59">
        <f t="shared" si="8"/>
        <v>298.845543114495</v>
      </c>
      <c r="BI12" s="59">
        <f ca="1">AVERAGE(OFFSET($BH$3,0,0,'Données projet'!$E$11+1,1))-AVERAGE(OFFSET($H$3,0,0,'Données projet'!$E$11+1,1))</f>
        <v>114.23168847330004</v>
      </c>
      <c r="BJ12" s="59">
        <f t="shared" si="38"/>
        <v>42.34857998136755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1.2</v>
      </c>
      <c r="BY12" s="12">
        <f>IF('Données projet'!$A$114&gt;35,BY11+BX12-CG11,IF(A12&lt;'Données projet'!$A$114,$BV$205^A12,IF(A12='Données projet'!$A$114,'Données projet'!$B$114,BY11+BX12-CG11)))</f>
        <v>3.4022298585357786</v>
      </c>
      <c r="BZ12" s="13">
        <f>BY12*VLOOKUP('Données projet'!$B$12,Paramètres!$A$1:$I$89,3,0)*VLOOKUP('Données projet'!$B$12,Paramètres!$A$1:$I$89,5,0)</f>
        <v>3.2906367191758048</v>
      </c>
      <c r="CA12" s="13">
        <f t="shared" si="39"/>
        <v>1.3201419124753617</v>
      </c>
      <c r="CB12" s="20">
        <f t="shared" si="10"/>
        <v>8.0304394501257814</v>
      </c>
      <c r="CC12" s="59">
        <f t="shared" si="11"/>
        <v>301.36377278345907</v>
      </c>
      <c r="CD12" s="59">
        <f ca="1">AVERAGE(OFFSET($CC$3,0,0,'Données projet'!$E$12+1,1))-AVERAGE(OFFSET($H$3,0,0,'Données projet'!$E$12+1,1))</f>
        <v>201.36664523637006</v>
      </c>
      <c r="CE12" s="59">
        <f t="shared" si="40"/>
        <v>79.394119001888555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2.1</v>
      </c>
      <c r="CT12" s="12">
        <f>IF('Données projet'!$A$140&gt;35,CT11+CS12-DB11,IF(A12&lt;'Données projet'!$A$140,$CQ$205^A12,IF(A12='Données projet'!$A$140,'Données projet'!$B$140,CT11+CS12-DB11)))</f>
        <v>5.3760361537574148</v>
      </c>
      <c r="CU12" s="17">
        <f>CT12*VLOOKUP('Données projet'!$B$13,Paramètres!$A$1:$I$89,3,0)*VLOOKUP('Données projet'!$B$13,Paramètres!$A$1:$I$89,5,0)</f>
        <v>4.8642375119197085</v>
      </c>
      <c r="CV12" s="13">
        <f t="shared" si="41"/>
        <v>1.8646542609995393</v>
      </c>
      <c r="CW12" s="20">
        <f t="shared" si="13"/>
        <v>11.719486504501022</v>
      </c>
      <c r="CX12" s="59">
        <f t="shared" si="14"/>
        <v>305.05281983783436</v>
      </c>
      <c r="CY12" s="59">
        <f ca="1">AVERAGE(OFFSET($CX$3,0,0,'Données projet'!$E$13+1,1))-AVERAGE(OFFSET($H$3,0,0,'Données projet'!$E$13+1,1))</f>
        <v>282.08542131880455</v>
      </c>
      <c r="CZ12" s="59">
        <f t="shared" si="42"/>
        <v>174.27503468762325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4.75</v>
      </c>
      <c r="DO12" s="12">
        <f>IF('Données projet'!$A$166&gt;35,DO11+DN12-DW11,IF(A12&lt;'Données projet'!$A$166,$DL$205^A12,IF(A12='Données projet'!$A$166,'Données projet'!$B$166,DO11+DN12-DW11)))</f>
        <v>7.7620354590201153</v>
      </c>
      <c r="DP12" s="17">
        <f>DO12*VLOOKUP('Données projet'!$B$14,Paramètres!$A$1:$I$89,3,0)*VLOOKUP('Données projet'!$B$14,Paramètres!$A$1:$I$89,5,0)</f>
        <v>6.296563164357118</v>
      </c>
      <c r="DQ12" s="13">
        <f t="shared" si="43"/>
        <v>2.3422862790518897</v>
      </c>
      <c r="DR12" s="20">
        <f t="shared" si="16"/>
        <v>15.045996113937354</v>
      </c>
      <c r="DS12" s="59">
        <f t="shared" si="17"/>
        <v>308.37932944727066</v>
      </c>
      <c r="DT12" s="59">
        <f ca="1">AVERAGE(OFFSET($DS$3,0,0,'Données projet'!$E$14+1,1))-AVERAGE(OFFSET($H$3,0,0,'Données projet'!$E$14+1,1))</f>
        <v>235.31102883830971</v>
      </c>
      <c r="DU12" s="59">
        <f t="shared" si="44"/>
        <v>271.48630853790422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27</v>
      </c>
      <c r="L13" s="12">
        <f>VLOOKUP(A13,'Données projet'!$A$35:$I$55,9,0)</f>
        <v>2.7</v>
      </c>
      <c r="M13" s="12">
        <f t="array" ref="M13">INDEX(L:L,MIN(IF(ISNUMBER(L13:L209),ROW(L13:L209),"")))</f>
        <v>2.7</v>
      </c>
      <c r="N13" s="13">
        <f>IF('Données projet'!$A$36&gt;35,N12+M13-V12,IF(A13&lt;'Données projet'!$A$36,$K$205^A13,IF(A13='Données projet'!$A$36,'Données projet'!$B$36,N12+M13-V12)))</f>
        <v>27</v>
      </c>
      <c r="O13" s="13">
        <f>N13*VLOOKUP('Données projet'!$B$9,Paramètres!$A$1:$I$89,3,0)*VLOOKUP('Données projet'!$B$9,Paramètres!$A$1:$I$89,5,0)</f>
        <v>15.093</v>
      </c>
      <c r="P13" s="13">
        <f t="shared" si="33"/>
        <v>5.0712866613861207</v>
      </c>
      <c r="Q13" s="20">
        <f t="shared" si="2"/>
        <v>35.11946593524749</v>
      </c>
      <c r="R13" s="59">
        <f t="shared" si="0"/>
        <v>328.4527992685808</v>
      </c>
      <c r="S13" s="59">
        <f ca="1">AVERAGE(OFFSET($R$3,0,0,'Données projet'!$E$9+1,1))-AVERAGE(OFFSET($H$3,0,0,'Données projet'!$E$9+1,1))</f>
        <v>446.28010102877403</v>
      </c>
      <c r="T13" s="59">
        <f t="shared" si="34"/>
        <v>445.84011537290456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7.9</v>
      </c>
      <c r="AI13" s="13">
        <f>IF('Données projet'!$A$62&gt;35,AI12+AH13-AQ12,IF(A13&lt;'Données projet'!$A$62,$AF$205^A13,IF(A13='Données projet'!$A$62,'Données projet'!$B$62,AI12+AH13-AQ12)))</f>
        <v>12.569805089976542</v>
      </c>
      <c r="AJ13" s="13">
        <f>AI13*VLOOKUP('Données projet'!$B$10,Paramètres!$A$1:$I$89,3,0)*VLOOKUP('Données projet'!$B$10,Paramètres!$A$1:$I$89,5,0)</f>
        <v>5.8826687821090227</v>
      </c>
      <c r="AK13" s="13">
        <f t="shared" si="35"/>
        <v>2.2057079152108381</v>
      </c>
      <c r="AL13" s="20">
        <f t="shared" si="4"/>
        <v>14.087256081165423</v>
      </c>
      <c r="AM13" s="59">
        <f t="shared" si="5"/>
        <v>307.42058941449875</v>
      </c>
      <c r="AN13" s="59">
        <f ca="1">AVERAGE(OFFSET($AM$3,0,0,'Données projet'!$E$10+1,1))-AVERAGE(OFFSET($H$3,0,0,'Données projet'!$E$10+1,1))</f>
        <v>252.98248842635206</v>
      </c>
      <c r="AO13" s="59">
        <f t="shared" si="36"/>
        <v>207.11938580878308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1.2</v>
      </c>
      <c r="BD13" s="12">
        <f>IF('Données projet'!$A$88&gt;35,BD12+BC13-BL12,IF(A13&lt;'Données projet'!$A$88,$BA$205^A13,IF(A13='Données projet'!$A$88,'Données projet'!$B$88,BD12+BC13-BL12)))</f>
        <v>3.8980598409161908</v>
      </c>
      <c r="BE13" s="13">
        <f>BD13*VLOOKUP('Données projet'!$B$11,Paramètres!$A$1:$I$89,3,0)*VLOOKUP('Données projet'!$B$11,Paramètres!$A$1:$I$89,5,0)</f>
        <v>2.5540088077682883</v>
      </c>
      <c r="BF13" s="13">
        <f t="shared" si="37"/>
        <v>1.0552947297631587</v>
      </c>
      <c r="BG13" s="20">
        <f t="shared" si="7"/>
        <v>6.2862036612006031</v>
      </c>
      <c r="BH13" s="59">
        <f t="shared" si="8"/>
        <v>299.61953699453392</v>
      </c>
      <c r="BI13" s="59">
        <f ca="1">AVERAGE(OFFSET($BH$3,0,0,'Données projet'!$E$11+1,1))-AVERAGE(OFFSET($H$3,0,0,'Données projet'!$E$11+1,1))</f>
        <v>114.23168847330004</v>
      </c>
      <c r="BJ13" s="59">
        <f t="shared" si="38"/>
        <v>42.34857998136755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1.2</v>
      </c>
      <c r="BY13" s="12">
        <f>IF('Données projet'!$A$114&gt;35,BY12+BX13-CG12,IF(A13&lt;'Données projet'!$A$114,$BV$205^A13,IF(A13='Données projet'!$A$114,'Données projet'!$B$114,BY12+BX13-CG12)))</f>
        <v>3.8980598409161908</v>
      </c>
      <c r="BZ13" s="13">
        <f>BY13*VLOOKUP('Données projet'!$B$12,Paramètres!$A$1:$I$89,3,0)*VLOOKUP('Données projet'!$B$12,Paramètres!$A$1:$I$89,5,0)</f>
        <v>3.7702034781341398</v>
      </c>
      <c r="CA13" s="13">
        <f t="shared" si="39"/>
        <v>1.4887713173266797</v>
      </c>
      <c r="CB13" s="20">
        <f t="shared" si="10"/>
        <v>9.1593811020942599</v>
      </c>
      <c r="CC13" s="59">
        <f t="shared" si="11"/>
        <v>302.49271443542756</v>
      </c>
      <c r="CD13" s="59">
        <f ca="1">AVERAGE(OFFSET($CC$3,0,0,'Données projet'!$E$12+1,1))-AVERAGE(OFFSET($H$3,0,0,'Données projet'!$E$12+1,1))</f>
        <v>201.36664523637006</v>
      </c>
      <c r="CE13" s="59">
        <f t="shared" si="40"/>
        <v>79.394119001888555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2.1</v>
      </c>
      <c r="CT13" s="12">
        <f>IF('Données projet'!$A$140&gt;35,CT12+CS13-DB12,IF(A13&lt;'Données projet'!$A$140,$CQ$205^A13,IF(A13='Données projet'!$A$140,'Données projet'!$B$140,CT12+CS13-DB12)))</f>
        <v>6.4807406984078657</v>
      </c>
      <c r="CU13" s="17">
        <f>CT13*VLOOKUP('Données projet'!$B$13,Paramètres!$A$1:$I$89,3,0)*VLOOKUP('Données projet'!$B$13,Paramètres!$A$1:$I$89,5,0)</f>
        <v>5.8637741839194364</v>
      </c>
      <c r="CV13" s="13">
        <f t="shared" si="41"/>
        <v>2.1994468497187687</v>
      </c>
      <c r="CW13" s="20">
        <f t="shared" si="13"/>
        <v>14.043443300253207</v>
      </c>
      <c r="CX13" s="59">
        <f t="shared" si="14"/>
        <v>307.37677663358653</v>
      </c>
      <c r="CY13" s="59">
        <f ca="1">AVERAGE(OFFSET($CX$3,0,0,'Données projet'!$E$13+1,1))-AVERAGE(OFFSET($H$3,0,0,'Données projet'!$E$13+1,1))</f>
        <v>282.08542131880455</v>
      </c>
      <c r="CZ13" s="59">
        <f t="shared" si="42"/>
        <v>174.27503468762325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4.75</v>
      </c>
      <c r="DO13" s="12">
        <f>IF('Données projet'!$A$166&gt;35,DO12+DN13-DW12,IF(A13&lt;'Données projet'!$A$166,$DL$205^A13,IF(A13='Données projet'!$A$166,'Données projet'!$B$166,DO12+DN13-DW12)))</f>
        <v>9.7467943448089507</v>
      </c>
      <c r="DP13" s="17">
        <f>DO13*VLOOKUP('Données projet'!$B$14,Paramètres!$A$1:$I$89,3,0)*VLOOKUP('Données projet'!$B$14,Paramètres!$A$1:$I$89,5,0)</f>
        <v>7.9065995725090206</v>
      </c>
      <c r="DQ13" s="13">
        <f t="shared" si="43"/>
        <v>2.8642821943039705</v>
      </c>
      <c r="DR13" s="20">
        <f t="shared" si="16"/>
        <v>18.759285743865959</v>
      </c>
      <c r="DS13" s="59">
        <f t="shared" si="17"/>
        <v>312.09261907719929</v>
      </c>
      <c r="DT13" s="59">
        <f ca="1">AVERAGE(OFFSET($DS$3,0,0,'Données projet'!$E$14+1,1))-AVERAGE(OFFSET($H$3,0,0,'Données projet'!$E$14+1,1))</f>
        <v>235.31102883830971</v>
      </c>
      <c r="DU13" s="59">
        <f t="shared" si="44"/>
        <v>271.48630853790422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20.100000000000001</v>
      </c>
      <c r="N14" s="13">
        <f>IF('Données projet'!$A$36&gt;35,N13+M14-V13,IF(A14&lt;'Données projet'!$A$36,$K$205^A14,IF(A14='Données projet'!$A$36,'Données projet'!$B$36,N13+M14-V13)))</f>
        <v>47.1</v>
      </c>
      <c r="O14" s="13">
        <f>N14*VLOOKUP('Données projet'!$B$9,Paramètres!$A$1:$I$89,3,0)*VLOOKUP('Données projet'!$B$9,Paramètres!$A$1:$I$89,5,0)</f>
        <v>26.328900000000001</v>
      </c>
      <c r="P14" s="13">
        <f t="shared" si="33"/>
        <v>8.2917540554735094</v>
      </c>
      <c r="Q14" s="20">
        <f t="shared" si="2"/>
        <v>60.297639146616369</v>
      </c>
      <c r="R14" s="59">
        <f t="shared" si="0"/>
        <v>353.63097247994966</v>
      </c>
      <c r="S14" s="59">
        <f ca="1">AVERAGE(OFFSET($R$3,0,0,'Données projet'!$E$9+1,1))-AVERAGE(OFFSET($H$3,0,0,'Données projet'!$E$9+1,1))</f>
        <v>446.28010102877403</v>
      </c>
      <c r="T14" s="59">
        <f t="shared" si="34"/>
        <v>445.84011537290456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7.9</v>
      </c>
      <c r="AI14" s="13">
        <f>IF('Données projet'!$A$62&gt;35,AI13+AH14-AQ13,IF(A14&lt;'Données projet'!$A$62,$AF$205^A14,IF(A14='Données projet'!$A$62,'Données projet'!$B$62,AI13+AH14-AQ13)))</f>
        <v>16.190542381779895</v>
      </c>
      <c r="AJ14" s="13">
        <f>AI14*VLOOKUP('Données projet'!$B$10,Paramètres!$A$1:$I$89,3,0)*VLOOKUP('Données projet'!$B$10,Paramètres!$A$1:$I$89,5,0)</f>
        <v>7.5771738346729904</v>
      </c>
      <c r="AK14" s="13">
        <f t="shared" si="35"/>
        <v>2.7585742106736397</v>
      </c>
      <c r="AL14" s="20">
        <f t="shared" si="4"/>
        <v>18.001427845645381</v>
      </c>
      <c r="AM14" s="59">
        <f t="shared" si="5"/>
        <v>311.33476117897868</v>
      </c>
      <c r="AN14" s="59">
        <f ca="1">AVERAGE(OFFSET($AM$3,0,0,'Données projet'!$E$10+1,1))-AVERAGE(OFFSET($H$3,0,0,'Données projet'!$E$10+1,1))</f>
        <v>252.98248842635206</v>
      </c>
      <c r="AO14" s="59">
        <f t="shared" si="36"/>
        <v>207.11938580878308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1.2</v>
      </c>
      <c r="BD14" s="12">
        <f>IF('Données projet'!$A$88&gt;35,BD13+BC14-BL13,IF(A14&lt;'Données projet'!$A$88,$BA$205^A14,IF(A14='Données projet'!$A$88,'Données projet'!$B$88,BD13+BC14-BL13)))</f>
        <v>4.4661504822319662</v>
      </c>
      <c r="BE14" s="13">
        <f>BD14*VLOOKUP('Données projet'!$B$11,Paramètres!$A$1:$I$89,3,0)*VLOOKUP('Données projet'!$B$11,Paramètres!$A$1:$I$89,5,0)</f>
        <v>2.9262217959583841</v>
      </c>
      <c r="BF14" s="13">
        <f t="shared" si="37"/>
        <v>1.1900936635300732</v>
      </c>
      <c r="BG14" s="20">
        <f t="shared" si="7"/>
        <v>7.1692494252757299</v>
      </c>
      <c r="BH14" s="59">
        <f t="shared" si="8"/>
        <v>300.50258275860904</v>
      </c>
      <c r="BI14" s="59">
        <f ca="1">AVERAGE(OFFSET($BH$3,0,0,'Données projet'!$E$11+1,1))-AVERAGE(OFFSET($H$3,0,0,'Données projet'!$E$11+1,1))</f>
        <v>114.23168847330004</v>
      </c>
      <c r="BJ14" s="59">
        <f t="shared" si="38"/>
        <v>42.34857998136755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1.2</v>
      </c>
      <c r="BY14" s="12">
        <f>IF('Données projet'!$A$114&gt;35,BY13+BX14-CG13,IF(A14&lt;'Données projet'!$A$114,$BV$205^A14,IF(A14='Données projet'!$A$114,'Données projet'!$B$114,BY13+BX14-CG13)))</f>
        <v>4.4661504822319662</v>
      </c>
      <c r="BZ14" s="13">
        <f>BY14*VLOOKUP('Données projet'!$B$12,Paramètres!$A$1:$I$89,3,0)*VLOOKUP('Données projet'!$B$12,Paramètres!$A$1:$I$89,5,0)</f>
        <v>4.3196607464147583</v>
      </c>
      <c r="CA14" s="13">
        <f t="shared" si="39"/>
        <v>1.6789407368626241</v>
      </c>
      <c r="CB14" s="20">
        <f t="shared" si="10"/>
        <v>10.44756425004144</v>
      </c>
      <c r="CC14" s="59">
        <f t="shared" si="11"/>
        <v>303.78089758337478</v>
      </c>
      <c r="CD14" s="59">
        <f ca="1">AVERAGE(OFFSET($CC$3,0,0,'Données projet'!$E$12+1,1))-AVERAGE(OFFSET($H$3,0,0,'Données projet'!$E$12+1,1))</f>
        <v>201.36664523637006</v>
      </c>
      <c r="CE14" s="59">
        <f t="shared" si="40"/>
        <v>79.394119001888555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2.1</v>
      </c>
      <c r="CT14" s="12">
        <f>IF('Données projet'!$A$140&gt;35,CT13+CS14-DB13,IF(A14&lt;'Données projet'!$A$140,$CQ$205^A14,IF(A14='Données projet'!$A$140,'Données projet'!$B$140,CT13+CS14-DB13)))</f>
        <v>7.8124474610620815</v>
      </c>
      <c r="CU14" s="17">
        <f>CT14*VLOOKUP('Données projet'!$B$13,Paramètres!$A$1:$I$89,3,0)*VLOOKUP('Données projet'!$B$13,Paramètres!$A$1:$I$89,5,0)</f>
        <v>7.0687024627689707</v>
      </c>
      <c r="CV14" s="13">
        <f t="shared" si="41"/>
        <v>2.5943503554083325</v>
      </c>
      <c r="CW14" s="20">
        <f t="shared" si="13"/>
        <v>16.829816991658799</v>
      </c>
      <c r="CX14" s="59">
        <f t="shared" si="14"/>
        <v>310.1631503249921</v>
      </c>
      <c r="CY14" s="59">
        <f ca="1">AVERAGE(OFFSET($CX$3,0,0,'Données projet'!$E$13+1,1))-AVERAGE(OFFSET($H$3,0,0,'Données projet'!$E$13+1,1))</f>
        <v>282.08542131880455</v>
      </c>
      <c r="CZ14" s="59">
        <f t="shared" si="42"/>
        <v>174.27503468762325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4.75</v>
      </c>
      <c r="DO14" s="12">
        <f>IF('Données projet'!$A$166&gt;35,DO13+DN14-DW13,IF(A14&lt;'Données projet'!$A$166,$DL$205^A14,IF(A14='Données projet'!$A$166,'Données projet'!$B$166,DO13+DN14-DW13)))</f>
        <v>12.239057719016479</v>
      </c>
      <c r="DP14" s="17">
        <f>DO14*VLOOKUP('Données projet'!$B$14,Paramètres!$A$1:$I$89,3,0)*VLOOKUP('Données projet'!$B$14,Paramètres!$A$1:$I$89,5,0)</f>
        <v>9.9283236216661681</v>
      </c>
      <c r="DQ14" s="13">
        <f t="shared" si="43"/>
        <v>3.5026087809930875</v>
      </c>
      <c r="DR14" s="20">
        <f t="shared" si="16"/>
        <v>23.392207267964867</v>
      </c>
      <c r="DS14" s="59">
        <f t="shared" si="17"/>
        <v>316.72554060129818</v>
      </c>
      <c r="DT14" s="59">
        <f ca="1">AVERAGE(OFFSET($DS$3,0,0,'Données projet'!$E$14+1,1))-AVERAGE(OFFSET($H$3,0,0,'Données projet'!$E$14+1,1))</f>
        <v>235.31102883830971</v>
      </c>
      <c r="DU14" s="59">
        <f t="shared" si="44"/>
        <v>271.48630853790422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20.100000000000001</v>
      </c>
      <c r="N15" s="13">
        <f>IF('Données projet'!$A$36&gt;35,N14+M15-V14,IF(A15&lt;'Données projet'!$A$36,$K$205^A15,IF(A15='Données projet'!$A$36,'Données projet'!$B$36,N14+M15-V14)))</f>
        <v>67.2</v>
      </c>
      <c r="O15" s="13">
        <f>N15*VLOOKUP('Données projet'!$B$9,Paramètres!$A$1:$I$89,3,0)*VLOOKUP('Données projet'!$B$9,Paramètres!$A$1:$I$89,5,0)</f>
        <v>37.564800000000005</v>
      </c>
      <c r="P15" s="13">
        <f t="shared" si="33"/>
        <v>11.350856362116868</v>
      </c>
      <c r="Q15" s="20">
        <f t="shared" si="2"/>
        <v>85.194768164020218</v>
      </c>
      <c r="R15" s="59">
        <f t="shared" si="0"/>
        <v>378.52810149735353</v>
      </c>
      <c r="S15" s="59">
        <f ca="1">AVERAGE(OFFSET($R$3,0,0,'Données projet'!$E$9+1,1))-AVERAGE(OFFSET($H$3,0,0,'Données projet'!$E$9+1,1))</f>
        <v>446.28010102877403</v>
      </c>
      <c r="T15" s="59">
        <f t="shared" si="34"/>
        <v>445.84011537290456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7.9</v>
      </c>
      <c r="AI15" s="13">
        <f>IF('Données projet'!$A$62&gt;35,AI14+AH15-AQ14,IF(A15&lt;'Données projet'!$A$62,$AF$205^A15,IF(A15='Données projet'!$A$62,'Données projet'!$B$62,AI14+AH15-AQ14)))</f>
        <v>20.854234472198982</v>
      </c>
      <c r="AJ15" s="13">
        <f>AI15*VLOOKUP('Données projet'!$B$10,Paramètres!$A$1:$I$89,3,0)*VLOOKUP('Données projet'!$B$10,Paramètres!$A$1:$I$89,5,0)</f>
        <v>9.7597817329891239</v>
      </c>
      <c r="AK15" s="13">
        <f t="shared" si="35"/>
        <v>3.4500178483814818</v>
      </c>
      <c r="AL15" s="20">
        <f t="shared" si="4"/>
        <v>23.00706760422047</v>
      </c>
      <c r="AM15" s="59">
        <f t="shared" si="5"/>
        <v>316.3404009375538</v>
      </c>
      <c r="AN15" s="59">
        <f ca="1">AVERAGE(OFFSET($AM$3,0,0,'Données projet'!$E$10+1,1))-AVERAGE(OFFSET($H$3,0,0,'Données projet'!$E$10+1,1))</f>
        <v>252.98248842635206</v>
      </c>
      <c r="AO15" s="59">
        <f t="shared" si="36"/>
        <v>207.11938580878308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1.2</v>
      </c>
      <c r="BD15" s="12">
        <f>IF('Données projet'!$A$88&gt;35,BD14+BC15-BL14,IF(A15&lt;'Données projet'!$A$88,$BA$205^A15,IF(A15='Données projet'!$A$88,'Données projet'!$B$88,BD14+BC15-BL14)))</f>
        <v>5.1170328173444979</v>
      </c>
      <c r="BE15" s="13">
        <f>BD15*VLOOKUP('Données projet'!$B$11,Paramètres!$A$1:$I$89,3,0)*VLOOKUP('Données projet'!$B$11,Paramètres!$A$1:$I$89,5,0)</f>
        <v>3.3526799019241151</v>
      </c>
      <c r="BF15" s="13">
        <f t="shared" si="37"/>
        <v>1.3421112491410796</v>
      </c>
      <c r="BG15" s="20">
        <f t="shared" si="7"/>
        <v>8.1767612547718809</v>
      </c>
      <c r="BH15" s="59">
        <f t="shared" si="8"/>
        <v>301.51009458810518</v>
      </c>
      <c r="BI15" s="59">
        <f ca="1">AVERAGE(OFFSET($BH$3,0,0,'Données projet'!$E$11+1,1))-AVERAGE(OFFSET($H$3,0,0,'Données projet'!$E$11+1,1))</f>
        <v>114.23168847330004</v>
      </c>
      <c r="BJ15" s="59">
        <f t="shared" si="38"/>
        <v>42.34857998136755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1.2</v>
      </c>
      <c r="BY15" s="12">
        <f>IF('Données projet'!$A$114&gt;35,BY14+BX15-CG14,IF(A15&lt;'Données projet'!$A$114,$BV$205^A15,IF(A15='Données projet'!$A$114,'Données projet'!$B$114,BY14+BX15-CG14)))</f>
        <v>5.1170328173444979</v>
      </c>
      <c r="BZ15" s="13">
        <f>BY15*VLOOKUP('Données projet'!$B$12,Paramètres!$A$1:$I$89,3,0)*VLOOKUP('Données projet'!$B$12,Paramètres!$A$1:$I$89,5,0)</f>
        <v>4.9491941409355986</v>
      </c>
      <c r="CA15" s="13">
        <f t="shared" si="39"/>
        <v>1.8934016024425293</v>
      </c>
      <c r="CB15" s="20">
        <f t="shared" si="10"/>
        <v>11.917520919716907</v>
      </c>
      <c r="CC15" s="59">
        <f t="shared" si="11"/>
        <v>305.25085425305019</v>
      </c>
      <c r="CD15" s="59">
        <f ca="1">AVERAGE(OFFSET($CC$3,0,0,'Données projet'!$E$12+1,1))-AVERAGE(OFFSET($H$3,0,0,'Données projet'!$E$12+1,1))</f>
        <v>201.36664523637006</v>
      </c>
      <c r="CE15" s="59">
        <f t="shared" si="40"/>
        <v>79.394119001888555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2.1</v>
      </c>
      <c r="CT15" s="12">
        <f>IF('Données projet'!$A$140&gt;35,CT14+CS15-DB14,IF(A15&lt;'Données projet'!$A$140,$CQ$205^A15,IF(A15='Données projet'!$A$140,'Données projet'!$B$140,CT14+CS15-DB14)))</f>
        <v>9.4178024044149407</v>
      </c>
      <c r="CU15" s="17">
        <f>CT15*VLOOKUP('Données projet'!$B$13,Paramètres!$A$1:$I$89,3,0)*VLOOKUP('Données projet'!$B$13,Paramètres!$A$1:$I$89,5,0)</f>
        <v>8.521227615514638</v>
      </c>
      <c r="CV15" s="13">
        <f t="shared" si="41"/>
        <v>3.0601574970852128</v>
      </c>
      <c r="CW15" s="20">
        <f t="shared" si="13"/>
        <v>20.170912404444739</v>
      </c>
      <c r="CX15" s="59">
        <f t="shared" si="14"/>
        <v>313.50424573777804</v>
      </c>
      <c r="CY15" s="59">
        <f ca="1">AVERAGE(OFFSET($CX$3,0,0,'Données projet'!$E$13+1,1))-AVERAGE(OFFSET($H$3,0,0,'Données projet'!$E$13+1,1))</f>
        <v>282.08542131880455</v>
      </c>
      <c r="CZ15" s="59">
        <f t="shared" si="42"/>
        <v>174.27503468762325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4.75</v>
      </c>
      <c r="DO15" s="12">
        <f>IF('Données projet'!$A$166&gt;35,DO14+DN15-DW14,IF(A15&lt;'Données projet'!$A$166,$DL$205^A15,IF(A15='Données projet'!$A$166,'Données projet'!$B$166,DO14+DN15-DW14)))</f>
        <v>15.368594899018873</v>
      </c>
      <c r="DP15" s="17">
        <f>DO15*VLOOKUP('Données projet'!$B$14,Paramètres!$A$1:$I$89,3,0)*VLOOKUP('Données projet'!$B$14,Paramètres!$A$1:$I$89,5,0)</f>
        <v>12.467004182084111</v>
      </c>
      <c r="DQ15" s="13">
        <f t="shared" si="43"/>
        <v>4.2831911943198415</v>
      </c>
      <c r="DR15" s="20">
        <f t="shared" si="16"/>
        <v>29.173256947236883</v>
      </c>
      <c r="DS15" s="59">
        <f t="shared" si="17"/>
        <v>322.50659028057021</v>
      </c>
      <c r="DT15" s="59">
        <f ca="1">AVERAGE(OFFSET($DS$3,0,0,'Données projet'!$E$14+1,1))-AVERAGE(OFFSET($H$3,0,0,'Données projet'!$E$14+1,1))</f>
        <v>235.31102883830971</v>
      </c>
      <c r="DU15" s="59">
        <f t="shared" si="44"/>
        <v>271.48630853790422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20.100000000000001</v>
      </c>
      <c r="N16" s="13">
        <f>IF('Données projet'!$A$36&gt;35,N15+M16-V15,IF(A16&lt;'Données projet'!$A$36,$K$205^A16,IF(A16='Données projet'!$A$36,'Données projet'!$B$36,N15+M16-V15)))</f>
        <v>87.300000000000011</v>
      </c>
      <c r="O16" s="13">
        <f>N16*VLOOKUP('Données projet'!$B$9,Paramètres!$A$1:$I$89,3,0)*VLOOKUP('Données projet'!$B$9,Paramètres!$A$1:$I$89,5,0)</f>
        <v>48.800700000000006</v>
      </c>
      <c r="P16" s="13">
        <f t="shared" si="33"/>
        <v>14.303598928763776</v>
      </c>
      <c r="Q16" s="20">
        <f t="shared" si="2"/>
        <v>109.90665396759691</v>
      </c>
      <c r="R16" s="59">
        <f t="shared" si="0"/>
        <v>403.23998730093024</v>
      </c>
      <c r="S16" s="59">
        <f ca="1">AVERAGE(OFFSET($R$3,0,0,'Données projet'!$E$9+1,1))-AVERAGE(OFFSET($H$3,0,0,'Données projet'!$E$9+1,1))</f>
        <v>446.28010102877403</v>
      </c>
      <c r="T16" s="59">
        <f t="shared" si="34"/>
        <v>445.84011537290456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7.9</v>
      </c>
      <c r="AI16" s="13">
        <f>IF('Données projet'!$A$62&gt;35,AI15+AH16-AQ15,IF(A16&lt;'Données projet'!$A$62,$AF$205^A16,IF(A16='Données projet'!$A$62,'Données projet'!$B$62,AI15+AH16-AQ15)))</f>
        <v>26.861304900499697</v>
      </c>
      <c r="AJ16" s="13">
        <f>AI16*VLOOKUP('Données projet'!$B$10,Paramètres!$A$1:$I$89,3,0)*VLOOKUP('Données projet'!$B$10,Paramètres!$A$1:$I$89,5,0)</f>
        <v>12.571090693433858</v>
      </c>
      <c r="AK16" s="13">
        <f t="shared" si="35"/>
        <v>4.3147735914069099</v>
      </c>
      <c r="AL16" s="20">
        <f t="shared" si="4"/>
        <v>29.409546962764335</v>
      </c>
      <c r="AM16" s="59">
        <f t="shared" si="5"/>
        <v>322.74288029609767</v>
      </c>
      <c r="AN16" s="59">
        <f ca="1">AVERAGE(OFFSET($AM$3,0,0,'Données projet'!$E$10+1,1))-AVERAGE(OFFSET($H$3,0,0,'Données projet'!$E$10+1,1))</f>
        <v>252.98248842635206</v>
      </c>
      <c r="AO16" s="59">
        <f t="shared" si="36"/>
        <v>207.11938580878308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1.2</v>
      </c>
      <c r="BD16" s="12">
        <f>IF('Données projet'!$A$88&gt;35,BD15+BC16-BL15,IF(A16&lt;'Données projet'!$A$88,$BA$205^A16,IF(A16='Données projet'!$A$88,'Données projet'!$B$88,BD15+BC16-BL15)))</f>
        <v>5.8627726400958746</v>
      </c>
      <c r="BE16" s="13">
        <f>BD16*VLOOKUP('Données projet'!$B$11,Paramètres!$A$1:$I$89,3,0)*VLOOKUP('Données projet'!$B$11,Paramètres!$A$1:$I$89,5,0)</f>
        <v>3.8412886337908172</v>
      </c>
      <c r="BF16" s="13">
        <f t="shared" si="37"/>
        <v>1.5135469251454519</v>
      </c>
      <c r="BG16" s="20">
        <f t="shared" si="7"/>
        <v>9.3263385984806693</v>
      </c>
      <c r="BH16" s="59">
        <f t="shared" si="8"/>
        <v>302.65967193181399</v>
      </c>
      <c r="BI16" s="59">
        <f ca="1">AVERAGE(OFFSET($BH$3,0,0,'Données projet'!$E$11+1,1))-AVERAGE(OFFSET($H$3,0,0,'Données projet'!$E$11+1,1))</f>
        <v>114.23168847330004</v>
      </c>
      <c r="BJ16" s="59">
        <f t="shared" si="38"/>
        <v>42.34857998136755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1.2</v>
      </c>
      <c r="BY16" s="12">
        <f>IF('Données projet'!$A$114&gt;35,BY15+BX16-CG15,IF(A16&lt;'Données projet'!$A$114,$BV$205^A16,IF(A16='Données projet'!$A$114,'Données projet'!$B$114,BY15+BX16-CG15)))</f>
        <v>5.8627726400958746</v>
      </c>
      <c r="BZ16" s="13">
        <f>BY16*VLOOKUP('Données projet'!$B$12,Paramètres!$A$1:$I$89,3,0)*VLOOKUP('Données projet'!$B$12,Paramètres!$A$1:$I$89,5,0)</f>
        <v>5.6704736975007304</v>
      </c>
      <c r="CA16" s="13">
        <f t="shared" si="39"/>
        <v>2.1352568017564701</v>
      </c>
      <c r="CB16" s="20">
        <f t="shared" si="10"/>
        <v>13.594980619539625</v>
      </c>
      <c r="CC16" s="59">
        <f t="shared" si="11"/>
        <v>306.92831395287294</v>
      </c>
      <c r="CD16" s="59">
        <f ca="1">AVERAGE(OFFSET($CC$3,0,0,'Données projet'!$E$12+1,1))-AVERAGE(OFFSET($H$3,0,0,'Données projet'!$E$12+1,1))</f>
        <v>201.36664523637006</v>
      </c>
      <c r="CE16" s="59">
        <f t="shared" si="40"/>
        <v>79.394119001888555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2.1</v>
      </c>
      <c r="CT16" s="12">
        <f>IF('Données projet'!$A$140&gt;35,CT15+CS16-DB15,IF(A16&lt;'Données projet'!$A$140,$CQ$205^A16,IF(A16='Données projet'!$A$140,'Données projet'!$B$140,CT15+CS16-DB15)))</f>
        <v>11.35303662145153</v>
      </c>
      <c r="CU16" s="17">
        <f>CT16*VLOOKUP('Données projet'!$B$13,Paramètres!$A$1:$I$89,3,0)*VLOOKUP('Données projet'!$B$13,Paramètres!$A$1:$I$89,5,0)</f>
        <v>10.272227535089344</v>
      </c>
      <c r="CV16" s="13">
        <f t="shared" si="41"/>
        <v>3.6095987912522753</v>
      </c>
      <c r="CW16" s="20">
        <f t="shared" si="13"/>
        <v>24.177514185044988</v>
      </c>
      <c r="CX16" s="59">
        <f t="shared" si="14"/>
        <v>317.51084751837828</v>
      </c>
      <c r="CY16" s="59">
        <f ca="1">AVERAGE(OFFSET($CX$3,0,0,'Données projet'!$E$13+1,1))-AVERAGE(OFFSET($H$3,0,0,'Données projet'!$E$13+1,1))</f>
        <v>282.08542131880455</v>
      </c>
      <c r="CZ16" s="59">
        <f t="shared" si="42"/>
        <v>174.27503468762325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4.75</v>
      </c>
      <c r="DO16" s="12">
        <f>IF('Données projet'!$A$166&gt;35,DO15+DN16-DW15,IF(A16&lt;'Données projet'!$A$166,$DL$205^A16,IF(A16='Données projet'!$A$166,'Données projet'!$B$166,DO15+DN16-DW15)))</f>
        <v>19.298357323959845</v>
      </c>
      <c r="DP16" s="17">
        <f>DO16*VLOOKUP('Données projet'!$B$14,Paramètres!$A$1:$I$89,3,0)*VLOOKUP('Données projet'!$B$14,Paramètres!$A$1:$I$89,5,0)</f>
        <v>15.654827461196227</v>
      </c>
      <c r="DQ16" s="13">
        <f t="shared" si="43"/>
        <v>5.2377322031087648</v>
      </c>
      <c r="DR16" s="20">
        <f t="shared" si="16"/>
        <v>36.387874748664522</v>
      </c>
      <c r="DS16" s="59">
        <f t="shared" si="17"/>
        <v>329.72120808199782</v>
      </c>
      <c r="DT16" s="59">
        <f ca="1">AVERAGE(OFFSET($DS$3,0,0,'Données projet'!$E$14+1,1))-AVERAGE(OFFSET($H$3,0,0,'Données projet'!$E$14+1,1))</f>
        <v>235.31102883830971</v>
      </c>
      <c r="DU16" s="59">
        <f t="shared" si="44"/>
        <v>271.48630853790422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20.100000000000001</v>
      </c>
      <c r="N17" s="13">
        <f>IF('Données projet'!$A$36&gt;35,N16+M17-V16,IF(A17&lt;'Données projet'!$A$36,$K$205^A17,IF(A17='Données projet'!$A$36,'Données projet'!$B$36,N16+M17-V16)))</f>
        <v>107.4</v>
      </c>
      <c r="O17" s="13">
        <f>N17*VLOOKUP('Données projet'!$B$9,Paramètres!$A$1:$I$89,3,0)*VLOOKUP('Données projet'!$B$9,Paramètres!$A$1:$I$89,5,0)</f>
        <v>60.036600000000007</v>
      </c>
      <c r="P17" s="13">
        <f t="shared" si="33"/>
        <v>17.177522312374215</v>
      </c>
      <c r="Q17" s="20">
        <f t="shared" si="2"/>
        <v>134.48126302738513</v>
      </c>
      <c r="R17" s="59">
        <f t="shared" si="0"/>
        <v>427.81459636071844</v>
      </c>
      <c r="S17" s="59">
        <f ca="1">AVERAGE(OFFSET($R$3,0,0,'Données projet'!$E$9+1,1))-AVERAGE(OFFSET($H$3,0,0,'Données projet'!$E$9+1,1))</f>
        <v>446.28010102877403</v>
      </c>
      <c r="T17" s="59">
        <f t="shared" si="34"/>
        <v>445.84011537290456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7.9</v>
      </c>
      <c r="AI17" s="13">
        <f>IF('Données projet'!$A$62&gt;35,AI16+AH17-AQ16,IF(A17&lt;'Données projet'!$A$62,$AF$205^A17,IF(A17='Données projet'!$A$62,'Données projet'!$B$62,AI16+AH17-AQ16)))</f>
        <v>34.598714324397214</v>
      </c>
      <c r="AJ17" s="13">
        <f>AI17*VLOOKUP('Données projet'!$B$10,Paramètres!$A$1:$I$89,3,0)*VLOOKUP('Données projet'!$B$10,Paramètres!$A$1:$I$89,5,0)</f>
        <v>16.192198303817896</v>
      </c>
      <c r="AK17" s="13">
        <f t="shared" si="35"/>
        <v>5.3962825594761723</v>
      </c>
      <c r="AL17" s="20">
        <f t="shared" si="4"/>
        <v>37.599937503570509</v>
      </c>
      <c r="AM17" s="59">
        <f t="shared" si="5"/>
        <v>330.93327083690383</v>
      </c>
      <c r="AN17" s="59">
        <f ca="1">AVERAGE(OFFSET($AM$3,0,0,'Données projet'!$E$10+1,1))-AVERAGE(OFFSET($H$3,0,0,'Données projet'!$E$10+1,1))</f>
        <v>252.98248842635206</v>
      </c>
      <c r="AO17" s="59">
        <f t="shared" si="36"/>
        <v>207.11938580878308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1.2</v>
      </c>
      <c r="BD17" s="12">
        <f>IF('Données projet'!$A$88&gt;35,BD16+BC17-BL16,IF(A17&lt;'Données projet'!$A$88,$BA$205^A17,IF(A17='Données projet'!$A$88,'Données projet'!$B$88,BD16+BC17-BL16)))</f>
        <v>6.7171941741218459</v>
      </c>
      <c r="BE17" s="13">
        <f>BD17*VLOOKUP('Données projet'!$B$11,Paramètres!$A$1:$I$89,3,0)*VLOOKUP('Données projet'!$B$11,Paramètres!$A$1:$I$89,5,0)</f>
        <v>4.401105622884633</v>
      </c>
      <c r="BF17" s="13">
        <f t="shared" si="37"/>
        <v>1.7068810771710083</v>
      </c>
      <c r="BG17" s="20">
        <f t="shared" si="7"/>
        <v>10.63807683593024</v>
      </c>
      <c r="BH17" s="59">
        <f t="shared" si="8"/>
        <v>303.97141016926355</v>
      </c>
      <c r="BI17" s="59">
        <f ca="1">AVERAGE(OFFSET($BH$3,0,0,'Données projet'!$E$11+1,1))-AVERAGE(OFFSET($H$3,0,0,'Données projet'!$E$11+1,1))</f>
        <v>114.23168847330004</v>
      </c>
      <c r="BJ17" s="59">
        <f t="shared" si="38"/>
        <v>42.34857998136755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1.2</v>
      </c>
      <c r="BY17" s="12">
        <f>IF('Données projet'!$A$114&gt;35,BY16+BX17-CG16,IF(A17&lt;'Données projet'!$A$114,$BV$205^A17,IF(A17='Données projet'!$A$114,'Données projet'!$B$114,BY16+BX17-CG16)))</f>
        <v>6.7171941741218459</v>
      </c>
      <c r="BZ17" s="13">
        <f>BY17*VLOOKUP('Données projet'!$B$12,Paramètres!$A$1:$I$89,3,0)*VLOOKUP('Données projet'!$B$12,Paramètres!$A$1:$I$89,5,0)</f>
        <v>6.4968702052106497</v>
      </c>
      <c r="CA17" s="13">
        <f t="shared" si="39"/>
        <v>2.4080055723865681</v>
      </c>
      <c r="CB17" s="20">
        <f t="shared" si="10"/>
        <v>15.509325312648487</v>
      </c>
      <c r="CC17" s="59">
        <f t="shared" si="11"/>
        <v>308.84265864598183</v>
      </c>
      <c r="CD17" s="59">
        <f ca="1">AVERAGE(OFFSET($CC$3,0,0,'Données projet'!$E$12+1,1))-AVERAGE(OFFSET($H$3,0,0,'Données projet'!$E$12+1,1))</f>
        <v>201.36664523637006</v>
      </c>
      <c r="CE17" s="59">
        <f t="shared" si="40"/>
        <v>79.394119001888555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2.1</v>
      </c>
      <c r="CT17" s="12">
        <f>IF('Données projet'!$A$140&gt;35,CT16+CS17-DB16,IF(A17&lt;'Données projet'!$A$140,$CQ$205^A17,IF(A17='Données projet'!$A$140,'Données projet'!$B$140,CT16+CS17-DB16)))</f>
        <v>13.685935953338433</v>
      </c>
      <c r="CU17" s="17">
        <f>CT17*VLOOKUP('Données projet'!$B$13,Paramètres!$A$1:$I$89,3,0)*VLOOKUP('Données projet'!$B$13,Paramètres!$A$1:$I$89,5,0)</f>
        <v>12.383034850580612</v>
      </c>
      <c r="CV17" s="13">
        <f t="shared" si="41"/>
        <v>4.2576904771143838</v>
      </c>
      <c r="CW17" s="20">
        <f t="shared" si="13"/>
        <v>28.982596612402116</v>
      </c>
      <c r="CX17" s="59">
        <f t="shared" si="14"/>
        <v>322.31592994573543</v>
      </c>
      <c r="CY17" s="59">
        <f ca="1">AVERAGE(OFFSET($CX$3,0,0,'Données projet'!$E$13+1,1))-AVERAGE(OFFSET($H$3,0,0,'Données projet'!$E$13+1,1))</f>
        <v>282.08542131880455</v>
      </c>
      <c r="CZ17" s="59">
        <f t="shared" si="42"/>
        <v>174.27503468762325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4.75</v>
      </c>
      <c r="DO17" s="12">
        <f>IF('Données projet'!$A$166&gt;35,DO16+DN17-DW16,IF(A17&lt;'Données projet'!$A$166,$DL$205^A17,IF(A17='Données projet'!$A$166,'Données projet'!$B$166,DO16+DN17-DW16)))</f>
        <v>24.232963250726986</v>
      </c>
      <c r="DP17" s="17">
        <f>DO17*VLOOKUP('Données projet'!$B$14,Paramètres!$A$1:$I$89,3,0)*VLOOKUP('Données projet'!$B$14,Paramètres!$A$1:$I$89,5,0)</f>
        <v>19.657779788989732</v>
      </c>
      <c r="DQ17" s="13">
        <f t="shared" si="43"/>
        <v>6.4049997739685294</v>
      </c>
      <c r="DR17" s="20">
        <f t="shared" si="16"/>
        <v>45.392674405485643</v>
      </c>
      <c r="DS17" s="59">
        <f t="shared" si="17"/>
        <v>338.72600773881896</v>
      </c>
      <c r="DT17" s="59">
        <f ca="1">AVERAGE(OFFSET($DS$3,0,0,'Données projet'!$E$14+1,1))-AVERAGE(OFFSET($H$3,0,0,'Données projet'!$E$14+1,1))</f>
        <v>235.31102883830971</v>
      </c>
      <c r="DU17" s="59">
        <f t="shared" si="44"/>
        <v>271.48630853790422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20.100000000000001</v>
      </c>
      <c r="N18" s="13">
        <f>IF('Données projet'!$A$36&gt;35,N17+M18-V17,IF(A18&lt;'Données projet'!$A$36,$K$205^A18,IF(A18='Données projet'!$A$36,'Données projet'!$B$36,N17+M18-V17)))</f>
        <v>127.5</v>
      </c>
      <c r="O18" s="13">
        <f>N18*VLOOKUP('Données projet'!$B$9,Paramètres!$A$1:$I$89,3,0)*VLOOKUP('Données projet'!$B$9,Paramètres!$A$1:$I$89,5,0)</f>
        <v>71.272499999999994</v>
      </c>
      <c r="P18" s="13">
        <f t="shared" si="33"/>
        <v>19.989132077392792</v>
      </c>
      <c r="Q18" s="20">
        <f t="shared" si="2"/>
        <v>158.94734253479243</v>
      </c>
      <c r="R18" s="59">
        <f t="shared" si="0"/>
        <v>452.28067586812574</v>
      </c>
      <c r="S18" s="59">
        <f ca="1">AVERAGE(OFFSET($R$3,0,0,'Données projet'!$E$9+1,1))-AVERAGE(OFFSET($H$3,0,0,'Données projet'!$E$9+1,1))</f>
        <v>446.28010102877403</v>
      </c>
      <c r="T18" s="59">
        <f t="shared" si="34"/>
        <v>445.84011537290456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7.9</v>
      </c>
      <c r="AI18" s="13">
        <f>IF('Données projet'!$A$62&gt;35,AI17+AH18-AQ17,IF(A18&lt;'Données projet'!$A$62,$AF$205^A18,IF(A18='Données projet'!$A$62,'Données projet'!$B$62,AI17+AH18-AQ17)))</f>
        <v>44.564887571004775</v>
      </c>
      <c r="AJ18" s="13">
        <f>AI18*VLOOKUP('Données projet'!$B$10,Paramètres!$A$1:$I$89,3,0)*VLOOKUP('Données projet'!$B$10,Paramètres!$A$1:$I$89,5,0)</f>
        <v>20.856367383230236</v>
      </c>
      <c r="AK18" s="13">
        <f t="shared" si="35"/>
        <v>6.7488744993944465</v>
      </c>
      <c r="AL18" s="20">
        <f t="shared" si="4"/>
        <v>48.079129612237985</v>
      </c>
      <c r="AM18" s="59">
        <f t="shared" si="5"/>
        <v>341.41246294557129</v>
      </c>
      <c r="AN18" s="59">
        <f ca="1">AVERAGE(OFFSET($AM$3,0,0,'Données projet'!$E$10+1,1))-AVERAGE(OFFSET($H$3,0,0,'Données projet'!$E$10+1,1))</f>
        <v>252.98248842635206</v>
      </c>
      <c r="AO18" s="59">
        <f t="shared" si="36"/>
        <v>207.11938580878308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1.2</v>
      </c>
      <c r="BD18" s="12">
        <f>IF('Données projet'!$A$88&gt;35,BD17+BC18-BL17,IF(A18&lt;'Données projet'!$A$88,$BA$205^A18,IF(A18='Données projet'!$A$88,'Données projet'!$B$88,BD17+BC18-BL17)))</f>
        <v>7.6961363407260848</v>
      </c>
      <c r="BE18" s="13">
        <f>BD18*VLOOKUP('Données projet'!$B$11,Paramètres!$A$1:$I$89,3,0)*VLOOKUP('Données projet'!$B$11,Paramètres!$A$1:$I$89,5,0)</f>
        <v>5.0425085304437314</v>
      </c>
      <c r="BF18" s="13">
        <f t="shared" si="37"/>
        <v>1.9249109249285281</v>
      </c>
      <c r="BG18" s="20">
        <f t="shared" si="7"/>
        <v>12.134922218106686</v>
      </c>
      <c r="BH18" s="59">
        <f t="shared" si="8"/>
        <v>305.46825555144</v>
      </c>
      <c r="BI18" s="59">
        <f ca="1">AVERAGE(OFFSET($BH$3,0,0,'Données projet'!$E$11+1,1))-AVERAGE(OFFSET($H$3,0,0,'Données projet'!$E$11+1,1))</f>
        <v>114.23168847330004</v>
      </c>
      <c r="BJ18" s="59">
        <f t="shared" si="38"/>
        <v>42.34857998136755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1.2</v>
      </c>
      <c r="BY18" s="12">
        <f>IF('Données projet'!$A$114&gt;35,BY17+BX18-CG17,IF(A18&lt;'Données projet'!$A$114,$BV$205^A18,IF(A18='Données projet'!$A$114,'Données projet'!$B$114,BY17+BX18-CG17)))</f>
        <v>7.6961363407260848</v>
      </c>
      <c r="BZ18" s="13">
        <f>BY18*VLOOKUP('Données projet'!$B$12,Paramètres!$A$1:$I$89,3,0)*VLOOKUP('Données projet'!$B$12,Paramètres!$A$1:$I$89,5,0)</f>
        <v>7.4437030687502697</v>
      </c>
      <c r="CA18" s="13">
        <f t="shared" si="39"/>
        <v>2.7155941298840056</v>
      </c>
      <c r="CB18" s="20">
        <f t="shared" si="10"/>
        <v>17.694109287621362</v>
      </c>
      <c r="CC18" s="59">
        <f t="shared" si="11"/>
        <v>311.02744262095467</v>
      </c>
      <c r="CD18" s="59">
        <f ca="1">AVERAGE(OFFSET($CC$3,0,0,'Données projet'!$E$12+1,1))-AVERAGE(OFFSET($H$3,0,0,'Données projet'!$E$12+1,1))</f>
        <v>201.36664523637006</v>
      </c>
      <c r="CE18" s="59">
        <f t="shared" si="40"/>
        <v>79.394119001888555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2.1</v>
      </c>
      <c r="CT18" s="12">
        <f>IF('Données projet'!$A$140&gt;35,CT17+CS18-DB17,IF(A18&lt;'Données projet'!$A$140,$CQ$205^A18,IF(A18='Données projet'!$A$140,'Données projet'!$B$140,CT17+CS18-DB17)))</f>
        <v>16.498215337821566</v>
      </c>
      <c r="CU18" s="17">
        <f>CT18*VLOOKUP('Données projet'!$B$13,Paramètres!$A$1:$I$89,3,0)*VLOOKUP('Données projet'!$B$13,Paramètres!$A$1:$I$89,5,0)</f>
        <v>14.927585237660953</v>
      </c>
      <c r="CV18" s="13">
        <f t="shared" si="41"/>
        <v>5.0221449106318534</v>
      </c>
      <c r="CW18" s="20">
        <f t="shared" si="13"/>
        <v>34.745780008276633</v>
      </c>
      <c r="CX18" s="59">
        <f t="shared" si="14"/>
        <v>328.07911334160997</v>
      </c>
      <c r="CY18" s="59">
        <f ca="1">AVERAGE(OFFSET($CX$3,0,0,'Données projet'!$E$13+1,1))-AVERAGE(OFFSET($H$3,0,0,'Données projet'!$E$13+1,1))</f>
        <v>282.08542131880455</v>
      </c>
      <c r="CZ18" s="59">
        <f t="shared" si="42"/>
        <v>174.27503468762325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4.75</v>
      </c>
      <c r="DO18" s="12">
        <f>IF('Données projet'!$A$166&gt;35,DO17+DN18-DW17,IF(A18&lt;'Données projet'!$A$166,$DL$205^A18,IF(A18='Données projet'!$A$166,'Données projet'!$B$166,DO17+DN18-DW17)))</f>
        <v>30.429351993705815</v>
      </c>
      <c r="DP18" s="17">
        <f>DO18*VLOOKUP('Données projet'!$B$14,Paramètres!$A$1:$I$89,3,0)*VLOOKUP('Données projet'!$B$14,Paramètres!$A$1:$I$89,5,0)</f>
        <v>24.684290337294158</v>
      </c>
      <c r="DQ18" s="13">
        <f t="shared" si="43"/>
        <v>7.8324016031571553</v>
      </c>
      <c r="DR18" s="20">
        <f t="shared" si="16"/>
        <v>56.633238462952697</v>
      </c>
      <c r="DS18" s="59">
        <f t="shared" si="17"/>
        <v>349.96657179628602</v>
      </c>
      <c r="DT18" s="59">
        <f ca="1">AVERAGE(OFFSET($DS$3,0,0,'Données projet'!$E$14+1,1))-AVERAGE(OFFSET($H$3,0,0,'Données projet'!$E$14+1,1))</f>
        <v>235.31102883830971</v>
      </c>
      <c r="DU18" s="59">
        <f t="shared" si="44"/>
        <v>271.48630853790422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20.100000000000001</v>
      </c>
      <c r="N19" s="13">
        <f>IF('Données projet'!$A$36&gt;35,N18+M19-V18,IF(A19&lt;'Données projet'!$A$36,$K$205^A19,IF(A19='Données projet'!$A$36,'Données projet'!$B$36,N18+M19-V18)))</f>
        <v>147.6</v>
      </c>
      <c r="O19" s="13">
        <f>N19*VLOOKUP('Données projet'!$B$9,Paramètres!$A$1:$I$89,3,0)*VLOOKUP('Données projet'!$B$9,Paramètres!$A$1:$I$89,5,0)</f>
        <v>82.508399999999995</v>
      </c>
      <c r="P19" s="13">
        <f t="shared" si="33"/>
        <v>22.749394597897183</v>
      </c>
      <c r="Q19" s="20">
        <f t="shared" si="2"/>
        <v>183.32399225800421</v>
      </c>
      <c r="R19" s="59">
        <f t="shared" si="0"/>
        <v>476.65732559133755</v>
      </c>
      <c r="S19" s="59">
        <f ca="1">AVERAGE(OFFSET($R$3,0,0,'Données projet'!$E$9+1,1))-AVERAGE(OFFSET($H$3,0,0,'Données projet'!$E$9+1,1))</f>
        <v>446.28010102877403</v>
      </c>
      <c r="T19" s="59">
        <f t="shared" si="34"/>
        <v>445.84011537290456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7.9</v>
      </c>
      <c r="AI19" s="13">
        <f>IF('Données projet'!$A$62&gt;35,AI18+AH19-AQ18,IF(A19&lt;'Données projet'!$A$62,$AF$205^A19,IF(A19='Données projet'!$A$62,'Données projet'!$B$62,AI18+AH19-AQ18)))</f>
        <v>57.401820934596167</v>
      </c>
      <c r="AJ19" s="13">
        <f>AI19*VLOOKUP('Données projet'!$B$10,Paramètres!$A$1:$I$89,3,0)*VLOOKUP('Données projet'!$B$10,Paramètres!$A$1:$I$89,5,0)</f>
        <v>26.864052197391008</v>
      </c>
      <c r="AK19" s="13">
        <f t="shared" si="35"/>
        <v>8.4404970471001413</v>
      </c>
      <c r="AL19" s="20">
        <f t="shared" si="4"/>
        <v>61.488756600822086</v>
      </c>
      <c r="AM19" s="59">
        <f t="shared" si="5"/>
        <v>354.82208993415543</v>
      </c>
      <c r="AN19" s="59">
        <f ca="1">AVERAGE(OFFSET($AM$3,0,0,'Données projet'!$E$10+1,1))-AVERAGE(OFFSET($H$3,0,0,'Données projet'!$E$10+1,1))</f>
        <v>252.98248842635206</v>
      </c>
      <c r="AO19" s="59">
        <f t="shared" si="36"/>
        <v>207.11938580878308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1.2</v>
      </c>
      <c r="BD19" s="12">
        <f>IF('Données projet'!$A$88&gt;35,BD18+BC19-BL18,IF(A19&lt;'Données projet'!$A$88,$BA$205^A19,IF(A19='Données projet'!$A$88,'Données projet'!$B$88,BD18+BC19-BL18)))</f>
        <v>8.8177463744060987</v>
      </c>
      <c r="BE19" s="13">
        <f>BD19*VLOOKUP('Données projet'!$B$11,Paramètres!$A$1:$I$89,3,0)*VLOOKUP('Données projet'!$B$11,Paramètres!$A$1:$I$89,5,0)</f>
        <v>5.7773874245108763</v>
      </c>
      <c r="BF19" s="13">
        <f t="shared" si="37"/>
        <v>2.1707909932719804</v>
      </c>
      <c r="BG19" s="20">
        <f t="shared" si="7"/>
        <v>13.843077410971809</v>
      </c>
      <c r="BH19" s="59">
        <f t="shared" si="8"/>
        <v>307.17641074430514</v>
      </c>
      <c r="BI19" s="59">
        <f ca="1">AVERAGE(OFFSET($BH$3,0,0,'Données projet'!$E$11+1,1))-AVERAGE(OFFSET($H$3,0,0,'Données projet'!$E$11+1,1))</f>
        <v>114.23168847330004</v>
      </c>
      <c r="BJ19" s="59">
        <f t="shared" si="38"/>
        <v>42.34857998136755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1.2</v>
      </c>
      <c r="BY19" s="12">
        <f>IF('Données projet'!$A$114&gt;35,BY18+BX19-CG18,IF(A19&lt;'Données projet'!$A$114,$BV$205^A19,IF(A19='Données projet'!$A$114,'Données projet'!$B$114,BY18+BX19-CG18)))</f>
        <v>8.8177463744060987</v>
      </c>
      <c r="BZ19" s="13">
        <f>BY19*VLOOKUP('Données projet'!$B$12,Paramètres!$A$1:$I$89,3,0)*VLOOKUP('Données projet'!$B$12,Paramètres!$A$1:$I$89,5,0)</f>
        <v>8.528524293325578</v>
      </c>
      <c r="CA19" s="13">
        <f t="shared" si="39"/>
        <v>3.0624727628647754</v>
      </c>
      <c r="CB19" s="20">
        <f t="shared" si="10"/>
        <v>20.187653206198199</v>
      </c>
      <c r="CC19" s="59">
        <f t="shared" si="11"/>
        <v>313.52098653953152</v>
      </c>
      <c r="CD19" s="59">
        <f ca="1">AVERAGE(OFFSET($CC$3,0,0,'Données projet'!$E$12+1,1))-AVERAGE(OFFSET($H$3,0,0,'Données projet'!$E$12+1,1))</f>
        <v>201.36664523637006</v>
      </c>
      <c r="CE19" s="59">
        <f t="shared" si="40"/>
        <v>79.394119001888555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2.1</v>
      </c>
      <c r="CT19" s="12">
        <f>IF('Données projet'!$A$140&gt;35,CT18+CS19-DB18,IF(A19&lt;'Données projet'!$A$140,$CQ$205^A19,IF(A19='Données projet'!$A$140,'Données projet'!$B$140,CT18+CS19-DB18)))</f>
        <v>19.888381054913147</v>
      </c>
      <c r="CU19" s="17">
        <f>CT19*VLOOKUP('Données projet'!$B$13,Paramètres!$A$1:$I$89,3,0)*VLOOKUP('Données projet'!$B$13,Paramètres!$A$1:$I$89,5,0)</f>
        <v>17.995007178485412</v>
      </c>
      <c r="CV19" s="13">
        <f t="shared" si="41"/>
        <v>5.9238546434872337</v>
      </c>
      <c r="CW19" s="20">
        <f t="shared" si="13"/>
        <v>41.658684339935689</v>
      </c>
      <c r="CX19" s="59">
        <f t="shared" si="14"/>
        <v>334.992017673269</v>
      </c>
      <c r="CY19" s="59">
        <f ca="1">AVERAGE(OFFSET($CX$3,0,0,'Données projet'!$E$13+1,1))-AVERAGE(OFFSET($H$3,0,0,'Données projet'!$E$13+1,1))</f>
        <v>282.08542131880455</v>
      </c>
      <c r="CZ19" s="59">
        <f t="shared" si="42"/>
        <v>174.27503468762325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4.75</v>
      </c>
      <c r="DO19" s="12">
        <f>IF('Données projet'!$A$166&gt;35,DO18+DN19-DW18,IF(A19&lt;'Données projet'!$A$166,$DL$205^A19,IF(A19='Données projet'!$A$166,'Données projet'!$B$166,DO18+DN19-DW18)))</f>
        <v>38.21016246244956</v>
      </c>
      <c r="DP19" s="17">
        <f>DO19*VLOOKUP('Données projet'!$B$14,Paramètres!$A$1:$I$89,3,0)*VLOOKUP('Données projet'!$B$14,Paramètres!$A$1:$I$89,5,0)</f>
        <v>30.996083789539089</v>
      </c>
      <c r="DQ19" s="13">
        <f t="shared" si="43"/>
        <v>9.5779105445820392</v>
      </c>
      <c r="DR19" s="20">
        <f t="shared" si="16"/>
        <v>70.666373465260961</v>
      </c>
      <c r="DS19" s="59">
        <f t="shared" si="17"/>
        <v>363.99970679859427</v>
      </c>
      <c r="DT19" s="59">
        <f ca="1">AVERAGE(OFFSET($DS$3,0,0,'Données projet'!$E$14+1,1))-AVERAGE(OFFSET($H$3,0,0,'Données projet'!$E$14+1,1))</f>
        <v>235.31102883830971</v>
      </c>
      <c r="DU19" s="59">
        <f t="shared" si="44"/>
        <v>271.48630853790422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20.100000000000001</v>
      </c>
      <c r="N20" s="13">
        <f>IF('Données projet'!$A$36&gt;35,N19+M20-V19,IF(A20&lt;'Données projet'!$A$36,$K$205^A20,IF(A20='Données projet'!$A$36,'Données projet'!$B$36,N19+M20-V19)))</f>
        <v>167.7</v>
      </c>
      <c r="O20" s="13">
        <f>N20*VLOOKUP('Données projet'!$B$9,Paramètres!$A$1:$I$89,3,0)*VLOOKUP('Données projet'!$B$9,Paramètres!$A$1:$I$89,5,0)</f>
        <v>93.744299999999996</v>
      </c>
      <c r="P20" s="13">
        <f t="shared" si="33"/>
        <v>25.466106585554108</v>
      </c>
      <c r="Q20" s="20">
        <f t="shared" si="2"/>
        <v>207.62479146984003</v>
      </c>
      <c r="R20" s="59">
        <f t="shared" si="0"/>
        <v>500.95812480317335</v>
      </c>
      <c r="S20" s="59">
        <f ca="1">AVERAGE(OFFSET($R$3,0,0,'Données projet'!$E$9+1,1))-AVERAGE(OFFSET($H$3,0,0,'Données projet'!$E$9+1,1))</f>
        <v>446.28010102877403</v>
      </c>
      <c r="T20" s="59">
        <f t="shared" si="34"/>
        <v>445.84011537290456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7.9</v>
      </c>
      <c r="AI20" s="13">
        <f>IF('Données projet'!$A$62&gt;35,AI19+AH20-AQ19,IF(A20&lt;'Données projet'!$A$62,$AF$205^A20,IF(A20='Données projet'!$A$62,'Données projet'!$B$62,AI19+AH20-AQ19)))</f>
        <v>73.936437994095741</v>
      </c>
      <c r="AJ20" s="13">
        <f>AI20*VLOOKUP('Données projet'!$B$10,Paramètres!$A$1:$I$89,3,0)*VLOOKUP('Données projet'!$B$10,Paramètres!$A$1:$I$89,5,0)</f>
        <v>34.602252981236802</v>
      </c>
      <c r="AK20" s="13">
        <f t="shared" si="35"/>
        <v>10.556129086190376</v>
      </c>
      <c r="AL20" s="20">
        <f t="shared" si="4"/>
        <v>78.650848767435647</v>
      </c>
      <c r="AM20" s="59">
        <f t="shared" si="5"/>
        <v>371.98418210076898</v>
      </c>
      <c r="AN20" s="59">
        <f ca="1">AVERAGE(OFFSET($AM$3,0,0,'Données projet'!$E$10+1,1))-AVERAGE(OFFSET($H$3,0,0,'Données projet'!$E$10+1,1))</f>
        <v>252.98248842635206</v>
      </c>
      <c r="AO20" s="59">
        <f t="shared" si="36"/>
        <v>207.11938580878308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1.2</v>
      </c>
      <c r="BD20" s="12">
        <f>IF('Données projet'!$A$88&gt;35,BD19+BC20-BL19,IF(A20&lt;'Données projet'!$A$88,$BA$205^A20,IF(A20='Données projet'!$A$88,'Données projet'!$B$88,BD19+BC20-BL19)))</f>
        <v>10.102816228956828</v>
      </c>
      <c r="BE20" s="13">
        <f>BD20*VLOOKUP('Données projet'!$B$11,Paramètres!$A$1:$I$89,3,0)*VLOOKUP('Données projet'!$B$11,Paramètres!$A$1:$I$89,5,0)</f>
        <v>6.6193651932125128</v>
      </c>
      <c r="BF20" s="13">
        <f t="shared" si="37"/>
        <v>2.4480787528626653</v>
      </c>
      <c r="BG20" s="20">
        <f t="shared" si="7"/>
        <v>15.792464872747601</v>
      </c>
      <c r="BH20" s="59">
        <f t="shared" si="8"/>
        <v>309.1257982060809</v>
      </c>
      <c r="BI20" s="59">
        <f ca="1">AVERAGE(OFFSET($BH$3,0,0,'Données projet'!$E$11+1,1))-AVERAGE(OFFSET($H$3,0,0,'Données projet'!$E$11+1,1))</f>
        <v>114.23168847330004</v>
      </c>
      <c r="BJ20" s="59">
        <f t="shared" si="38"/>
        <v>42.34857998136755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1.2</v>
      </c>
      <c r="BY20" s="12">
        <f>IF('Données projet'!$A$114&gt;35,BY19+BX20-CG19,IF(A20&lt;'Données projet'!$A$114,$BV$205^A20,IF(A20='Données projet'!$A$114,'Données projet'!$B$114,BY19+BX20-CG19)))</f>
        <v>10.102816228956828</v>
      </c>
      <c r="BZ20" s="13">
        <f>BY20*VLOOKUP('Données projet'!$B$12,Paramètres!$A$1:$I$89,3,0)*VLOOKUP('Données projet'!$B$12,Paramètres!$A$1:$I$89,5,0)</f>
        <v>9.7714438566470445</v>
      </c>
      <c r="CA20" s="13">
        <f t="shared" si="39"/>
        <v>3.4536602211941068</v>
      </c>
      <c r="CB20" s="20">
        <f t="shared" si="10"/>
        <v>23.033722935573341</v>
      </c>
      <c r="CC20" s="59">
        <f t="shared" si="11"/>
        <v>316.36705626890665</v>
      </c>
      <c r="CD20" s="59">
        <f ca="1">AVERAGE(OFFSET($CC$3,0,0,'Données projet'!$E$12+1,1))-AVERAGE(OFFSET($H$3,0,0,'Données projet'!$E$12+1,1))</f>
        <v>201.36664523637006</v>
      </c>
      <c r="CE20" s="59">
        <f t="shared" si="40"/>
        <v>79.394119001888555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2.1</v>
      </c>
      <c r="CT20" s="12">
        <f>IF('Données projet'!$A$140&gt;35,CT19+CS20-DB19,IF(A20&lt;'Données projet'!$A$140,$CQ$205^A20,IF(A20='Données projet'!$A$140,'Données projet'!$B$140,CT19+CS20-DB19)))</f>
        <v>23.975181126327602</v>
      </c>
      <c r="CU20" s="17">
        <f>CT20*VLOOKUP('Données projet'!$B$13,Paramètres!$A$1:$I$89,3,0)*VLOOKUP('Données projet'!$B$13,Paramètres!$A$1:$I$89,5,0)</f>
        <v>21.692743883101215</v>
      </c>
      <c r="CV20" s="13">
        <f t="shared" si="41"/>
        <v>6.98746341685115</v>
      </c>
      <c r="CW20" s="20">
        <f t="shared" si="13"/>
        <v>49.951361047417038</v>
      </c>
      <c r="CX20" s="59">
        <f t="shared" si="14"/>
        <v>343.28469438075035</v>
      </c>
      <c r="CY20" s="59">
        <f ca="1">AVERAGE(OFFSET($CX$3,0,0,'Données projet'!$E$13+1,1))-AVERAGE(OFFSET($H$3,0,0,'Données projet'!$E$13+1,1))</f>
        <v>282.08542131880455</v>
      </c>
      <c r="CZ20" s="59">
        <f t="shared" si="42"/>
        <v>174.27503468762325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4.75</v>
      </c>
      <c r="DO20" s="12">
        <f>IF('Données projet'!$A$166&gt;35,DO19+DN20-DW19,IF(A20&lt;'Données projet'!$A$166,$DL$205^A20,IF(A20='Données projet'!$A$166,'Données projet'!$B$166,DO19+DN20-DW19)))</f>
        <v>47.980532602494719</v>
      </c>
      <c r="DP20" s="17">
        <f>DO20*VLOOKUP('Données projet'!$B$14,Paramètres!$A$1:$I$89,3,0)*VLOOKUP('Données projet'!$B$14,Paramètres!$A$1:$I$89,5,0)</f>
        <v>38.92180804714372</v>
      </c>
      <c r="DQ20" s="13">
        <f t="shared" si="43"/>
        <v>11.712419133747929</v>
      </c>
      <c r="DR20" s="20">
        <f t="shared" si="16"/>
        <v>88.187945673386295</v>
      </c>
      <c r="DS20" s="59">
        <f t="shared" si="17"/>
        <v>381.52127900671962</v>
      </c>
      <c r="DT20" s="59">
        <f ca="1">AVERAGE(OFFSET($DS$3,0,0,'Données projet'!$E$14+1,1))-AVERAGE(OFFSET($H$3,0,0,'Données projet'!$E$14+1,1))</f>
        <v>235.31102883830971</v>
      </c>
      <c r="DU20" s="59">
        <f t="shared" si="44"/>
        <v>271.48630853790422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20.100000000000001</v>
      </c>
      <c r="N21" s="13">
        <f>IF('Données projet'!$A$36&gt;35,N20+M21-V20,IF(A21&lt;'Données projet'!$A$36,$K$205^A21,IF(A21='Données projet'!$A$36,'Données projet'!$B$36,N20+M21-V20)))</f>
        <v>187.79999999999998</v>
      </c>
      <c r="O21" s="13">
        <f>N21*VLOOKUP('Données projet'!$B$9,Paramètres!$A$1:$I$89,3,0)*VLOOKUP('Données projet'!$B$9,Paramètres!$A$1:$I$89,5,0)</f>
        <v>104.9802</v>
      </c>
      <c r="P21" s="13">
        <f t="shared" si="33"/>
        <v>28.145084690033578</v>
      </c>
      <c r="Q21" s="20">
        <f t="shared" si="2"/>
        <v>231.85987083514178</v>
      </c>
      <c r="R21" s="59">
        <f t="shared" si="0"/>
        <v>525.19320416847506</v>
      </c>
      <c r="S21" s="59">
        <f ca="1">AVERAGE(OFFSET($R$3,0,0,'Données projet'!$E$9+1,1))-AVERAGE(OFFSET($H$3,0,0,'Données projet'!$E$9+1,1))</f>
        <v>446.28010102877403</v>
      </c>
      <c r="T21" s="59">
        <f t="shared" si="34"/>
        <v>445.84011537290456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7.9</v>
      </c>
      <c r="AI21" s="13">
        <f>IF('Données projet'!$A$62&gt;35,AI20+AH21-AQ20,IF(A21&lt;'Données projet'!$A$62,$AF$205^A21,IF(A21='Données projet'!$A$62,'Données projet'!$B$62,AI20+AH21-AQ20)))</f>
        <v>95.233857990035276</v>
      </c>
      <c r="AJ21" s="13">
        <f>AI21*VLOOKUP('Données projet'!$B$10,Paramètres!$A$1:$I$89,3,0)*VLOOKUP('Données projet'!$B$10,Paramètres!$A$1:$I$89,5,0)</f>
        <v>44.569445539336513</v>
      </c>
      <c r="AK21" s="13">
        <f t="shared" si="35"/>
        <v>13.202049673437019</v>
      </c>
      <c r="AL21" s="20">
        <f t="shared" si="4"/>
        <v>100.61868749558056</v>
      </c>
      <c r="AM21" s="59">
        <f t="shared" si="5"/>
        <v>393.95202082891387</v>
      </c>
      <c r="AN21" s="59">
        <f ca="1">AVERAGE(OFFSET($AM$3,0,0,'Données projet'!$E$10+1,1))-AVERAGE(OFFSET($H$3,0,0,'Données projet'!$E$10+1,1))</f>
        <v>252.98248842635206</v>
      </c>
      <c r="AO21" s="59">
        <f t="shared" si="36"/>
        <v>207.11938580878308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1.2</v>
      </c>
      <c r="BD21" s="12">
        <f>IF('Données projet'!$A$88&gt;35,BD20+BC21-BL20,IF(A21&lt;'Données projet'!$A$88,$BA$205^A21,IF(A21='Données projet'!$A$88,'Données projet'!$B$88,BD20+BC21-BL20)))</f>
        <v>11.575168010312384</v>
      </c>
      <c r="BE21" s="13">
        <f>BD21*VLOOKUP('Données projet'!$B$11,Paramètres!$A$1:$I$89,3,0)*VLOOKUP('Données projet'!$B$11,Paramètres!$A$1:$I$89,5,0)</f>
        <v>7.5840500803566737</v>
      </c>
      <c r="BF21" s="13">
        <f t="shared" si="37"/>
        <v>2.7607860907808481</v>
      </c>
      <c r="BG21" s="20">
        <f t="shared" si="7"/>
        <v>18.017256331397849</v>
      </c>
      <c r="BH21" s="59">
        <f t="shared" si="8"/>
        <v>311.35058966473116</v>
      </c>
      <c r="BI21" s="59">
        <f ca="1">AVERAGE(OFFSET($BH$3,0,0,'Données projet'!$E$11+1,1))-AVERAGE(OFFSET($H$3,0,0,'Données projet'!$E$11+1,1))</f>
        <v>114.23168847330004</v>
      </c>
      <c r="BJ21" s="59">
        <f t="shared" si="38"/>
        <v>42.34857998136755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1.2</v>
      </c>
      <c r="BY21" s="12">
        <f>IF('Données projet'!$A$114&gt;35,BY20+BX21-CG20,IF(A21&lt;'Données projet'!$A$114,$BV$205^A21,IF(A21='Données projet'!$A$114,'Données projet'!$B$114,BY20+BX21-CG20)))</f>
        <v>11.575168010312384</v>
      </c>
      <c r="BZ21" s="13">
        <f>BY21*VLOOKUP('Données projet'!$B$12,Paramètres!$A$1:$I$89,3,0)*VLOOKUP('Données projet'!$B$12,Paramètres!$A$1:$I$89,5,0)</f>
        <v>11.195502499574138</v>
      </c>
      <c r="CA21" s="13">
        <f t="shared" si="39"/>
        <v>3.8948163288481799</v>
      </c>
      <c r="CB21" s="20">
        <f t="shared" si="10"/>
        <v>26.282305292835535</v>
      </c>
      <c r="CC21" s="59">
        <f t="shared" si="11"/>
        <v>319.61563862616885</v>
      </c>
      <c r="CD21" s="59">
        <f ca="1">AVERAGE(OFFSET($CC$3,0,0,'Données projet'!$E$12+1,1))-AVERAGE(OFFSET($H$3,0,0,'Données projet'!$E$12+1,1))</f>
        <v>201.36664523637006</v>
      </c>
      <c r="CE21" s="59">
        <f t="shared" si="40"/>
        <v>79.394119001888555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2.1</v>
      </c>
      <c r="CT21" s="12">
        <f>IF('Données projet'!$A$140&gt;35,CT20+CS21-DB20,IF(A21&lt;'Données projet'!$A$140,$CQ$205^A21,IF(A21='Données projet'!$A$140,'Données projet'!$B$140,CT20+CS21-DB20)))</f>
        <v>28.901764726506816</v>
      </c>
      <c r="CU21" s="17">
        <f>CT21*VLOOKUP('Données projet'!$B$13,Paramètres!$A$1:$I$89,3,0)*VLOOKUP('Données projet'!$B$13,Paramètres!$A$1:$I$89,5,0)</f>
        <v>26.150316724543362</v>
      </c>
      <c r="CV21" s="13">
        <f t="shared" si="41"/>
        <v>8.2420396752158016</v>
      </c>
      <c r="CW21" s="20">
        <f t="shared" si="13"/>
        <v>59.900020729580547</v>
      </c>
      <c r="CX21" s="59">
        <f t="shared" si="14"/>
        <v>353.23335406291386</v>
      </c>
      <c r="CY21" s="59">
        <f ca="1">AVERAGE(OFFSET($CX$3,0,0,'Données projet'!$E$13+1,1))-AVERAGE(OFFSET($H$3,0,0,'Données projet'!$E$13+1,1))</f>
        <v>282.08542131880455</v>
      </c>
      <c r="CZ21" s="59">
        <f t="shared" si="42"/>
        <v>174.27503468762325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4.75</v>
      </c>
      <c r="DO21" s="12">
        <f>IF('Données projet'!$A$166&gt;35,DO20+DN21-DW20,IF(A21&lt;'Données projet'!$A$166,$DL$205^A21,IF(A21='Données projet'!$A$166,'Données projet'!$B$166,DO20+DN21-DW20)))</f>
        <v>60.249194467085609</v>
      </c>
      <c r="DP21" s="17">
        <f>DO21*VLOOKUP('Données projet'!$B$14,Paramètres!$A$1:$I$89,3,0)*VLOOKUP('Données projet'!$B$14,Paramètres!$A$1:$I$89,5,0)</f>
        <v>48.874146551699845</v>
      </c>
      <c r="DQ21" s="13">
        <f t="shared" si="43"/>
        <v>14.32261883487562</v>
      </c>
      <c r="DR21" s="20">
        <f t="shared" si="16"/>
        <v>110.06769971495227</v>
      </c>
      <c r="DS21" s="59">
        <f t="shared" si="17"/>
        <v>403.40103304828557</v>
      </c>
      <c r="DT21" s="59">
        <f ca="1">AVERAGE(OFFSET($DS$3,0,0,'Données projet'!$E$14+1,1))-AVERAGE(OFFSET($H$3,0,0,'Données projet'!$E$14+1,1))</f>
        <v>235.31102883830971</v>
      </c>
      <c r="DU21" s="59">
        <f t="shared" si="44"/>
        <v>271.48630853790422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20.100000000000001</v>
      </c>
      <c r="N22" s="13">
        <f>IF('Données projet'!$A$36&gt;35,N21+M22-V21,IF(A22&lt;'Données projet'!$A$36,$K$205^A22,IF(A22='Données projet'!$A$36,'Données projet'!$B$36,N21+M22-V21)))</f>
        <v>207.89999999999998</v>
      </c>
      <c r="O22" s="13">
        <f>N22*VLOOKUP('Données projet'!$B$9,Paramètres!$A$1:$I$89,3,0)*VLOOKUP('Données projet'!$B$9,Paramètres!$A$1:$I$89,5,0)</f>
        <v>116.2161</v>
      </c>
      <c r="P22" s="13">
        <f t="shared" si="33"/>
        <v>30.790827813105789</v>
      </c>
      <c r="Q22" s="20">
        <f t="shared" si="2"/>
        <v>256.03706594115926</v>
      </c>
      <c r="R22" s="59">
        <f t="shared" si="0"/>
        <v>549.37039927449257</v>
      </c>
      <c r="S22" s="59">
        <f ca="1">AVERAGE(OFFSET($R$3,0,0,'Données projet'!$E$9+1,1))-AVERAGE(OFFSET($H$3,0,0,'Données projet'!$E$9+1,1))</f>
        <v>446.28010102877403</v>
      </c>
      <c r="T22" s="59">
        <f t="shared" si="34"/>
        <v>445.84011537290456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7.9</v>
      </c>
      <c r="AI22" s="13">
        <f>IF('Données projet'!$A$62&gt;35,AI21+AH22-AQ21,IF(A22&lt;'Données projet'!$A$62,$AF$205^A22,IF(A22='Données projet'!$A$62,'Données projet'!$B$62,AI21+AH22-AQ21)))</f>
        <v>122.66600817840934</v>
      </c>
      <c r="AJ22" s="13">
        <f>AI22*VLOOKUP('Données projet'!$B$10,Paramètres!$A$1:$I$89,3,0)*VLOOKUP('Données projet'!$B$10,Paramètres!$A$1:$I$89,5,0)</f>
        <v>57.407691827495569</v>
      </c>
      <c r="AK22" s="13">
        <f t="shared" si="35"/>
        <v>16.511176981334152</v>
      </c>
      <c r="AL22" s="20">
        <f t="shared" si="4"/>
        <v>128.7420298420451</v>
      </c>
      <c r="AM22" s="59">
        <f t="shared" si="5"/>
        <v>422.07536317537841</v>
      </c>
      <c r="AN22" s="59">
        <f ca="1">AVERAGE(OFFSET($AM$3,0,0,'Données projet'!$E$10+1,1))-AVERAGE(OFFSET($H$3,0,0,'Données projet'!$E$10+1,1))</f>
        <v>252.98248842635206</v>
      </c>
      <c r="AO22" s="59">
        <f t="shared" si="36"/>
        <v>207.11938580878308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1.2</v>
      </c>
      <c r="BD22" s="12">
        <f>IF('Données projet'!$A$88&gt;35,BD21+BC22-BL21,IF(A22&lt;'Données projet'!$A$88,$BA$205^A22,IF(A22='Données projet'!$A$88,'Données projet'!$B$88,BD21+BC22-BL21)))</f>
        <v>13.262095581124292</v>
      </c>
      <c r="BE22" s="13">
        <f>BD22*VLOOKUP('Données projet'!$B$11,Paramètres!$A$1:$I$89,3,0)*VLOOKUP('Données projet'!$B$11,Paramètres!$A$1:$I$89,5,0)</f>
        <v>8.6893250247526357</v>
      </c>
      <c r="BF22" s="13">
        <f t="shared" si="37"/>
        <v>3.113437355777982</v>
      </c>
      <c r="BG22" s="20">
        <f t="shared" si="7"/>
        <v>20.556477812757489</v>
      </c>
      <c r="BH22" s="59">
        <f t="shared" si="8"/>
        <v>313.88981114609078</v>
      </c>
      <c r="BI22" s="59">
        <f ca="1">AVERAGE(OFFSET($BH$3,0,0,'Données projet'!$E$11+1,1))-AVERAGE(OFFSET($H$3,0,0,'Données projet'!$E$11+1,1))</f>
        <v>114.23168847330004</v>
      </c>
      <c r="BJ22" s="59">
        <f t="shared" si="38"/>
        <v>42.34857998136755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1.2</v>
      </c>
      <c r="BY22" s="12">
        <f>IF('Données projet'!$A$114&gt;35,BY21+BX22-CG21,IF(A22&lt;'Données projet'!$A$114,$BV$205^A22,IF(A22='Données projet'!$A$114,'Données projet'!$B$114,BY21+BX22-CG21)))</f>
        <v>13.262095581124292</v>
      </c>
      <c r="BZ22" s="13">
        <f>BY22*VLOOKUP('Données projet'!$B$12,Paramètres!$A$1:$I$89,3,0)*VLOOKUP('Données projet'!$B$12,Paramètres!$A$1:$I$89,5,0)</f>
        <v>12.827098846063416</v>
      </c>
      <c r="CA22" s="13">
        <f t="shared" si="39"/>
        <v>4.3923238720390128</v>
      </c>
      <c r="CB22" s="20">
        <f t="shared" si="10"/>
        <v>29.990494567361733</v>
      </c>
      <c r="CC22" s="59">
        <f t="shared" si="11"/>
        <v>323.32382790069505</v>
      </c>
      <c r="CD22" s="59">
        <f ca="1">AVERAGE(OFFSET($CC$3,0,0,'Données projet'!$E$12+1,1))-AVERAGE(OFFSET($H$3,0,0,'Données projet'!$E$12+1,1))</f>
        <v>201.36664523637006</v>
      </c>
      <c r="CE22" s="59">
        <f t="shared" si="40"/>
        <v>79.394119001888555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2.1</v>
      </c>
      <c r="CT22" s="12">
        <f>IF('Données projet'!$A$140&gt;35,CT21+CS22-DB21,IF(A22&lt;'Données projet'!$A$140,$CQ$205^A22,IF(A22='Données projet'!$A$140,'Données projet'!$B$140,CT21+CS22-DB21)))</f>
        <v>34.840696297767764</v>
      </c>
      <c r="CU22" s="17">
        <f>CT22*VLOOKUP('Données projet'!$B$13,Paramètres!$A$1:$I$89,3,0)*VLOOKUP('Données projet'!$B$13,Paramètres!$A$1:$I$89,5,0)</f>
        <v>31.52386201022027</v>
      </c>
      <c r="CV22" s="13">
        <f t="shared" si="41"/>
        <v>9.7218710074397983</v>
      </c>
      <c r="CW22" s="20">
        <f t="shared" si="13"/>
        <v>71.836318339091292</v>
      </c>
      <c r="CX22" s="59">
        <f t="shared" si="14"/>
        <v>365.16965167242461</v>
      </c>
      <c r="CY22" s="59">
        <f ca="1">AVERAGE(OFFSET($CX$3,0,0,'Données projet'!$E$13+1,1))-AVERAGE(OFFSET($H$3,0,0,'Données projet'!$E$13+1,1))</f>
        <v>282.08542131880455</v>
      </c>
      <c r="CZ22" s="59">
        <f t="shared" si="42"/>
        <v>174.27503468762325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4.75</v>
      </c>
      <c r="DO22" s="12">
        <f>IF('Données projet'!$A$166&gt;35,DO21+DN22-DW21,IF(A22&lt;'Données projet'!$A$166,$DL$205^A22,IF(A22='Données projet'!$A$166,'Données projet'!$B$166,DO21+DN22-DW21)))</f>
        <v>75.65496331618381</v>
      </c>
      <c r="DP22" s="17">
        <f>DO22*VLOOKUP('Données projet'!$B$14,Paramètres!$A$1:$I$89,3,0)*VLOOKUP('Données projet'!$B$14,Paramètres!$A$1:$I$89,5,0)</f>
        <v>61.371306242088309</v>
      </c>
      <c r="DQ22" s="13">
        <f t="shared" si="43"/>
        <v>17.514520949652077</v>
      </c>
      <c r="DR22" s="20">
        <f t="shared" si="16"/>
        <v>137.39281569228118</v>
      </c>
      <c r="DS22" s="59">
        <f t="shared" si="17"/>
        <v>430.72614902561452</v>
      </c>
      <c r="DT22" s="59">
        <f ca="1">AVERAGE(OFFSET($DS$3,0,0,'Données projet'!$E$14+1,1))-AVERAGE(OFFSET($H$3,0,0,'Données projet'!$E$14+1,1))</f>
        <v>235.31102883830971</v>
      </c>
      <c r="DU22" s="59">
        <f t="shared" si="44"/>
        <v>271.48630853790422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228</v>
      </c>
      <c r="L23" s="12">
        <f>VLOOKUP(A23,'Données projet'!$A$35:$I$55,9,0)</f>
        <v>20.100000000000001</v>
      </c>
      <c r="M23" s="12">
        <f t="array" ref="M23">INDEX(L:L,MIN(IF(ISNUMBER(L23:L219),ROW(L23:L219),"")))</f>
        <v>20.100000000000001</v>
      </c>
      <c r="N23" s="13">
        <f>IF('Données projet'!$A$36&gt;35,N22+M23-V22,IF(A23&lt;'Données projet'!$A$36,$K$205^A23,IF(A23='Données projet'!$A$36,'Données projet'!$B$36,N22+M23-V22)))</f>
        <v>227.99999999999997</v>
      </c>
      <c r="O23" s="13">
        <f>N23*VLOOKUP('Données projet'!$B$9,Paramètres!$A$1:$I$89,3,0)*VLOOKUP('Données projet'!$B$9,Paramètres!$A$1:$I$89,5,0)</f>
        <v>127.452</v>
      </c>
      <c r="P23" s="13">
        <f t="shared" si="33"/>
        <v>33.406914773953936</v>
      </c>
      <c r="Q23" s="20">
        <f t="shared" si="2"/>
        <v>280.16260989796973</v>
      </c>
      <c r="R23" s="59">
        <f t="shared" si="0"/>
        <v>573.49594323130304</v>
      </c>
      <c r="S23" s="59">
        <f ca="1">AVERAGE(OFFSET($R$3,0,0,'Données projet'!$E$9+1,1))-AVERAGE(OFFSET($H$3,0,0,'Données projet'!$E$9+1,1))</f>
        <v>446.28010102877403</v>
      </c>
      <c r="T23" s="59">
        <f t="shared" si="34"/>
        <v>445.84011537290456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104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21.124811351536597</v>
      </c>
      <c r="AB23" s="21">
        <f>EXP(-LN(2)/2)*AB22+(1-EXP(-LN(2)/2))/(LN(2)/2)*V23*Y23*VLOOKUP('Données projet'!$B$9,Paramètres!$A$1:$I$89,3,0)*0.475*44/12</f>
        <v>32.911728424499309</v>
      </c>
      <c r="AC23" s="22">
        <f t="shared" si="3"/>
        <v>54.036539776035909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158</v>
      </c>
      <c r="AG23" s="12">
        <f>VLOOKUP(A23,'Données projet'!$A$61:$I$81,9,0)</f>
        <v>7.9</v>
      </c>
      <c r="AH23" s="12">
        <f t="array" ref="AH23">INDEX(AG:AG,MIN(IF(ISNUMBER(AG23:AG219),ROW(AG23:AG219),"")))</f>
        <v>7.9</v>
      </c>
      <c r="AI23" s="13">
        <f>IF('Données projet'!$A$62&gt;35,AI22+AH23-AQ22,IF(A23&lt;'Données projet'!$A$62,$AF$205^A23,IF(A23='Données projet'!$A$62,'Données projet'!$B$62,AI22+AH23-AQ22)))</f>
        <v>158</v>
      </c>
      <c r="AJ23" s="13">
        <f>AI23*VLOOKUP('Données projet'!$B$10,Paramètres!$A$1:$I$89,3,0)*VLOOKUP('Données projet'!$B$10,Paramètres!$A$1:$I$89,5,0)</f>
        <v>73.944000000000003</v>
      </c>
      <c r="AK23" s="13">
        <f t="shared" si="35"/>
        <v>20.649745460165708</v>
      </c>
      <c r="AL23" s="20">
        <f t="shared" si="4"/>
        <v>164.75077334312192</v>
      </c>
      <c r="AM23" s="59">
        <f t="shared" si="5"/>
        <v>458.08410667645524</v>
      </c>
      <c r="AN23" s="59">
        <f ca="1">AVERAGE(OFFSET($AM$3,0,0,'Données projet'!$E$10+1,1))-AVERAGE(OFFSET($H$3,0,0,'Données projet'!$E$10+1,1))</f>
        <v>252.98248842635206</v>
      </c>
      <c r="AO23" s="59">
        <f t="shared" si="36"/>
        <v>207.11938580878308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12.5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0.27500000000000002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2.1257077612234943</v>
      </c>
      <c r="AW23" s="21">
        <f>EXP(-LN(2)/2)*AW22+(1-EXP(-LN(2)/2))/(LN(2)/2)*AQ23*AT23*VLOOKUP('Données projet'!$B$10,Paramètres!$A$1:$I$89,3,0)*0.475*44/12</f>
        <v>3.3117794702649124</v>
      </c>
      <c r="AX23" s="21">
        <f t="shared" si="6"/>
        <v>5.4374872314884062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1.2</v>
      </c>
      <c r="BD23" s="12">
        <f>IF('Données projet'!$A$88&gt;35,BD22+BC23-BL22,IF(A23&lt;'Données projet'!$A$88,$BA$205^A23,IF(A23='Données projet'!$A$88,'Données projet'!$B$88,BD22+BC23-BL22)))</f>
        <v>15.194870523363559</v>
      </c>
      <c r="BE23" s="13">
        <f>BD23*VLOOKUP('Données projet'!$B$11,Paramètres!$A$1:$I$89,3,0)*VLOOKUP('Données projet'!$B$11,Paramètres!$A$1:$I$89,5,0)</f>
        <v>9.9556791669078049</v>
      </c>
      <c r="BF23" s="13">
        <f t="shared" si="37"/>
        <v>3.5111348179866151</v>
      </c>
      <c r="BG23" s="20">
        <f t="shared" si="7"/>
        <v>23.454701023691115</v>
      </c>
      <c r="BH23" s="59">
        <f t="shared" si="8"/>
        <v>316.78803435702446</v>
      </c>
      <c r="BI23" s="59">
        <f ca="1">AVERAGE(OFFSET($BH$3,0,0,'Données projet'!$E$11+1,1))-AVERAGE(OFFSET($H$3,0,0,'Données projet'!$E$11+1,1))</f>
        <v>114.23168847330004</v>
      </c>
      <c r="BJ23" s="59">
        <f t="shared" si="38"/>
        <v>42.34857998136755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1.2</v>
      </c>
      <c r="BY23" s="12">
        <f>IF('Données projet'!$A$114&gt;35,BY22+BX23-CG22,IF(A23&lt;'Données projet'!$A$114,$BV$205^A23,IF(A23='Données projet'!$A$114,'Données projet'!$B$114,BY22+BX23-CG22)))</f>
        <v>15.194870523363559</v>
      </c>
      <c r="BZ23" s="13">
        <f>BY23*VLOOKUP('Données projet'!$B$12,Paramètres!$A$1:$I$89,3,0)*VLOOKUP('Données projet'!$B$12,Paramètres!$A$1:$I$89,5,0)</f>
        <v>14.696478770197235</v>
      </c>
      <c r="CA23" s="13">
        <f t="shared" si="39"/>
        <v>4.9533809473858224</v>
      </c>
      <c r="CB23" s="20">
        <f t="shared" si="10"/>
        <v>34.223505674790481</v>
      </c>
      <c r="CC23" s="59">
        <f t="shared" si="11"/>
        <v>327.5568390081238</v>
      </c>
      <c r="CD23" s="59">
        <f ca="1">AVERAGE(OFFSET($CC$3,0,0,'Données projet'!$E$12+1,1))-AVERAGE(OFFSET($H$3,0,0,'Données projet'!$E$12+1,1))</f>
        <v>201.36664523637006</v>
      </c>
      <c r="CE23" s="59">
        <f t="shared" si="40"/>
        <v>79.394119001888555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42</v>
      </c>
      <c r="CR23" s="12">
        <f>VLOOKUP(A23,'Données projet'!$A$139:$I$159,9,0)</f>
        <v>2.1</v>
      </c>
      <c r="CS23" s="12">
        <f t="array" ref="CS23">INDEX(CR:CR,MIN(IF(ISNUMBER(CR23:CR219),ROW(CR23:CR219),"")))</f>
        <v>2.1</v>
      </c>
      <c r="CT23" s="12">
        <f>IF('Données projet'!$A$140&gt;35,CT22+CS23-DB22,IF(A23&lt;'Données projet'!$A$140,$CQ$205^A23,IF(A23='Données projet'!$A$140,'Données projet'!$B$140,CT22+CS23-DB22)))</f>
        <v>42</v>
      </c>
      <c r="CU23" s="17">
        <f>CT23*VLOOKUP('Données projet'!$B$13,Paramètres!$A$1:$I$89,3,0)*VLOOKUP('Données projet'!$B$13,Paramètres!$A$1:$I$89,5,0)</f>
        <v>38.001600000000003</v>
      </c>
      <c r="CV23" s="13">
        <f t="shared" si="41"/>
        <v>11.467401227090512</v>
      </c>
      <c r="CW23" s="20">
        <f t="shared" si="13"/>
        <v>86.158510470515978</v>
      </c>
      <c r="CX23" s="59">
        <f t="shared" si="14"/>
        <v>379.49184380384929</v>
      </c>
      <c r="CY23" s="59">
        <f ca="1">AVERAGE(OFFSET($CX$3,0,0,'Données projet'!$E$13+1,1))-AVERAGE(OFFSET($H$3,0,0,'Données projet'!$E$13+1,1))</f>
        <v>282.08542131880455</v>
      </c>
      <c r="CZ23" s="59">
        <f t="shared" si="42"/>
        <v>174.27503468762325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95</v>
      </c>
      <c r="DM23" s="12">
        <f>VLOOKUP(A23,'Données projet'!$A$165:$I$185,9,0)</f>
        <v>4.75</v>
      </c>
      <c r="DN23" s="12">
        <f t="array" ref="DN23">INDEX(DM:DM,MIN(IF(ISNUMBER(DM23:DM219),ROW(DM23:DM219),"")))</f>
        <v>4.75</v>
      </c>
      <c r="DO23" s="12">
        <f>IF('Données projet'!$A$166&gt;35,DO22+DN23-DW22,IF(A23&lt;'Données projet'!$A$166,$DL$205^A23,IF(A23='Données projet'!$A$166,'Données projet'!$B$166,DO22+DN23-DW22)))</f>
        <v>95</v>
      </c>
      <c r="DP23" s="17">
        <f>DO23*VLOOKUP('Données projet'!$B$14,Paramètres!$A$1:$I$89,3,0)*VLOOKUP('Données projet'!$B$14,Paramètres!$A$1:$I$89,5,0)</f>
        <v>77.064000000000007</v>
      </c>
      <c r="DQ23" s="13">
        <f t="shared" si="43"/>
        <v>21.417762186678065</v>
      </c>
      <c r="DR23" s="20">
        <f t="shared" si="16"/>
        <v>171.52240247513097</v>
      </c>
      <c r="DS23" s="59">
        <f t="shared" si="17"/>
        <v>464.85573580846426</v>
      </c>
      <c r="DT23" s="59">
        <f ca="1">AVERAGE(OFFSET($DS$3,0,0,'Données projet'!$E$14+1,1))-AVERAGE(OFFSET($H$3,0,0,'Données projet'!$E$14+1,1))</f>
        <v>235.31102883830971</v>
      </c>
      <c r="DU23" s="59">
        <f t="shared" si="44"/>
        <v>271.48630853790422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43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27.5</v>
      </c>
      <c r="N24" s="13">
        <f>IF('Données projet'!$A$36&gt;35,N23+M24-V23,IF(A24&lt;'Données projet'!$A$36,$K$205^A24,IF(A24='Données projet'!$A$36,'Données projet'!$B$36,N23+M24-V23)))</f>
        <v>151.49999999999997</v>
      </c>
      <c r="O24" s="13">
        <f>N24*VLOOKUP('Données projet'!$B$9,Paramètres!$A$1:$I$89,3,0)*VLOOKUP('Données projet'!$B$9,Paramètres!$A$1:$I$89,5,0)</f>
        <v>84.688499999999976</v>
      </c>
      <c r="P24" s="13">
        <f t="shared" si="33"/>
        <v>23.279719368585155</v>
      </c>
      <c r="Q24" s="20">
        <f t="shared" si="2"/>
        <v>188.04464873361908</v>
      </c>
      <c r="R24" s="59">
        <f t="shared" si="0"/>
        <v>481.37798206695243</v>
      </c>
      <c r="S24" s="59">
        <f ca="1">AVERAGE(OFFSET($R$3,0,0,'Données projet'!$E$9+1,1))-AVERAGE(OFFSET($H$3,0,0,'Données projet'!$E$9+1,1))</f>
        <v>446.28010102877403</v>
      </c>
      <c r="T24" s="59">
        <f t="shared" si="34"/>
        <v>445.84011537290456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20.547152274223279</v>
      </c>
      <c r="AB24" s="21">
        <f>EXP(-LN(2)/2)*AB23+(1-EXP(-LN(2)/2))/(LN(2)/2)*V24*Y24*VLOOKUP('Données projet'!$B$9,Paramètres!$A$1:$I$89,3,0)*0.475*44/12</f>
        <v>23.272106349533512</v>
      </c>
      <c r="AC24" s="22">
        <f t="shared" si="3"/>
        <v>43.819258623756795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9.1999999999999993</v>
      </c>
      <c r="AI24" s="13">
        <f>IF('Données projet'!$A$62&gt;35,AI23+AH24-AQ23,IF(A24&lt;'Données projet'!$A$62,$AF$205^A24,IF(A24='Données projet'!$A$62,'Données projet'!$B$62,AI23+AH24-AQ23)))</f>
        <v>154.69999999999999</v>
      </c>
      <c r="AJ24" s="13">
        <f>AI24*VLOOKUP('Données projet'!$B$10,Paramètres!$A$1:$I$89,3,0)*VLOOKUP('Données projet'!$B$10,Paramètres!$A$1:$I$89,5,0)</f>
        <v>72.399599999999992</v>
      </c>
      <c r="AK24" s="13">
        <f t="shared" si="35"/>
        <v>20.268188832715463</v>
      </c>
      <c r="AL24" s="20">
        <f t="shared" si="4"/>
        <v>161.3963988836461</v>
      </c>
      <c r="AM24" s="59">
        <f t="shared" si="5"/>
        <v>454.72973221697941</v>
      </c>
      <c r="AN24" s="59">
        <f ca="1">AVERAGE(OFFSET($AM$3,0,0,'Données projet'!$E$10+1,1))-AVERAGE(OFFSET($H$3,0,0,'Données projet'!$E$10+1,1))</f>
        <v>252.98248842635206</v>
      </c>
      <c r="AO24" s="59">
        <f t="shared" si="36"/>
        <v>207.11938580878308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2.0675801707067252</v>
      </c>
      <c r="AW24" s="21">
        <f>EXP(-LN(2)/2)*AW23+(1-EXP(-LN(2)/2))/(LN(2)/2)*AQ24*AT24*VLOOKUP('Données projet'!$B$10,Paramètres!$A$1:$I$89,3,0)*0.475*44/12</f>
        <v>2.341781721218712</v>
      </c>
      <c r="AX24" s="21">
        <f t="shared" si="6"/>
        <v>4.4093618919254371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1.2</v>
      </c>
      <c r="BD24" s="12">
        <f>IF('Données projet'!$A$88&gt;35,BD23+BC24-BL23,IF(A24&lt;'Données projet'!$A$88,$BA$205^A24,IF(A24='Données projet'!$A$88,'Données projet'!$B$88,BD23+BC24-BL23)))</f>
        <v>17.409321838276906</v>
      </c>
      <c r="BE24" s="13">
        <f>BD24*VLOOKUP('Données projet'!$B$11,Paramètres!$A$1:$I$89,3,0)*VLOOKUP('Données projet'!$B$11,Paramètres!$A$1:$I$89,5,0)</f>
        <v>11.406587668439029</v>
      </c>
      <c r="BF24" s="13">
        <f t="shared" si="37"/>
        <v>3.9596324901797719</v>
      </c>
      <c r="BG24" s="20">
        <f t="shared" si="7"/>
        <v>26.762833442927743</v>
      </c>
      <c r="BH24" s="59">
        <f t="shared" si="8"/>
        <v>320.09616677626104</v>
      </c>
      <c r="BI24" s="59">
        <f ca="1">AVERAGE(OFFSET($BH$3,0,0,'Données projet'!$E$11+1,1))-AVERAGE(OFFSET($H$3,0,0,'Données projet'!$E$11+1,1))</f>
        <v>114.23168847330004</v>
      </c>
      <c r="BJ24" s="59">
        <f t="shared" si="38"/>
        <v>42.34857998136755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1.2</v>
      </c>
      <c r="BY24" s="12">
        <f>IF('Données projet'!$A$114&gt;35,BY23+BX24-CG23,IF(A24&lt;'Données projet'!$A$114,$BV$205^A24,IF(A24='Données projet'!$A$114,'Données projet'!$B$114,BY23+BX24-CG23)))</f>
        <v>17.409321838276906</v>
      </c>
      <c r="BZ24" s="13">
        <f>BY24*VLOOKUP('Données projet'!$B$12,Paramètres!$A$1:$I$89,3,0)*VLOOKUP('Données projet'!$B$12,Paramètres!$A$1:$I$89,5,0)</f>
        <v>16.838296081981426</v>
      </c>
      <c r="CA24" s="13">
        <f t="shared" si="39"/>
        <v>5.5861051062554639</v>
      </c>
      <c r="CB24" s="20">
        <f t="shared" si="10"/>
        <v>39.055832069512576</v>
      </c>
      <c r="CC24" s="59">
        <f t="shared" si="11"/>
        <v>332.38916540284589</v>
      </c>
      <c r="CD24" s="59">
        <f ca="1">AVERAGE(OFFSET($CC$3,0,0,'Données projet'!$E$12+1,1))-AVERAGE(OFFSET($H$3,0,0,'Données projet'!$E$12+1,1))</f>
        <v>201.36664523637006</v>
      </c>
      <c r="CE24" s="59">
        <f t="shared" si="40"/>
        <v>79.394119001888555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6.4</v>
      </c>
      <c r="CT24" s="12">
        <f>IF('Données projet'!$A$140&gt;35,CT23+CS24-DB23,IF(A24&lt;'Données projet'!$A$140,$CQ$205^A24,IF(A24='Données projet'!$A$140,'Données projet'!$B$140,CT23+CS24-DB23)))</f>
        <v>48.4</v>
      </c>
      <c r="CU24" s="17">
        <f>CT24*VLOOKUP('Données projet'!$B$13,Paramètres!$A$1:$I$89,3,0)*VLOOKUP('Données projet'!$B$13,Paramètres!$A$1:$I$89,5,0)</f>
        <v>43.792319999999997</v>
      </c>
      <c r="CV24" s="13">
        <f t="shared" si="41"/>
        <v>12.998441879453264</v>
      </c>
      <c r="CW24" s="20">
        <f t="shared" si="13"/>
        <v>98.910576940047747</v>
      </c>
      <c r="CX24" s="59">
        <f t="shared" si="14"/>
        <v>392.24391027338106</v>
      </c>
      <c r="CY24" s="59">
        <f ca="1">AVERAGE(OFFSET($CX$3,0,0,'Données projet'!$E$13+1,1))-AVERAGE(OFFSET($H$3,0,0,'Données projet'!$E$13+1,1))</f>
        <v>282.08542131880455</v>
      </c>
      <c r="CZ24" s="59">
        <f t="shared" si="42"/>
        <v>174.27503468762325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12.2</v>
      </c>
      <c r="DO24" s="12">
        <f>IF('Données projet'!$A$166&gt;35,DO23+DN24-DW23,IF(A24&lt;'Données projet'!$A$166,$DL$205^A24,IF(A24='Données projet'!$A$166,'Données projet'!$B$166,DO23+DN24-DW23)))</f>
        <v>64.2</v>
      </c>
      <c r="DP24" s="17">
        <f>DO24*VLOOKUP('Données projet'!$B$14,Paramètres!$A$1:$I$89,3,0)*VLOOKUP('Données projet'!$B$14,Paramètres!$A$1:$I$89,5,0)</f>
        <v>52.079039999999999</v>
      </c>
      <c r="DQ24" s="13">
        <f t="shared" si="43"/>
        <v>15.149401133573162</v>
      </c>
      <c r="DR24" s="20">
        <f t="shared" si="16"/>
        <v>117.08953497430657</v>
      </c>
      <c r="DS24" s="59">
        <f t="shared" si="17"/>
        <v>410.42286830763987</v>
      </c>
      <c r="DT24" s="59">
        <f ca="1">AVERAGE(OFFSET($DS$3,0,0,'Données projet'!$E$14+1,1))-AVERAGE(OFFSET($H$3,0,0,'Données projet'!$E$14+1,1))</f>
        <v>235.31102883830971</v>
      </c>
      <c r="DU24" s="59">
        <f t="shared" si="44"/>
        <v>271.48630853790422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27.5</v>
      </c>
      <c r="N25" s="13">
        <f>IF('Données projet'!$A$36&gt;35,N24+M25-V24,IF(A25&lt;'Données projet'!$A$36,$K$205^A25,IF(A25='Données projet'!$A$36,'Données projet'!$B$36,N24+M25-V24)))</f>
        <v>178.99999999999997</v>
      </c>
      <c r="O25" s="13">
        <f>N25*VLOOKUP('Données projet'!$B$9,Paramètres!$A$1:$I$89,3,0)*VLOOKUP('Données projet'!$B$9,Paramètres!$A$1:$I$89,5,0)</f>
        <v>100.06099999999998</v>
      </c>
      <c r="P25" s="13">
        <f t="shared" si="33"/>
        <v>26.976529441369074</v>
      </c>
      <c r="Q25" s="20">
        <f t="shared" si="2"/>
        <v>221.25703044371778</v>
      </c>
      <c r="R25" s="59">
        <f t="shared" si="0"/>
        <v>514.59036377705115</v>
      </c>
      <c r="S25" s="59">
        <f ca="1">AVERAGE(OFFSET($R$3,0,0,'Données projet'!$E$9+1,1))-AVERAGE(OFFSET($H$3,0,0,'Données projet'!$E$9+1,1))</f>
        <v>446.28010102877403</v>
      </c>
      <c r="T25" s="59">
        <f t="shared" si="34"/>
        <v>445.84011537290456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19.985289314756866</v>
      </c>
      <c r="AB25" s="21">
        <f>EXP(-LN(2)/2)*AB24+(1-EXP(-LN(2)/2))/(LN(2)/2)*V25*Y25*VLOOKUP('Données projet'!$B$9,Paramètres!$A$1:$I$89,3,0)*0.475*44/12</f>
        <v>16.455864212249658</v>
      </c>
      <c r="AC25" s="22">
        <f t="shared" si="3"/>
        <v>36.44115352700652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9.1999999999999993</v>
      </c>
      <c r="AI25" s="13">
        <f>IF('Données projet'!$A$62&gt;35,AI24+AH25-AQ24,IF(A25&lt;'Données projet'!$A$62,$AF$205^A25,IF(A25='Données projet'!$A$62,'Données projet'!$B$62,AI24+AH25-AQ24)))</f>
        <v>163.89999999999998</v>
      </c>
      <c r="AJ25" s="13">
        <f>AI25*VLOOKUP('Données projet'!$B$10,Paramètres!$A$1:$I$89,3,0)*VLOOKUP('Données projet'!$B$10,Paramètres!$A$1:$I$89,5,0)</f>
        <v>76.705199999999991</v>
      </c>
      <c r="AK25" s="13">
        <f t="shared" si="35"/>
        <v>21.32962715676695</v>
      </c>
      <c r="AL25" s="20">
        <f t="shared" si="4"/>
        <v>170.74399063136909</v>
      </c>
      <c r="AM25" s="59">
        <f t="shared" si="5"/>
        <v>464.07732396470237</v>
      </c>
      <c r="AN25" s="59">
        <f ca="1">AVERAGE(OFFSET($AM$3,0,0,'Données projet'!$E$10+1,1))-AVERAGE(OFFSET($H$3,0,0,'Données projet'!$E$10+1,1))</f>
        <v>252.98248842635206</v>
      </c>
      <c r="AO25" s="59">
        <f t="shared" si="36"/>
        <v>207.11938580878308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2.0110420822094341</v>
      </c>
      <c r="AW25" s="21">
        <f>EXP(-LN(2)/2)*AW24+(1-EXP(-LN(2)/2))/(LN(2)/2)*AQ25*AT25*VLOOKUP('Données projet'!$B$10,Paramètres!$A$1:$I$89,3,0)*0.475*44/12</f>
        <v>1.6558897351324564</v>
      </c>
      <c r="AX25" s="21">
        <f t="shared" si="6"/>
        <v>3.6669318173418906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1.2</v>
      </c>
      <c r="BD25" s="12">
        <f>IF('Données projet'!$A$88&gt;35,BD24+BC25-BL24,IF(A25&lt;'Données projet'!$A$88,$BA$205^A25,IF(A25='Données projet'!$A$88,'Données projet'!$B$88,BD24+BC25-BL24)))</f>
        <v>19.946500129940819</v>
      </c>
      <c r="BE25" s="13">
        <f>BD25*VLOOKUP('Données projet'!$B$11,Paramètres!$A$1:$I$89,3,0)*VLOOKUP('Données projet'!$B$11,Paramètres!$A$1:$I$89,5,0)</f>
        <v>13.068946885137226</v>
      </c>
      <c r="BF25" s="13">
        <f t="shared" si="37"/>
        <v>4.4654193786491714</v>
      </c>
      <c r="BG25" s="20">
        <f t="shared" si="7"/>
        <v>30.539021242761304</v>
      </c>
      <c r="BH25" s="59">
        <f t="shared" si="8"/>
        <v>323.87235457609461</v>
      </c>
      <c r="BI25" s="59">
        <f ca="1">AVERAGE(OFFSET($BH$3,0,0,'Données projet'!$E$11+1,1))-AVERAGE(OFFSET($H$3,0,0,'Données projet'!$E$11+1,1))</f>
        <v>114.23168847330004</v>
      </c>
      <c r="BJ25" s="59">
        <f t="shared" si="38"/>
        <v>42.34857998136755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1.2</v>
      </c>
      <c r="BY25" s="12">
        <f>IF('Données projet'!$A$114&gt;35,BY24+BX25-CG24,IF(A25&lt;'Données projet'!$A$114,$BV$205^A25,IF(A25='Données projet'!$A$114,'Données projet'!$B$114,BY24+BX25-CG24)))</f>
        <v>19.946500129940819</v>
      </c>
      <c r="BZ25" s="13">
        <f>BY25*VLOOKUP('Données projet'!$B$12,Paramètres!$A$1:$I$89,3,0)*VLOOKUP('Données projet'!$B$12,Paramètres!$A$1:$I$89,5,0)</f>
        <v>19.292254925678762</v>
      </c>
      <c r="CA25" s="13">
        <f t="shared" si="39"/>
        <v>6.2996508020651527</v>
      </c>
      <c r="CB25" s="20">
        <f t="shared" si="10"/>
        <v>44.572569142487318</v>
      </c>
      <c r="CC25" s="59">
        <f t="shared" si="11"/>
        <v>337.90590247582065</v>
      </c>
      <c r="CD25" s="59">
        <f ca="1">AVERAGE(OFFSET($CC$3,0,0,'Données projet'!$E$12+1,1))-AVERAGE(OFFSET($H$3,0,0,'Données projet'!$E$12+1,1))</f>
        <v>201.36664523637006</v>
      </c>
      <c r="CE25" s="59">
        <f t="shared" si="40"/>
        <v>79.394119001888555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6.4</v>
      </c>
      <c r="CT25" s="12">
        <f>IF('Données projet'!$A$140&gt;35,CT24+CS25-DB24,IF(A25&lt;'Données projet'!$A$140,$CQ$205^A25,IF(A25='Données projet'!$A$140,'Données projet'!$B$140,CT24+CS25-DB24)))</f>
        <v>54.8</v>
      </c>
      <c r="CU25" s="17">
        <f>CT25*VLOOKUP('Données projet'!$B$13,Paramètres!$A$1:$I$89,3,0)*VLOOKUP('Données projet'!$B$13,Paramètres!$A$1:$I$89,5,0)</f>
        <v>49.583039999999997</v>
      </c>
      <c r="CV25" s="13">
        <f t="shared" si="41"/>
        <v>14.506025499871168</v>
      </c>
      <c r="CW25" s="20">
        <f t="shared" si="13"/>
        <v>111.62178907894229</v>
      </c>
      <c r="CX25" s="59">
        <f t="shared" si="14"/>
        <v>404.95512241227561</v>
      </c>
      <c r="CY25" s="59">
        <f ca="1">AVERAGE(OFFSET($CX$3,0,0,'Données projet'!$E$13+1,1))-AVERAGE(OFFSET($H$3,0,0,'Données projet'!$E$13+1,1))</f>
        <v>282.08542131880455</v>
      </c>
      <c r="CZ25" s="59">
        <f t="shared" si="42"/>
        <v>174.27503468762325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12.2</v>
      </c>
      <c r="DO25" s="12">
        <f>IF('Données projet'!$A$166&gt;35,DO24+DN25-DW24,IF(A25&lt;'Données projet'!$A$166,$DL$205^A25,IF(A25='Données projet'!$A$166,'Données projet'!$B$166,DO24+DN25-DW24)))</f>
        <v>76.400000000000006</v>
      </c>
      <c r="DP25" s="17">
        <f>DO25*VLOOKUP('Données projet'!$B$14,Paramètres!$A$1:$I$89,3,0)*VLOOKUP('Données projet'!$B$14,Paramètres!$A$1:$I$89,5,0)</f>
        <v>61.975680000000004</v>
      </c>
      <c r="DQ25" s="13">
        <f t="shared" si="43"/>
        <v>17.666837160010601</v>
      </c>
      <c r="DR25" s="20">
        <f t="shared" si="16"/>
        <v>138.71071738701849</v>
      </c>
      <c r="DS25" s="59">
        <f t="shared" si="17"/>
        <v>432.04405072035183</v>
      </c>
      <c r="DT25" s="59">
        <f ca="1">AVERAGE(OFFSET($DS$3,0,0,'Données projet'!$E$14+1,1))-AVERAGE(OFFSET($H$3,0,0,'Données projet'!$E$14+1,1))</f>
        <v>235.31102883830971</v>
      </c>
      <c r="DU25" s="59">
        <f t="shared" si="44"/>
        <v>271.48630853790422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27.5</v>
      </c>
      <c r="N26" s="13">
        <f>IF('Données projet'!$A$36&gt;35,N25+M26-V25,IF(A26&lt;'Données projet'!$A$36,$K$205^A26,IF(A26='Données projet'!$A$36,'Données projet'!$B$36,N25+M26-V25)))</f>
        <v>206.49999999999997</v>
      </c>
      <c r="O26" s="13">
        <f>N26*VLOOKUP('Données projet'!$B$9,Paramètres!$A$1:$I$89,3,0)*VLOOKUP('Données projet'!$B$9,Paramètres!$A$1:$I$89,5,0)</f>
        <v>115.43349999999998</v>
      </c>
      <c r="P26" s="13">
        <f t="shared" si="33"/>
        <v>30.60754521964256</v>
      </c>
      <c r="Q26" s="20">
        <f t="shared" si="2"/>
        <v>254.35482042421077</v>
      </c>
      <c r="R26" s="59">
        <f t="shared" si="0"/>
        <v>547.68815375754411</v>
      </c>
      <c r="S26" s="59">
        <f ca="1">AVERAGE(OFFSET($R$3,0,0,'Données projet'!$E$9+1,1))-AVERAGE(OFFSET($H$3,0,0,'Données projet'!$E$9+1,1))</f>
        <v>446.28010102877403</v>
      </c>
      <c r="T26" s="59">
        <f t="shared" si="34"/>
        <v>445.84011537290456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19.43879052746415</v>
      </c>
      <c r="AB26" s="21">
        <f>EXP(-LN(2)/2)*AB25+(1-EXP(-LN(2)/2))/(LN(2)/2)*V26*Y26*VLOOKUP('Données projet'!$B$9,Paramètres!$A$1:$I$89,3,0)*0.475*44/12</f>
        <v>11.636053174766758</v>
      </c>
      <c r="AC26" s="22">
        <f t="shared" si="3"/>
        <v>31.074843702230908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9.1999999999999993</v>
      </c>
      <c r="AI26" s="13">
        <f>IF('Données projet'!$A$62&gt;35,AI25+AH26-AQ25,IF(A26&lt;'Données projet'!$A$62,$AF$205^A26,IF(A26='Données projet'!$A$62,'Données projet'!$B$62,AI25+AH26-AQ25)))</f>
        <v>173.09999999999997</v>
      </c>
      <c r="AJ26" s="13">
        <f>AI26*VLOOKUP('Données projet'!$B$10,Paramètres!$A$1:$I$89,3,0)*VLOOKUP('Données projet'!$B$10,Paramètres!$A$1:$I$89,5,0)</f>
        <v>81.010799999999989</v>
      </c>
      <c r="AK26" s="13">
        <f t="shared" si="35"/>
        <v>22.384149091932141</v>
      </c>
      <c r="AL26" s="20">
        <f t="shared" si="4"/>
        <v>180.07953633511511</v>
      </c>
      <c r="AM26" s="59">
        <f t="shared" si="5"/>
        <v>473.41286966844842</v>
      </c>
      <c r="AN26" s="59">
        <f ca="1">AVERAGE(OFFSET($AM$3,0,0,'Données projet'!$E$10+1,1))-AVERAGE(OFFSET($H$3,0,0,'Données projet'!$E$10+1,1))</f>
        <v>252.98248842635206</v>
      </c>
      <c r="AO26" s="59">
        <f t="shared" si="36"/>
        <v>207.11938580878308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1.9560500307153104</v>
      </c>
      <c r="AW26" s="21">
        <f>EXP(-LN(2)/2)*AW25+(1-EXP(-LN(2)/2))/(LN(2)/2)*AQ26*AT26*VLOOKUP('Données projet'!$B$10,Paramètres!$A$1:$I$89,3,0)*0.475*44/12</f>
        <v>1.170890860609356</v>
      </c>
      <c r="AX26" s="21">
        <f t="shared" si="6"/>
        <v>3.1269408913246663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1.2</v>
      </c>
      <c r="BD26" s="12">
        <f>IF('Données projet'!$A$88&gt;35,BD25+BC26-BL25,IF(A26&lt;'Données projet'!$A$88,$BA$205^A26,IF(A26='Données projet'!$A$88,'Données projet'!$B$88,BD25+BC26-BL25)))</f>
        <v>22.853438584779923</v>
      </c>
      <c r="BE26" s="13">
        <f>BD26*VLOOKUP('Données projet'!$B$11,Paramètres!$A$1:$I$89,3,0)*VLOOKUP('Données projet'!$B$11,Paramètres!$A$1:$I$89,5,0)</f>
        <v>14.973572960747806</v>
      </c>
      <c r="BF26" s="13">
        <f t="shared" si="37"/>
        <v>5.0358133682023265</v>
      </c>
      <c r="BG26" s="20">
        <f t="shared" si="7"/>
        <v>34.849681189588146</v>
      </c>
      <c r="BH26" s="59">
        <f t="shared" si="8"/>
        <v>328.18301452292144</v>
      </c>
      <c r="BI26" s="59">
        <f ca="1">AVERAGE(OFFSET($BH$3,0,0,'Données projet'!$E$11+1,1))-AVERAGE(OFFSET($H$3,0,0,'Données projet'!$E$11+1,1))</f>
        <v>114.23168847330004</v>
      </c>
      <c r="BJ26" s="59">
        <f t="shared" si="38"/>
        <v>42.34857998136755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1.2</v>
      </c>
      <c r="BY26" s="12">
        <f>IF('Données projet'!$A$114&gt;35,BY25+BX26-CG25,IF(A26&lt;'Données projet'!$A$114,$BV$205^A26,IF(A26='Données projet'!$A$114,'Données projet'!$B$114,BY25+BX26-CG25)))</f>
        <v>22.853438584779923</v>
      </c>
      <c r="BZ26" s="13">
        <f>BY26*VLOOKUP('Données projet'!$B$12,Paramètres!$A$1:$I$89,3,0)*VLOOKUP('Données projet'!$B$12,Paramètres!$A$1:$I$89,5,0)</f>
        <v>22.103845799199142</v>
      </c>
      <c r="CA26" s="13">
        <f t="shared" si="39"/>
        <v>7.1043418398123555</v>
      </c>
      <c r="CB26" s="20">
        <f t="shared" si="10"/>
        <v>50.870926804611692</v>
      </c>
      <c r="CC26" s="59">
        <f t="shared" si="11"/>
        <v>344.20426013794503</v>
      </c>
      <c r="CD26" s="59">
        <f ca="1">AVERAGE(OFFSET($CC$3,0,0,'Données projet'!$E$12+1,1))-AVERAGE(OFFSET($H$3,0,0,'Données projet'!$E$12+1,1))</f>
        <v>201.36664523637006</v>
      </c>
      <c r="CE26" s="59">
        <f t="shared" si="40"/>
        <v>79.394119001888555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6.4</v>
      </c>
      <c r="CT26" s="12">
        <f>IF('Données projet'!$A$140&gt;35,CT25+CS26-DB25,IF(A26&lt;'Données projet'!$A$140,$CQ$205^A26,IF(A26='Données projet'!$A$140,'Données projet'!$B$140,CT25+CS26-DB25)))</f>
        <v>61.199999999999996</v>
      </c>
      <c r="CU26" s="17">
        <f>CT26*VLOOKUP('Données projet'!$B$13,Paramètres!$A$1:$I$89,3,0)*VLOOKUP('Données projet'!$B$13,Paramètres!$A$1:$I$89,5,0)</f>
        <v>55.373759999999997</v>
      </c>
      <c r="CV26" s="13">
        <f t="shared" si="41"/>
        <v>15.993204545316377</v>
      </c>
      <c r="CW26" s="20">
        <f t="shared" si="13"/>
        <v>124.29746324975936</v>
      </c>
      <c r="CX26" s="59">
        <f t="shared" si="14"/>
        <v>417.63079658309266</v>
      </c>
      <c r="CY26" s="59">
        <f ca="1">AVERAGE(OFFSET($CX$3,0,0,'Données projet'!$E$13+1,1))-AVERAGE(OFFSET($H$3,0,0,'Données projet'!$E$13+1,1))</f>
        <v>282.08542131880455</v>
      </c>
      <c r="CZ26" s="59">
        <f t="shared" si="42"/>
        <v>174.27503468762325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12.2</v>
      </c>
      <c r="DO26" s="12">
        <f>IF('Données projet'!$A$166&gt;35,DO25+DN26-DW25,IF(A26&lt;'Données projet'!$A$166,$DL$205^A26,IF(A26='Données projet'!$A$166,'Données projet'!$B$166,DO25+DN26-DW25)))</f>
        <v>88.600000000000009</v>
      </c>
      <c r="DP26" s="17">
        <f>DO26*VLOOKUP('Données projet'!$B$14,Paramètres!$A$1:$I$89,3,0)*VLOOKUP('Données projet'!$B$14,Paramètres!$A$1:$I$89,5,0)</f>
        <v>71.872320000000002</v>
      </c>
      <c r="DQ26" s="13">
        <f t="shared" si="43"/>
        <v>20.137703912312322</v>
      </c>
      <c r="DR26" s="20">
        <f t="shared" si="16"/>
        <v>160.25079164727728</v>
      </c>
      <c r="DS26" s="59">
        <f t="shared" si="17"/>
        <v>453.58412498061057</v>
      </c>
      <c r="DT26" s="59">
        <f ca="1">AVERAGE(OFFSET($DS$3,0,0,'Données projet'!$E$14+1,1))-AVERAGE(OFFSET($H$3,0,0,'Données projet'!$E$14+1,1))</f>
        <v>235.31102883830971</v>
      </c>
      <c r="DU26" s="59">
        <f t="shared" si="44"/>
        <v>271.48630853790422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27.5</v>
      </c>
      <c r="N27" s="13">
        <f>IF('Données projet'!$A$36&gt;35,N26+M27-V26,IF(A27&lt;'Données projet'!$A$36,$K$205^A27,IF(A27='Données projet'!$A$36,'Données projet'!$B$36,N26+M27-V26)))</f>
        <v>233.99999999999997</v>
      </c>
      <c r="O27" s="13">
        <f>N27*VLOOKUP('Données projet'!$B$9,Paramètres!$A$1:$I$89,3,0)*VLOOKUP('Données projet'!$B$9,Paramètres!$A$1:$I$89,5,0)</f>
        <v>130.80599999999998</v>
      </c>
      <c r="P27" s="13">
        <f t="shared" si="33"/>
        <v>34.182535218254536</v>
      </c>
      <c r="Q27" s="20">
        <f t="shared" si="2"/>
        <v>287.35503217179325</v>
      </c>
      <c r="R27" s="59">
        <f t="shared" si="0"/>
        <v>580.68836550512651</v>
      </c>
      <c r="S27" s="59">
        <f ca="1">AVERAGE(OFFSET($R$3,0,0,'Données projet'!$E$9+1,1))-AVERAGE(OFFSET($H$3,0,0,'Données projet'!$E$9+1,1))</f>
        <v>446.28010102877403</v>
      </c>
      <c r="T27" s="59">
        <f t="shared" si="34"/>
        <v>445.84011537290456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18.907235778249078</v>
      </c>
      <c r="AB27" s="21">
        <f>EXP(-LN(2)/2)*AB26+(1-EXP(-LN(2)/2))/(LN(2)/2)*V27*Y27*VLOOKUP('Données projet'!$B$9,Paramètres!$A$1:$I$89,3,0)*0.475*44/12</f>
        <v>8.2279321061248307</v>
      </c>
      <c r="AC27" s="22">
        <f t="shared" si="3"/>
        <v>27.135167884373907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9.1999999999999993</v>
      </c>
      <c r="AI27" s="13">
        <f>IF('Données projet'!$A$62&gt;35,AI26+AH27-AQ26,IF(A27&lt;'Données projet'!$A$62,$AF$205^A27,IF(A27='Données projet'!$A$62,'Données projet'!$B$62,AI26+AH27-AQ26)))</f>
        <v>182.29999999999995</v>
      </c>
      <c r="AJ27" s="13">
        <f>AI27*VLOOKUP('Données projet'!$B$10,Paramètres!$A$1:$I$89,3,0)*VLOOKUP('Données projet'!$B$10,Paramètres!$A$1:$I$89,5,0)</f>
        <v>85.316399999999987</v>
      </c>
      <c r="AK27" s="13">
        <f t="shared" si="35"/>
        <v>23.432164150529264</v>
      </c>
      <c r="AL27" s="20">
        <f t="shared" si="4"/>
        <v>189.40374922883845</v>
      </c>
      <c r="AM27" s="59">
        <f t="shared" si="5"/>
        <v>482.73708256217174</v>
      </c>
      <c r="AN27" s="59">
        <f ca="1">AVERAGE(OFFSET($AM$3,0,0,'Données projet'!$E$10+1,1))-AVERAGE(OFFSET($H$3,0,0,'Données projet'!$E$10+1,1))</f>
        <v>252.98248842635206</v>
      </c>
      <c r="AO27" s="59">
        <f t="shared" si="36"/>
        <v>207.11938580878308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1.9025617397611998</v>
      </c>
      <c r="AW27" s="21">
        <f>EXP(-LN(2)/2)*AW26+(1-EXP(-LN(2)/2))/(LN(2)/2)*AQ27*AT27*VLOOKUP('Données projet'!$B$10,Paramètres!$A$1:$I$89,3,0)*0.475*44/12</f>
        <v>0.8279448675662282</v>
      </c>
      <c r="AX27" s="21">
        <f t="shared" si="6"/>
        <v>2.730506607327428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1.2</v>
      </c>
      <c r="BD27" s="12">
        <f>IF('Données projet'!$A$88&gt;35,BD26+BC27-BL26,IF(A27&lt;'Données projet'!$A$88,$BA$205^A27,IF(A27='Données projet'!$A$88,'Données projet'!$B$88,BD26+BC27-BL26)))</f>
        <v>26.184024853780567</v>
      </c>
      <c r="BE27" s="13">
        <f>BD27*VLOOKUP('Données projet'!$B$11,Paramètres!$A$1:$I$89,3,0)*VLOOKUP('Données projet'!$B$11,Paramètres!$A$1:$I$89,5,0)</f>
        <v>17.155773084197026</v>
      </c>
      <c r="BF27" s="13">
        <f t="shared" si="37"/>
        <v>5.6790670996363843</v>
      </c>
      <c r="BG27" s="20">
        <f t="shared" si="7"/>
        <v>39.770679986843192</v>
      </c>
      <c r="BH27" s="59">
        <f t="shared" si="8"/>
        <v>333.10401332017648</v>
      </c>
      <c r="BI27" s="59">
        <f ca="1">AVERAGE(OFFSET($BH$3,0,0,'Données projet'!$E$11+1,1))-AVERAGE(OFFSET($H$3,0,0,'Données projet'!$E$11+1,1))</f>
        <v>114.23168847330004</v>
      </c>
      <c r="BJ27" s="59">
        <f t="shared" si="38"/>
        <v>42.34857998136755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1.2</v>
      </c>
      <c r="BY27" s="12">
        <f>IF('Données projet'!$A$114&gt;35,BY26+BX27-CG26,IF(A27&lt;'Données projet'!$A$114,$BV$205^A27,IF(A27='Données projet'!$A$114,'Données projet'!$B$114,BY26+BX27-CG26)))</f>
        <v>26.184024853780567</v>
      </c>
      <c r="BZ27" s="13">
        <f>BY27*VLOOKUP('Données projet'!$B$12,Paramètres!$A$1:$I$89,3,0)*VLOOKUP('Données projet'!$B$12,Paramètres!$A$1:$I$89,5,0)</f>
        <v>25.325188838576565</v>
      </c>
      <c r="CA27" s="13">
        <f t="shared" si="39"/>
        <v>8.0118207441534324</v>
      </c>
      <c r="CB27" s="20">
        <f t="shared" si="10"/>
        <v>58.061958356588072</v>
      </c>
      <c r="CC27" s="59">
        <f t="shared" si="11"/>
        <v>351.39529168992141</v>
      </c>
      <c r="CD27" s="59">
        <f ca="1">AVERAGE(OFFSET($CC$3,0,0,'Données projet'!$E$12+1,1))-AVERAGE(OFFSET($H$3,0,0,'Données projet'!$E$12+1,1))</f>
        <v>201.36664523637006</v>
      </c>
      <c r="CE27" s="59">
        <f t="shared" si="40"/>
        <v>79.394119001888555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6.4</v>
      </c>
      <c r="CT27" s="12">
        <f>IF('Données projet'!$A$140&gt;35,CT26+CS27-DB26,IF(A27&lt;'Données projet'!$A$140,$CQ$205^A27,IF(A27='Données projet'!$A$140,'Données projet'!$B$140,CT26+CS27-DB26)))</f>
        <v>67.599999999999994</v>
      </c>
      <c r="CU27" s="17">
        <f>CT27*VLOOKUP('Données projet'!$B$13,Paramètres!$A$1:$I$89,3,0)*VLOOKUP('Données projet'!$B$13,Paramètres!$A$1:$I$89,5,0)</f>
        <v>61.16447999999999</v>
      </c>
      <c r="CV27" s="13">
        <f t="shared" si="41"/>
        <v>17.462355912011439</v>
      </c>
      <c r="CW27" s="20">
        <f t="shared" si="13"/>
        <v>136.94173921341991</v>
      </c>
      <c r="CX27" s="59">
        <f t="shared" si="14"/>
        <v>430.27507254675322</v>
      </c>
      <c r="CY27" s="59">
        <f ca="1">AVERAGE(OFFSET($CX$3,0,0,'Données projet'!$E$13+1,1))-AVERAGE(OFFSET($H$3,0,0,'Données projet'!$E$13+1,1))</f>
        <v>282.08542131880455</v>
      </c>
      <c r="CZ27" s="59">
        <f t="shared" si="42"/>
        <v>174.27503468762325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12.2</v>
      </c>
      <c r="DO27" s="12">
        <f>IF('Données projet'!$A$166&gt;35,DO26+DN27-DW26,IF(A27&lt;'Données projet'!$A$166,$DL$205^A27,IF(A27='Données projet'!$A$166,'Données projet'!$B$166,DO26+DN27-DW26)))</f>
        <v>100.80000000000001</v>
      </c>
      <c r="DP27" s="17">
        <f>DO27*VLOOKUP('Données projet'!$B$14,Paramètres!$A$1:$I$89,3,0)*VLOOKUP('Données projet'!$B$14,Paramètres!$A$1:$I$89,5,0)</f>
        <v>81.768960000000021</v>
      </c>
      <c r="DQ27" s="13">
        <f t="shared" si="43"/>
        <v>22.569151954451023</v>
      </c>
      <c r="DR27" s="20">
        <f t="shared" si="16"/>
        <v>181.72221165400222</v>
      </c>
      <c r="DS27" s="59">
        <f t="shared" si="17"/>
        <v>475.05554498733557</v>
      </c>
      <c r="DT27" s="59">
        <f ca="1">AVERAGE(OFFSET($DS$3,0,0,'Données projet'!$E$14+1,1))-AVERAGE(OFFSET($H$3,0,0,'Données projet'!$E$14+1,1))</f>
        <v>235.31102883830971</v>
      </c>
      <c r="DU27" s="59">
        <f t="shared" si="44"/>
        <v>271.48630853790422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27.5</v>
      </c>
      <c r="N28" s="13">
        <f>IF('Données projet'!$A$36&gt;35,N27+M28-V27,IF(A28&lt;'Données projet'!$A$36,$K$205^A28,IF(A28='Données projet'!$A$36,'Données projet'!$B$36,N27+M28-V27)))</f>
        <v>261.5</v>
      </c>
      <c r="O28" s="13">
        <f>N28*VLOOKUP('Données projet'!$B$9,Paramètres!$A$1:$I$89,3,0)*VLOOKUP('Données projet'!$B$9,Paramètres!$A$1:$I$89,5,0)</f>
        <v>146.17849999999999</v>
      </c>
      <c r="P28" s="13">
        <f t="shared" si="33"/>
        <v>37.708835970826762</v>
      </c>
      <c r="Q28" s="20">
        <f t="shared" si="2"/>
        <v>320.27044348252321</v>
      </c>
      <c r="R28" s="59">
        <f t="shared" si="0"/>
        <v>613.60377681585646</v>
      </c>
      <c r="S28" s="59">
        <f ca="1">AVERAGE(OFFSET($R$3,0,0,'Données projet'!$E$9+1,1))-AVERAGE(OFFSET($H$3,0,0,'Données projet'!$E$9+1,1))</f>
        <v>446.28010102877403</v>
      </c>
      <c r="T28" s="59">
        <f t="shared" si="34"/>
        <v>445.84011537290456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18.390216421604539</v>
      </c>
      <c r="AB28" s="21">
        <f>EXP(-LN(2)/2)*AB27+(1-EXP(-LN(2)/2))/(LN(2)/2)*V28*Y28*VLOOKUP('Données projet'!$B$9,Paramètres!$A$1:$I$89,3,0)*0.475*44/12</f>
        <v>5.8180265873833799</v>
      </c>
      <c r="AC28" s="22">
        <f t="shared" si="3"/>
        <v>24.208243008987917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9.1999999999999993</v>
      </c>
      <c r="AI28" s="13">
        <f>IF('Données projet'!$A$62&gt;35,AI27+AH28-AQ27,IF(A28&lt;'Données projet'!$A$62,$AF$205^A28,IF(A28='Données projet'!$A$62,'Données projet'!$B$62,AI27+AH28-AQ27)))</f>
        <v>191.49999999999994</v>
      </c>
      <c r="AJ28" s="13">
        <f>AI28*VLOOKUP('Données projet'!$B$10,Paramètres!$A$1:$I$89,3,0)*VLOOKUP('Données projet'!$B$10,Paramètres!$A$1:$I$89,5,0)</f>
        <v>89.621999999999986</v>
      </c>
      <c r="AK28" s="13">
        <f t="shared" si="35"/>
        <v>24.47403817697321</v>
      </c>
      <c r="AL28" s="20">
        <f t="shared" si="4"/>
        <v>198.71726649156165</v>
      </c>
      <c r="AM28" s="59">
        <f t="shared" si="5"/>
        <v>492.05059982489496</v>
      </c>
      <c r="AN28" s="59">
        <f ca="1">AVERAGE(OFFSET($AM$3,0,0,'Données projet'!$E$10+1,1))-AVERAGE(OFFSET($H$3,0,0,'Données projet'!$E$10+1,1))</f>
        <v>252.98248842635206</v>
      </c>
      <c r="AO28" s="59">
        <f t="shared" si="36"/>
        <v>207.11938580878308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1.8505360889360563</v>
      </c>
      <c r="AW28" s="21">
        <f>EXP(-LN(2)/2)*AW27+(1-EXP(-LN(2)/2))/(LN(2)/2)*AQ28*AT28*VLOOKUP('Données projet'!$B$10,Paramètres!$A$1:$I$89,3,0)*0.475*44/12</f>
        <v>0.58544543030467799</v>
      </c>
      <c r="AX28" s="21">
        <f t="shared" si="6"/>
        <v>2.4359815192407344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30</v>
      </c>
      <c r="BB28" s="12">
        <f>VLOOKUP(A28,'Données projet'!$A$87:$I$107,9,0)</f>
        <v>1.2</v>
      </c>
      <c r="BC28" s="12">
        <f t="array" ref="BC28">INDEX(BB:BB,MIN(IF(ISNUMBER(BB28:BB224),ROW(BB28:BB224),"")))</f>
        <v>1.2</v>
      </c>
      <c r="BD28" s="12">
        <f>IF('Données projet'!$A$88&gt;35,BD27+BC28-BL27,IF(A28&lt;'Données projet'!$A$88,$BA$205^A28,IF(A28='Données projet'!$A$88,'Données projet'!$B$88,BD27+BC28-BL27)))</f>
        <v>30</v>
      </c>
      <c r="BE28" s="13">
        <f>BD28*VLOOKUP('Données projet'!$B$11,Paramètres!$A$1:$I$89,3,0)*VLOOKUP('Données projet'!$B$11,Paramètres!$A$1:$I$89,5,0)</f>
        <v>19.655999999999999</v>
      </c>
      <c r="BF28" s="13">
        <f t="shared" si="37"/>
        <v>6.4044873715575275</v>
      </c>
      <c r="BG28" s="20">
        <f t="shared" si="7"/>
        <v>45.388682172129364</v>
      </c>
      <c r="BH28" s="59">
        <f t="shared" si="8"/>
        <v>338.72201550546265</v>
      </c>
      <c r="BI28" s="59">
        <f ca="1">AVERAGE(OFFSET($BH$3,0,0,'Données projet'!$E$11+1,1))-AVERAGE(OFFSET($H$3,0,0,'Données projet'!$E$11+1,1))</f>
        <v>114.23168847330004</v>
      </c>
      <c r="BJ28" s="59">
        <f t="shared" si="38"/>
        <v>42.34857998136755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30</v>
      </c>
      <c r="BW28" s="12">
        <f>VLOOKUP(A28,'Données projet'!$A$113:$I$133,9,0)</f>
        <v>1.2</v>
      </c>
      <c r="BX28" s="12">
        <f t="array" ref="BX28">INDEX(BW:BW,MIN(IF(ISNUMBER(BW28:BW224),ROW(BW28:BW224),"")))</f>
        <v>1.2</v>
      </c>
      <c r="BY28" s="12">
        <f>IF('Données projet'!$A$114&gt;35,BY27+BX28-CG27,IF(A28&lt;'Données projet'!$A$114,$BV$205^A28,IF(A28='Données projet'!$A$114,'Données projet'!$B$114,BY27+BX28-CG27)))</f>
        <v>30</v>
      </c>
      <c r="BZ28" s="13">
        <f>BY28*VLOOKUP('Données projet'!$B$12,Paramètres!$A$1:$I$89,3,0)*VLOOKUP('Données projet'!$B$12,Paramètres!$A$1:$I$89,5,0)</f>
        <v>29.016000000000002</v>
      </c>
      <c r="CA28" s="13">
        <f t="shared" si="39"/>
        <v>9.0352172071357728</v>
      </c>
      <c r="CB28" s="20">
        <f t="shared" si="10"/>
        <v>66.272536635761469</v>
      </c>
      <c r="CC28" s="59">
        <f t="shared" si="11"/>
        <v>359.60586996909478</v>
      </c>
      <c r="CD28" s="59">
        <f ca="1">AVERAGE(OFFSET($CC$3,0,0,'Données projet'!$E$12+1,1))-AVERAGE(OFFSET($H$3,0,0,'Données projet'!$E$12+1,1))</f>
        <v>201.36664523637006</v>
      </c>
      <c r="CE28" s="59">
        <f t="shared" si="40"/>
        <v>79.394119001888555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6.4</v>
      </c>
      <c r="CT28" s="12">
        <f>IF('Données projet'!$A$140&gt;35,CT27+CS28-DB27,IF(A28&lt;'Données projet'!$A$140,$CQ$205^A28,IF(A28='Données projet'!$A$140,'Données projet'!$B$140,CT27+CS28-DB27)))</f>
        <v>74</v>
      </c>
      <c r="CU28" s="17">
        <f>CT28*VLOOKUP('Données projet'!$B$13,Paramètres!$A$1:$I$89,3,0)*VLOOKUP('Données projet'!$B$13,Paramètres!$A$1:$I$89,5,0)</f>
        <v>66.955199999999991</v>
      </c>
      <c r="CV28" s="13">
        <f t="shared" si="41"/>
        <v>18.915380530436497</v>
      </c>
      <c r="CW28" s="20">
        <f t="shared" si="13"/>
        <v>149.55792775717688</v>
      </c>
      <c r="CX28" s="59">
        <f t="shared" si="14"/>
        <v>442.89126109051017</v>
      </c>
      <c r="CY28" s="59">
        <f ca="1">AVERAGE(OFFSET($CX$3,0,0,'Données projet'!$E$13+1,1))-AVERAGE(OFFSET($H$3,0,0,'Données projet'!$E$13+1,1))</f>
        <v>282.08542131880455</v>
      </c>
      <c r="CZ28" s="59">
        <f t="shared" si="42"/>
        <v>174.27503468762325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12.2</v>
      </c>
      <c r="DO28" s="12">
        <f>IF('Données projet'!$A$166&gt;35,DO27+DN28-DW27,IF(A28&lt;'Données projet'!$A$166,$DL$205^A28,IF(A28='Données projet'!$A$166,'Données projet'!$B$166,DO27+DN28-DW27)))</f>
        <v>113.00000000000001</v>
      </c>
      <c r="DP28" s="17">
        <f>DO28*VLOOKUP('Données projet'!$B$14,Paramètres!$A$1:$I$89,3,0)*VLOOKUP('Données projet'!$B$14,Paramètres!$A$1:$I$89,5,0)</f>
        <v>91.665600000000026</v>
      </c>
      <c r="DQ28" s="13">
        <f t="shared" si="43"/>
        <v>24.966497888207439</v>
      </c>
      <c r="DR28" s="20">
        <f t="shared" si="16"/>
        <v>203.1342371552947</v>
      </c>
      <c r="DS28" s="59">
        <f t="shared" si="17"/>
        <v>496.46757048862798</v>
      </c>
      <c r="DT28" s="59">
        <f ca="1">AVERAGE(OFFSET($DS$3,0,0,'Données projet'!$E$14+1,1))-AVERAGE(OFFSET($H$3,0,0,'Données projet'!$E$14+1,1))</f>
        <v>235.31102883830971</v>
      </c>
      <c r="DU28" s="59">
        <f t="shared" si="44"/>
        <v>271.48630853790422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27.5</v>
      </c>
      <c r="N29" s="13">
        <f>IF('Données projet'!$A$36&gt;35,N28+M29-V28,IF(A29&lt;'Données projet'!$A$36,$K$205^A29,IF(A29='Données projet'!$A$36,'Données projet'!$B$36,N28+M29-V28)))</f>
        <v>289</v>
      </c>
      <c r="O29" s="13">
        <f>N29*VLOOKUP('Données projet'!$B$9,Paramètres!$A$1:$I$89,3,0)*VLOOKUP('Données projet'!$B$9,Paramètres!$A$1:$I$89,5,0)</f>
        <v>161.55099999999999</v>
      </c>
      <c r="P29" s="13">
        <f t="shared" si="33"/>
        <v>41.192151127280063</v>
      </c>
      <c r="Q29" s="20">
        <f t="shared" si="2"/>
        <v>353.11098821334605</v>
      </c>
      <c r="R29" s="59">
        <f t="shared" si="0"/>
        <v>646.44432154667936</v>
      </c>
      <c r="S29" s="59">
        <f ca="1">AVERAGE(OFFSET($R$3,0,0,'Données projet'!$E$9+1,1))-AVERAGE(OFFSET($H$3,0,0,'Données projet'!$E$9+1,1))</f>
        <v>446.28010102877403</v>
      </c>
      <c r="T29" s="59">
        <f t="shared" si="34"/>
        <v>445.84011537290456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17.887334986456313</v>
      </c>
      <c r="AB29" s="21">
        <f>EXP(-LN(2)/2)*AB28+(1-EXP(-LN(2)/2))/(LN(2)/2)*V29*Y29*VLOOKUP('Données projet'!$B$9,Paramètres!$A$1:$I$89,3,0)*0.475*44/12</f>
        <v>4.1139660530624154</v>
      </c>
      <c r="AC29" s="22">
        <f t="shared" si="3"/>
        <v>22.001301039518729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200.69999999999993</v>
      </c>
      <c r="AJ29" s="13">
        <f>AI29*VLOOKUP('Données projet'!$B$10,Paramètres!$A$1:$I$89,3,0)*VLOOKUP('Données projet'!$B$10,Paramètres!$A$1:$I$89,5,0)</f>
        <v>93.927599999999956</v>
      </c>
      <c r="AK29" s="13">
        <f t="shared" si="35"/>
        <v>25.510099877901624</v>
      </c>
      <c r="AL29" s="20">
        <f t="shared" si="4"/>
        <v>208.02066062067857</v>
      </c>
      <c r="AM29" s="59">
        <f t="shared" si="5"/>
        <v>501.35399395401191</v>
      </c>
      <c r="AN29" s="59">
        <f ca="1">AVERAGE(OFFSET($AM$3,0,0,'Données projet'!$E$10+1,1))-AVERAGE(OFFSET($H$3,0,0,'Données projet'!$E$10+1,1))</f>
        <v>252.98248842635206</v>
      </c>
      <c r="AO29" s="59">
        <f t="shared" si="36"/>
        <v>207.11938580878308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1.7999330822686364</v>
      </c>
      <c r="AW29" s="21">
        <f>EXP(-LN(2)/2)*AW28+(1-EXP(-LN(2)/2))/(LN(2)/2)*AQ29*AT29*VLOOKUP('Données projet'!$B$10,Paramètres!$A$1:$I$89,3,0)*0.475*44/12</f>
        <v>0.4139724337831141</v>
      </c>
      <c r="AX29" s="21">
        <f t="shared" si="6"/>
        <v>2.2139055160517502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4.8</v>
      </c>
      <c r="BD29" s="12">
        <f>IF('Données projet'!$A$88&gt;35,BD28+BC29-BL28,IF(A29&lt;'Données projet'!$A$88,$BA$205^A29,IF(A29='Données projet'!$A$88,'Données projet'!$B$88,BD28+BC29-BL28)))</f>
        <v>34.799999999999997</v>
      </c>
      <c r="BE29" s="13">
        <f>BD29*VLOOKUP('Données projet'!$B$11,Paramètres!$A$1:$I$89,3,0)*VLOOKUP('Données projet'!$B$11,Paramètres!$A$1:$I$89,5,0)</f>
        <v>22.800959999999996</v>
      </c>
      <c r="BF29" s="13">
        <f t="shared" si="37"/>
        <v>7.3019600564785572</v>
      </c>
      <c r="BG29" s="20">
        <f t="shared" si="7"/>
        <v>52.429252431700149</v>
      </c>
      <c r="BH29" s="59">
        <f t="shared" si="8"/>
        <v>345.76258576503346</v>
      </c>
      <c r="BI29" s="59">
        <f ca="1">AVERAGE(OFFSET($BH$3,0,0,'Données projet'!$E$11+1,1))-AVERAGE(OFFSET($H$3,0,0,'Données projet'!$E$11+1,1))</f>
        <v>114.23168847330004</v>
      </c>
      <c r="BJ29" s="59">
        <f t="shared" si="38"/>
        <v>42.34857998136755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4.8</v>
      </c>
      <c r="BY29" s="12">
        <f>IF('Données projet'!$A$114&gt;35,BY28+BX29-CG28,IF(A29&lt;'Données projet'!$A$114,$BV$205^A29,IF(A29='Données projet'!$A$114,'Données projet'!$B$114,BY28+BX29-CG28)))</f>
        <v>34.799999999999997</v>
      </c>
      <c r="BZ29" s="13">
        <f>BY29*VLOOKUP('Données projet'!$B$12,Paramètres!$A$1:$I$89,3,0)*VLOOKUP('Données projet'!$B$12,Paramètres!$A$1:$I$89,5,0)</f>
        <v>33.658559999999994</v>
      </c>
      <c r="CA29" s="13">
        <f t="shared" si="39"/>
        <v>10.301338939492439</v>
      </c>
      <c r="CB29" s="20">
        <f t="shared" si="10"/>
        <v>76.563490652949312</v>
      </c>
      <c r="CC29" s="59">
        <f t="shared" si="11"/>
        <v>369.89682398628264</v>
      </c>
      <c r="CD29" s="59">
        <f ca="1">AVERAGE(OFFSET($CC$3,0,0,'Données projet'!$E$12+1,1))-AVERAGE(OFFSET($H$3,0,0,'Données projet'!$E$12+1,1))</f>
        <v>201.36664523637006</v>
      </c>
      <c r="CE29" s="59">
        <f t="shared" si="40"/>
        <v>79.394119001888555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6.4</v>
      </c>
      <c r="CT29" s="12">
        <f>IF('Données projet'!$A$140&gt;35,CT28+CS29-DB28,IF(A29&lt;'Données projet'!$A$140,$CQ$205^A29,IF(A29='Données projet'!$A$140,'Données projet'!$B$140,CT28+CS29-DB28)))</f>
        <v>80.400000000000006</v>
      </c>
      <c r="CU29" s="17">
        <f>CT29*VLOOKUP('Données projet'!$B$13,Paramètres!$A$1:$I$89,3,0)*VLOOKUP('Données projet'!$B$13,Paramètres!$A$1:$I$89,5,0)</f>
        <v>72.745919999999998</v>
      </c>
      <c r="CV29" s="13">
        <f t="shared" si="41"/>
        <v>20.353831729162501</v>
      </c>
      <c r="CW29" s="20">
        <f t="shared" si="13"/>
        <v>162.1487342616247</v>
      </c>
      <c r="CX29" s="59">
        <f t="shared" si="14"/>
        <v>455.48206759495804</v>
      </c>
      <c r="CY29" s="59">
        <f ca="1">AVERAGE(OFFSET($CX$3,0,0,'Données projet'!$E$13+1,1))-AVERAGE(OFFSET($H$3,0,0,'Données projet'!$E$13+1,1))</f>
        <v>282.08542131880455</v>
      </c>
      <c r="CZ29" s="59">
        <f t="shared" si="42"/>
        <v>174.27503468762325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12.2</v>
      </c>
      <c r="DO29" s="12">
        <f>IF('Données projet'!$A$166&gt;35,DO28+DN29-DW28,IF(A29&lt;'Données projet'!$A$166,$DL$205^A29,IF(A29='Données projet'!$A$166,'Données projet'!$B$166,DO28+DN29-DW28)))</f>
        <v>125.20000000000002</v>
      </c>
      <c r="DP29" s="17">
        <f>DO29*VLOOKUP('Données projet'!$B$14,Paramètres!$A$1:$I$89,3,0)*VLOOKUP('Données projet'!$B$14,Paramètres!$A$1:$I$89,5,0)</f>
        <v>101.56224000000003</v>
      </c>
      <c r="DQ29" s="13">
        <f t="shared" si="43"/>
        <v>27.333843239980084</v>
      </c>
      <c r="DR29" s="20">
        <f t="shared" si="16"/>
        <v>224.49401164296532</v>
      </c>
      <c r="DS29" s="59">
        <f t="shared" si="17"/>
        <v>517.8273449762986</v>
      </c>
      <c r="DT29" s="59">
        <f ca="1">AVERAGE(OFFSET($DS$3,0,0,'Données projet'!$E$14+1,1))-AVERAGE(OFFSET($H$3,0,0,'Données projet'!$E$14+1,1))</f>
        <v>235.31102883830971</v>
      </c>
      <c r="DU29" s="59">
        <f t="shared" si="44"/>
        <v>271.48630853790422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27.5</v>
      </c>
      <c r="N30" s="13">
        <f>IF('Données projet'!$A$36&gt;35,N29+M30-V29,IF(A30&lt;'Données projet'!$A$36,$K$205^A30,IF(A30='Données projet'!$A$36,'Données projet'!$B$36,N29+M30-V29)))</f>
        <v>316.5</v>
      </c>
      <c r="O30" s="13">
        <f>N30*VLOOKUP('Données projet'!$B$9,Paramètres!$A$1:$I$89,3,0)*VLOOKUP('Données projet'!$B$9,Paramètres!$A$1:$I$89,5,0)</f>
        <v>176.92350000000002</v>
      </c>
      <c r="P30" s="13">
        <f t="shared" si="33"/>
        <v>44.637036366733298</v>
      </c>
      <c r="Q30" s="20">
        <f t="shared" si="2"/>
        <v>385.88460083872718</v>
      </c>
      <c r="R30" s="59">
        <f t="shared" si="0"/>
        <v>679.2179341720605</v>
      </c>
      <c r="S30" s="59">
        <f ca="1">AVERAGE(OFFSET($R$3,0,0,'Données projet'!$E$9+1,1))-AVERAGE(OFFSET($H$3,0,0,'Données projet'!$E$9+1,1))</f>
        <v>446.28010102877403</v>
      </c>
      <c r="T30" s="59">
        <f t="shared" si="34"/>
        <v>445.84011537290456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17.398204870597599</v>
      </c>
      <c r="AB30" s="21">
        <f>EXP(-LN(2)/2)*AB29+(1-EXP(-LN(2)/2))/(LN(2)/2)*V30*Y30*VLOOKUP('Données projet'!$B$9,Paramètres!$A$1:$I$89,3,0)*0.475*44/12</f>
        <v>2.9090132936916899</v>
      </c>
      <c r="AC30" s="22">
        <f t="shared" si="3"/>
        <v>20.307218164289289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209.89999999999992</v>
      </c>
      <c r="AJ30" s="13">
        <f>AI30*VLOOKUP('Données projet'!$B$10,Paramètres!$A$1:$I$89,3,0)*VLOOKUP('Données projet'!$B$10,Paramètres!$A$1:$I$89,5,0)</f>
        <v>98.233199999999954</v>
      </c>
      <c r="AK30" s="13">
        <f t="shared" si="35"/>
        <v>26.540646121089583</v>
      </c>
      <c r="AL30" s="20">
        <f t="shared" si="4"/>
        <v>217.3144486608976</v>
      </c>
      <c r="AM30" s="59">
        <f t="shared" si="5"/>
        <v>510.64778199423091</v>
      </c>
      <c r="AN30" s="59">
        <f ca="1">AVERAGE(OFFSET($AM$3,0,0,'Données projet'!$E$10+1,1))-AVERAGE(OFFSET($H$3,0,0,'Données projet'!$E$10+1,1))</f>
        <v>252.98248842635206</v>
      </c>
      <c r="AO30" s="59">
        <f t="shared" si="36"/>
        <v>207.11938580878308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1.7507138174796335</v>
      </c>
      <c r="AW30" s="21">
        <f>EXP(-LN(2)/2)*AW29+(1-EXP(-LN(2)/2))/(LN(2)/2)*AQ30*AT30*VLOOKUP('Données projet'!$B$10,Paramètres!$A$1:$I$89,3,0)*0.475*44/12</f>
        <v>0.292722715152339</v>
      </c>
      <c r="AX30" s="21">
        <f t="shared" si="6"/>
        <v>2.0434365326319726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4.8</v>
      </c>
      <c r="BD30" s="12">
        <f>IF('Données projet'!$A$88&gt;35,BD29+BC30-BL29,IF(A30&lt;'Données projet'!$A$88,$BA$205^A30,IF(A30='Données projet'!$A$88,'Données projet'!$B$88,BD29+BC30-BL29)))</f>
        <v>39.599999999999994</v>
      </c>
      <c r="BE30" s="13">
        <f>BD30*VLOOKUP('Données projet'!$B$11,Paramètres!$A$1:$I$89,3,0)*VLOOKUP('Données projet'!$B$11,Paramètres!$A$1:$I$89,5,0)</f>
        <v>25.945919999999997</v>
      </c>
      <c r="BF30" s="13">
        <f t="shared" si="37"/>
        <v>8.185090756720685</v>
      </c>
      <c r="BG30" s="20">
        <f t="shared" si="7"/>
        <v>59.444843734621855</v>
      </c>
      <c r="BH30" s="59">
        <f t="shared" si="8"/>
        <v>352.7781770679552</v>
      </c>
      <c r="BI30" s="59">
        <f ca="1">AVERAGE(OFFSET($BH$3,0,0,'Données projet'!$E$11+1,1))-AVERAGE(OFFSET($H$3,0,0,'Données projet'!$E$11+1,1))</f>
        <v>114.23168847330004</v>
      </c>
      <c r="BJ30" s="59">
        <f t="shared" si="38"/>
        <v>42.34857998136755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4.8</v>
      </c>
      <c r="BY30" s="12">
        <f>IF('Données projet'!$A$114&gt;35,BY29+BX30-CG29,IF(A30&lt;'Données projet'!$A$114,$BV$205^A30,IF(A30='Données projet'!$A$114,'Données projet'!$B$114,BY29+BX30-CG29)))</f>
        <v>39.599999999999994</v>
      </c>
      <c r="BZ30" s="13">
        <f>BY30*VLOOKUP('Données projet'!$B$12,Paramètres!$A$1:$I$89,3,0)*VLOOKUP('Données projet'!$B$12,Paramètres!$A$1:$I$89,5,0)</f>
        <v>38.301119999999997</v>
      </c>
      <c r="CA30" s="13">
        <f t="shared" si="39"/>
        <v>11.547227522927502</v>
      </c>
      <c r="CB30" s="20">
        <f t="shared" si="10"/>
        <v>86.819205269098731</v>
      </c>
      <c r="CC30" s="59">
        <f t="shared" si="11"/>
        <v>380.15253860243206</v>
      </c>
      <c r="CD30" s="59">
        <f ca="1">AVERAGE(OFFSET($CC$3,0,0,'Données projet'!$E$12+1,1))-AVERAGE(OFFSET($H$3,0,0,'Données projet'!$E$12+1,1))</f>
        <v>201.36664523637006</v>
      </c>
      <c r="CE30" s="59">
        <f t="shared" si="40"/>
        <v>79.394119001888555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6.4</v>
      </c>
      <c r="CT30" s="12">
        <f>IF('Données projet'!$A$140&gt;35,CT29+CS30-DB29,IF(A30&lt;'Données projet'!$A$140,$CQ$205^A30,IF(A30='Données projet'!$A$140,'Données projet'!$B$140,CT29+CS30-DB29)))</f>
        <v>86.800000000000011</v>
      </c>
      <c r="CU30" s="17">
        <f>CT30*VLOOKUP('Données projet'!$B$13,Paramètres!$A$1:$I$89,3,0)*VLOOKUP('Données projet'!$B$13,Paramètres!$A$1:$I$89,5,0)</f>
        <v>78.536640000000006</v>
      </c>
      <c r="CV30" s="13">
        <f t="shared" si="41"/>
        <v>21.779001471873372</v>
      </c>
      <c r="CW30" s="20">
        <f t="shared" si="13"/>
        <v>174.71640889684613</v>
      </c>
      <c r="CX30" s="59">
        <f t="shared" si="14"/>
        <v>468.04974223017945</v>
      </c>
      <c r="CY30" s="59">
        <f ca="1">AVERAGE(OFFSET($CX$3,0,0,'Données projet'!$E$13+1,1))-AVERAGE(OFFSET($H$3,0,0,'Données projet'!$E$13+1,1))</f>
        <v>282.08542131880455</v>
      </c>
      <c r="CZ30" s="59">
        <f t="shared" si="42"/>
        <v>174.27503468762325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12.2</v>
      </c>
      <c r="DO30" s="12">
        <f>IF('Données projet'!$A$166&gt;35,DO29+DN30-DW29,IF(A30&lt;'Données projet'!$A$166,$DL$205^A30,IF(A30='Données projet'!$A$166,'Données projet'!$B$166,DO29+DN30-DW29)))</f>
        <v>137.4</v>
      </c>
      <c r="DP30" s="17">
        <f>DO30*VLOOKUP('Données projet'!$B$14,Paramètres!$A$1:$I$89,3,0)*VLOOKUP('Données projet'!$B$14,Paramètres!$A$1:$I$89,5,0)</f>
        <v>111.45888000000002</v>
      </c>
      <c r="DQ30" s="13">
        <f t="shared" si="43"/>
        <v>29.674444066375862</v>
      </c>
      <c r="DR30" s="20">
        <f t="shared" si="16"/>
        <v>245.80720608227134</v>
      </c>
      <c r="DS30" s="59">
        <f t="shared" si="17"/>
        <v>539.14053941560462</v>
      </c>
      <c r="DT30" s="59">
        <f ca="1">AVERAGE(OFFSET($DS$3,0,0,'Données projet'!$E$14+1,1))-AVERAGE(OFFSET($H$3,0,0,'Données projet'!$E$14+1,1))</f>
        <v>235.31102883830971</v>
      </c>
      <c r="DU30" s="59">
        <f t="shared" si="44"/>
        <v>271.48630853790422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27.5</v>
      </c>
      <c r="N31" s="13">
        <f>IF('Données projet'!$A$36&gt;35,N30+M31-V30,IF(A31&lt;'Données projet'!$A$36,$K$205^A31,IF(A31='Données projet'!$A$36,'Données projet'!$B$36,N30+M31-V30)))</f>
        <v>344</v>
      </c>
      <c r="O31" s="13">
        <f>N31*VLOOKUP('Données projet'!$B$9,Paramètres!$A$1:$I$89,3,0)*VLOOKUP('Données projet'!$B$9,Paramètres!$A$1:$I$89,5,0)</f>
        <v>192.29599999999999</v>
      </c>
      <c r="P31" s="13">
        <f t="shared" si="33"/>
        <v>48.047210442610933</v>
      </c>
      <c r="Q31" s="20">
        <f t="shared" si="2"/>
        <v>418.59775818754741</v>
      </c>
      <c r="R31" s="59">
        <f t="shared" si="0"/>
        <v>711.93109152088073</v>
      </c>
      <c r="S31" s="59">
        <f ca="1">AVERAGE(OFFSET($R$3,0,0,'Données projet'!$E$9+1,1))-AVERAGE(OFFSET($H$3,0,0,'Données projet'!$E$9+1,1))</f>
        <v>446.28010102877403</v>
      </c>
      <c r="T31" s="59">
        <f t="shared" si="34"/>
        <v>445.84011537290456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16.922450043479277</v>
      </c>
      <c r="AB31" s="21">
        <f>EXP(-LN(2)/2)*AB30+(1-EXP(-LN(2)/2))/(LN(2)/2)*V31*Y31*VLOOKUP('Données projet'!$B$9,Paramètres!$A$1:$I$89,3,0)*0.475*44/12</f>
        <v>2.0569830265312077</v>
      </c>
      <c r="AC31" s="22">
        <f t="shared" si="3"/>
        <v>18.979433070010483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219.09999999999991</v>
      </c>
      <c r="AJ31" s="13">
        <f>AI31*VLOOKUP('Données projet'!$B$10,Paramètres!$A$1:$I$89,3,0)*VLOOKUP('Données projet'!$B$10,Paramètres!$A$1:$I$89,5,0)</f>
        <v>102.53879999999995</v>
      </c>
      <c r="AK31" s="13">
        <f t="shared" si="35"/>
        <v>27.565946279127878</v>
      </c>
      <c r="AL31" s="20">
        <f t="shared" si="4"/>
        <v>226.59909976948094</v>
      </c>
      <c r="AM31" s="59">
        <f t="shared" si="5"/>
        <v>519.93243310281423</v>
      </c>
      <c r="AN31" s="59">
        <f ca="1">AVERAGE(OFFSET($AM$3,0,0,'Données projet'!$E$10+1,1))-AVERAGE(OFFSET($H$3,0,0,'Données projet'!$E$10+1,1))</f>
        <v>252.98248842635206</v>
      </c>
      <c r="AO31" s="59">
        <f t="shared" si="36"/>
        <v>207.11938580878308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1.7028404560746147</v>
      </c>
      <c r="AW31" s="21">
        <f>EXP(-LN(2)/2)*AW30+(1-EXP(-LN(2)/2))/(LN(2)/2)*AQ31*AT31*VLOOKUP('Données projet'!$B$10,Paramètres!$A$1:$I$89,3,0)*0.475*44/12</f>
        <v>0.20698621689155705</v>
      </c>
      <c r="AX31" s="21">
        <f t="shared" si="6"/>
        <v>1.9098266729661717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4.8</v>
      </c>
      <c r="BD31" s="12">
        <f>IF('Données projet'!$A$88&gt;35,BD30+BC31-BL30,IF(A31&lt;'Données projet'!$A$88,$BA$205^A31,IF(A31='Données projet'!$A$88,'Données projet'!$B$88,BD30+BC31-BL30)))</f>
        <v>44.399999999999991</v>
      </c>
      <c r="BE31" s="13">
        <f>BD31*VLOOKUP('Données projet'!$B$11,Paramètres!$A$1:$I$89,3,0)*VLOOKUP('Données projet'!$B$11,Paramètres!$A$1:$I$89,5,0)</f>
        <v>29.090879999999995</v>
      </c>
      <c r="BF31" s="13">
        <f t="shared" si="37"/>
        <v>9.0558167426229748</v>
      </c>
      <c r="BG31" s="20">
        <f t="shared" si="7"/>
        <v>66.438830160068335</v>
      </c>
      <c r="BH31" s="59">
        <f t="shared" si="8"/>
        <v>359.77216349340165</v>
      </c>
      <c r="BI31" s="59">
        <f ca="1">AVERAGE(OFFSET($BH$3,0,0,'Données projet'!$E$11+1,1))-AVERAGE(OFFSET($H$3,0,0,'Données projet'!$E$11+1,1))</f>
        <v>114.23168847330004</v>
      </c>
      <c r="BJ31" s="59">
        <f t="shared" si="38"/>
        <v>42.34857998136755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4.8</v>
      </c>
      <c r="BY31" s="12">
        <f>IF('Données projet'!$A$114&gt;35,BY30+BX31-CG30,IF(A31&lt;'Données projet'!$A$114,$BV$205^A31,IF(A31='Données projet'!$A$114,'Données projet'!$B$114,BY30+BX31-CG30)))</f>
        <v>44.399999999999991</v>
      </c>
      <c r="BZ31" s="13">
        <f>BY31*VLOOKUP('Données projet'!$B$12,Paramètres!$A$1:$I$89,3,0)*VLOOKUP('Données projet'!$B$12,Paramètres!$A$1:$I$89,5,0)</f>
        <v>42.943679999999993</v>
      </c>
      <c r="CA31" s="13">
        <f t="shared" si="39"/>
        <v>12.775615987781539</v>
      </c>
      <c r="CB31" s="20">
        <f t="shared" si="10"/>
        <v>97.044440512052844</v>
      </c>
      <c r="CC31" s="59">
        <f t="shared" si="11"/>
        <v>390.37777384538617</v>
      </c>
      <c r="CD31" s="59">
        <f ca="1">AVERAGE(OFFSET($CC$3,0,0,'Données projet'!$E$12+1,1))-AVERAGE(OFFSET($H$3,0,0,'Données projet'!$E$12+1,1))</f>
        <v>201.36664523637006</v>
      </c>
      <c r="CE31" s="59">
        <f t="shared" si="40"/>
        <v>79.394119001888555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6.4</v>
      </c>
      <c r="CT31" s="12">
        <f>IF('Données projet'!$A$140&gt;35,CT30+CS31-DB30,IF(A31&lt;'Données projet'!$A$140,$CQ$205^A31,IF(A31='Données projet'!$A$140,'Données projet'!$B$140,CT30+CS31-DB30)))</f>
        <v>93.200000000000017</v>
      </c>
      <c r="CU31" s="17">
        <f>CT31*VLOOKUP('Données projet'!$B$13,Paramètres!$A$1:$I$89,3,0)*VLOOKUP('Données projet'!$B$13,Paramètres!$A$1:$I$89,5,0)</f>
        <v>84.327360000000013</v>
      </c>
      <c r="CV31" s="13">
        <f t="shared" si="41"/>
        <v>23.191980396127203</v>
      </c>
      <c r="CW31" s="20">
        <f t="shared" si="13"/>
        <v>187.26285118992155</v>
      </c>
      <c r="CX31" s="59">
        <f t="shared" si="14"/>
        <v>480.59618452325486</v>
      </c>
      <c r="CY31" s="59">
        <f ca="1">AVERAGE(OFFSET($CX$3,0,0,'Données projet'!$E$13+1,1))-AVERAGE(OFFSET($H$3,0,0,'Données projet'!$E$13+1,1))</f>
        <v>282.08542131880455</v>
      </c>
      <c r="CZ31" s="59">
        <f t="shared" si="42"/>
        <v>174.27503468762325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12.2</v>
      </c>
      <c r="DO31" s="12">
        <f>IF('Données projet'!$A$166&gt;35,DO30+DN31-DW30,IF(A31&lt;'Données projet'!$A$166,$DL$205^A31,IF(A31='Données projet'!$A$166,'Données projet'!$B$166,DO30+DN31-DW30)))</f>
        <v>149.6</v>
      </c>
      <c r="DP31" s="17">
        <f>DO31*VLOOKUP('Données projet'!$B$14,Paramètres!$A$1:$I$89,3,0)*VLOOKUP('Données projet'!$B$14,Paramètres!$A$1:$I$89,5,0)</f>
        <v>121.35552000000001</v>
      </c>
      <c r="DQ31" s="13">
        <f t="shared" si="43"/>
        <v>31.990945095046595</v>
      </c>
      <c r="DR31" s="20">
        <f t="shared" si="16"/>
        <v>267.07842670720612</v>
      </c>
      <c r="DS31" s="59">
        <f t="shared" si="17"/>
        <v>560.41176004053943</v>
      </c>
      <c r="DT31" s="59">
        <f ca="1">AVERAGE(OFFSET($DS$3,0,0,'Données projet'!$E$14+1,1))-AVERAGE(OFFSET($H$3,0,0,'Données projet'!$E$14+1,1))</f>
        <v>235.31102883830971</v>
      </c>
      <c r="DU31" s="59">
        <f t="shared" si="44"/>
        <v>271.48630853790422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27.5</v>
      </c>
      <c r="N32" s="13">
        <f>IF('Données projet'!$A$36&gt;35,N31+M32-V31,IF(A32&lt;'Données projet'!$A$36,$K$205^A32,IF(A32='Données projet'!$A$36,'Données projet'!$B$36,N31+M32-V31)))</f>
        <v>371.5</v>
      </c>
      <c r="O32" s="13">
        <f>N32*VLOOKUP('Données projet'!$B$9,Paramètres!$A$1:$I$89,3,0)*VLOOKUP('Données projet'!$B$9,Paramètres!$A$1:$I$89,5,0)</f>
        <v>207.66850000000002</v>
      </c>
      <c r="P32" s="13">
        <f t="shared" si="33"/>
        <v>51.4257637081664</v>
      </c>
      <c r="Q32" s="20">
        <f t="shared" si="2"/>
        <v>451.25584262505646</v>
      </c>
      <c r="R32" s="59">
        <f t="shared" si="0"/>
        <v>744.58917595838977</v>
      </c>
      <c r="S32" s="59">
        <f ca="1">AVERAGE(OFFSET($R$3,0,0,'Données projet'!$E$9+1,1))-AVERAGE(OFFSET($H$3,0,0,'Données projet'!$E$9+1,1))</f>
        <v>446.28010102877403</v>
      </c>
      <c r="T32" s="59">
        <f t="shared" si="34"/>
        <v>445.84011537290456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16.459704757127366</v>
      </c>
      <c r="AB32" s="21">
        <f>EXP(-LN(2)/2)*AB31+(1-EXP(-LN(2)/2))/(LN(2)/2)*V32*Y32*VLOOKUP('Données projet'!$B$9,Paramètres!$A$1:$I$89,3,0)*0.475*44/12</f>
        <v>1.454506646845845</v>
      </c>
      <c r="AC32" s="22">
        <f t="shared" si="3"/>
        <v>17.914211403973212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228.2999999999999</v>
      </c>
      <c r="AJ32" s="13">
        <f>AI32*VLOOKUP('Données projet'!$B$10,Paramètres!$A$1:$I$89,3,0)*VLOOKUP('Données projet'!$B$10,Paramètres!$A$1:$I$89,5,0)</f>
        <v>106.84439999999995</v>
      </c>
      <c r="AK32" s="13">
        <f t="shared" si="35"/>
        <v>28.586245822975961</v>
      </c>
      <c r="AL32" s="20">
        <f t="shared" si="4"/>
        <v>235.87504147501636</v>
      </c>
      <c r="AM32" s="59">
        <f t="shared" si="5"/>
        <v>529.20837480834962</v>
      </c>
      <c r="AN32" s="59">
        <f ca="1">AVERAGE(OFFSET($AM$3,0,0,'Données projet'!$E$10+1,1))-AVERAGE(OFFSET($H$3,0,0,'Données projet'!$E$10+1,1))</f>
        <v>252.98248842635206</v>
      </c>
      <c r="AO32" s="59">
        <f t="shared" si="36"/>
        <v>207.11938580878308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1.6562761942547666</v>
      </c>
      <c r="AW32" s="21">
        <f>EXP(-LN(2)/2)*AW31+(1-EXP(-LN(2)/2))/(LN(2)/2)*AQ32*AT32*VLOOKUP('Données projet'!$B$10,Paramètres!$A$1:$I$89,3,0)*0.475*44/12</f>
        <v>0.1463613575761695</v>
      </c>
      <c r="AX32" s="21">
        <f t="shared" si="6"/>
        <v>1.8026375518309361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4.8</v>
      </c>
      <c r="BD32" s="12">
        <f>IF('Données projet'!$A$88&gt;35,BD31+BC32-BL31,IF(A32&lt;'Données projet'!$A$88,$BA$205^A32,IF(A32='Données projet'!$A$88,'Données projet'!$B$88,BD31+BC32-BL31)))</f>
        <v>49.199999999999989</v>
      </c>
      <c r="BE32" s="13">
        <f>BD32*VLOOKUP('Données projet'!$B$11,Paramètres!$A$1:$I$89,3,0)*VLOOKUP('Données projet'!$B$11,Paramètres!$A$1:$I$89,5,0)</f>
        <v>32.235839999999989</v>
      </c>
      <c r="BF32" s="13">
        <f t="shared" si="37"/>
        <v>9.915631940705536</v>
      </c>
      <c r="BG32" s="20">
        <f t="shared" si="7"/>
        <v>73.413813630062123</v>
      </c>
      <c r="BH32" s="59">
        <f t="shared" si="8"/>
        <v>366.74714696339544</v>
      </c>
      <c r="BI32" s="59">
        <f ca="1">AVERAGE(OFFSET($BH$3,0,0,'Données projet'!$E$11+1,1))-AVERAGE(OFFSET($H$3,0,0,'Données projet'!$E$11+1,1))</f>
        <v>114.23168847330004</v>
      </c>
      <c r="BJ32" s="59">
        <f t="shared" si="38"/>
        <v>42.34857998136755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4.8</v>
      </c>
      <c r="BY32" s="12">
        <f>IF('Données projet'!$A$114&gt;35,BY31+BX32-CG31,IF(A32&lt;'Données projet'!$A$114,$BV$205^A32,IF(A32='Données projet'!$A$114,'Données projet'!$B$114,BY31+BX32-CG31)))</f>
        <v>49.199999999999989</v>
      </c>
      <c r="BZ32" s="13">
        <f>BY32*VLOOKUP('Données projet'!$B$12,Paramètres!$A$1:$I$89,3,0)*VLOOKUP('Données projet'!$B$12,Paramètres!$A$1:$I$89,5,0)</f>
        <v>47.586239999999989</v>
      </c>
      <c r="CA32" s="13">
        <f t="shared" si="39"/>
        <v>13.98861191110446</v>
      </c>
      <c r="CB32" s="20">
        <f t="shared" si="10"/>
        <v>107.2428670785069</v>
      </c>
      <c r="CC32" s="59">
        <f t="shared" si="11"/>
        <v>400.5762004118402</v>
      </c>
      <c r="CD32" s="59">
        <f ca="1">AVERAGE(OFFSET($CC$3,0,0,'Données projet'!$E$12+1,1))-AVERAGE(OFFSET($H$3,0,0,'Données projet'!$E$12+1,1))</f>
        <v>201.36664523637006</v>
      </c>
      <c r="CE32" s="59">
        <f t="shared" si="40"/>
        <v>79.394119001888555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6.4</v>
      </c>
      <c r="CT32" s="12">
        <f>IF('Données projet'!$A$140&gt;35,CT31+CS32-DB31,IF(A32&lt;'Données projet'!$A$140,$CQ$205^A32,IF(A32='Données projet'!$A$140,'Données projet'!$B$140,CT31+CS32-DB31)))</f>
        <v>99.600000000000023</v>
      </c>
      <c r="CU32" s="17">
        <f>CT32*VLOOKUP('Données projet'!$B$13,Paramètres!$A$1:$I$89,3,0)*VLOOKUP('Données projet'!$B$13,Paramètres!$A$1:$I$89,5,0)</f>
        <v>90.11808000000002</v>
      </c>
      <c r="CV32" s="13">
        <f t="shared" si="41"/>
        <v>24.59370087307153</v>
      </c>
      <c r="CW32" s="20">
        <f t="shared" si="13"/>
        <v>199.78968502059959</v>
      </c>
      <c r="CX32" s="59">
        <f t="shared" si="14"/>
        <v>493.12301835393293</v>
      </c>
      <c r="CY32" s="59">
        <f ca="1">AVERAGE(OFFSET($CX$3,0,0,'Données projet'!$E$13+1,1))-AVERAGE(OFFSET($H$3,0,0,'Données projet'!$E$13+1,1))</f>
        <v>282.08542131880455</v>
      </c>
      <c r="CZ32" s="59">
        <f t="shared" si="42"/>
        <v>174.27503468762325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12.2</v>
      </c>
      <c r="DO32" s="12">
        <f>IF('Données projet'!$A$166&gt;35,DO31+DN32-DW31,IF(A32&lt;'Données projet'!$A$166,$DL$205^A32,IF(A32='Données projet'!$A$166,'Données projet'!$B$166,DO31+DN32-DW31)))</f>
        <v>161.79999999999998</v>
      </c>
      <c r="DP32" s="17">
        <f>DO32*VLOOKUP('Données projet'!$B$14,Paramètres!$A$1:$I$89,3,0)*VLOOKUP('Données projet'!$B$14,Paramètres!$A$1:$I$89,5,0)</f>
        <v>131.25216</v>
      </c>
      <c r="DQ32" s="13">
        <f t="shared" si="43"/>
        <v>34.285535125000187</v>
      </c>
      <c r="DR32" s="20">
        <f t="shared" si="16"/>
        <v>288.31148567604197</v>
      </c>
      <c r="DS32" s="59">
        <f t="shared" si="17"/>
        <v>581.64481900937528</v>
      </c>
      <c r="DT32" s="59">
        <f ca="1">AVERAGE(OFFSET($DS$3,0,0,'Données projet'!$E$14+1,1))-AVERAGE(OFFSET($H$3,0,0,'Données projet'!$E$14+1,1))</f>
        <v>235.31102883830971</v>
      </c>
      <c r="DU32" s="59">
        <f t="shared" si="44"/>
        <v>271.48630853790422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399</v>
      </c>
      <c r="L33" s="12">
        <f>VLOOKUP(A33,'Données projet'!$A$35:$I$55,9,0)</f>
        <v>27.5</v>
      </c>
      <c r="M33" s="12">
        <f t="array" ref="M33">INDEX(L:L,MIN(IF(ISNUMBER(L33:L229),ROW(L33:L229),"")))</f>
        <v>27.5</v>
      </c>
      <c r="N33" s="13">
        <f>IF('Données projet'!$A$36&gt;35,N32+M33-V32,IF(A33&lt;'Données projet'!$A$36,$K$205^A33,IF(A33='Données projet'!$A$36,'Données projet'!$B$36,N32+M33-V32)))</f>
        <v>399</v>
      </c>
      <c r="O33" s="13">
        <f>N33*VLOOKUP('Données projet'!$B$9,Paramètres!$A$1:$I$89,3,0)*VLOOKUP('Données projet'!$B$9,Paramètres!$A$1:$I$89,5,0)</f>
        <v>223.041</v>
      </c>
      <c r="P33" s="13">
        <f t="shared" si="33"/>
        <v>54.775303040983225</v>
      </c>
      <c r="Q33" s="20">
        <f t="shared" si="2"/>
        <v>483.86339446304572</v>
      </c>
      <c r="R33" s="59">
        <f t="shared" si="0"/>
        <v>777.19672779637904</v>
      </c>
      <c r="S33" s="59">
        <f ca="1">AVERAGE(OFFSET($R$3,0,0,'Données projet'!$E$9+1,1))-AVERAGE(OFFSET($H$3,0,0,'Données projet'!$E$9+1,1))</f>
        <v>446.28010102877403</v>
      </c>
      <c r="T33" s="59">
        <f t="shared" si="34"/>
        <v>445.84011537290456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140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11.419862771096829</v>
      </c>
      <c r="AA33" s="21">
        <f>EXP(-LN(2)/25)*AA32+(1-EXP(-LN(2)/25))/(LN(2)/25)*Calculateur!V33*Calculateur!X33*VLOOKUP('Données projet'!$B$9,Paramètres!$A$1:$I$89,3,0)*0.475*44/12</f>
        <v>38.759410105081791</v>
      </c>
      <c r="AB33" s="21">
        <f>EXP(-LN(2)/2)*AB32+(1-EXP(-LN(2)/2))/(LN(2)/2)*V33*Y33*VLOOKUP('Données projet'!$B$9,Paramètres!$A$1:$I$89,3,0)*0.475*44/12</f>
        <v>36.471891355034096</v>
      </c>
      <c r="AC33" s="22">
        <f t="shared" si="3"/>
        <v>86.651164231212718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237.5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237.49999999999989</v>
      </c>
      <c r="AJ33" s="13">
        <f>AI33*VLOOKUP('Données projet'!$B$10,Paramètres!$A$1:$I$89,3,0)*VLOOKUP('Données projet'!$B$10,Paramètres!$A$1:$I$89,5,0)</f>
        <v>111.14999999999995</v>
      </c>
      <c r="AK33" s="13">
        <f t="shared" si="35"/>
        <v>29.601769319956546</v>
      </c>
      <c r="AL33" s="20">
        <f t="shared" si="4"/>
        <v>245.14266489892427</v>
      </c>
      <c r="AM33" s="59">
        <f t="shared" si="5"/>
        <v>538.47599823225755</v>
      </c>
      <c r="AN33" s="59">
        <f ca="1">AVERAGE(OFFSET($AM$3,0,0,'Données projet'!$E$10+1,1))-AVERAGE(OFFSET($H$3,0,0,'Données projet'!$E$10+1,1))</f>
        <v>252.98248842635206</v>
      </c>
      <c r="AO33" s="59">
        <f t="shared" si="36"/>
        <v>207.11938580878308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45.9</v>
      </c>
      <c r="AR33" s="16">
        <f>IF(ISNA(VLOOKUP(A33,'Données projet'!$A$61:$I$81,5,0)),0%,VLOOKUP(A33,'Données projet'!$A$61:$I$81,5,0)*VLOOKUP('Données projet'!$B$10,Paramètres!$A$1:$I$89,7,0))</f>
        <v>0.11000000000000001</v>
      </c>
      <c r="AS33" s="16">
        <f>IF(ISNA(VLOOKUP(A33,'Données projet'!$A$61:$I$81,6,0)),0%,VLOOKUP(A33,'Données projet'!$A$61:$I$81,6,0)*VLOOKUP('Données projet'!$B$10,Paramètres!$A$1:$I$89,7,0))</f>
        <v>0.22000000000000003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3.1345816018206638</v>
      </c>
      <c r="AV33" s="21">
        <f>EXP(-LN(2)/25)*AV32+(1-EXP(-LN(2)/25))/(LN(2)/25)*Calculateur!AQ33*Calculateur!AS33*VLOOKUP('Données projet'!$B$10,Paramètres!$A$1:$I$89,3,0)*0.475*44/12</f>
        <v>7.8554643539932272</v>
      </c>
      <c r="AW33" s="21">
        <f>EXP(-LN(2)/2)*AW32+(1-EXP(-LN(2)/2))/(LN(2)/2)*AQ33*AT33*VLOOKUP('Données projet'!$B$10,Paramètres!$A$1:$I$89,3,0)*0.475*44/12</f>
        <v>9.8321764802959866</v>
      </c>
      <c r="AX33" s="21">
        <f t="shared" si="6"/>
        <v>20.822222436109875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54</v>
      </c>
      <c r="BB33" s="12">
        <f>VLOOKUP(A33,'Données projet'!$A$87:$I$107,9,0)</f>
        <v>4.8</v>
      </c>
      <c r="BC33" s="12">
        <f t="array" ref="BC33">INDEX(BB:BB,MIN(IF(ISNUMBER(BB33:BB229),ROW(BB33:BB229),"")))</f>
        <v>4.8</v>
      </c>
      <c r="BD33" s="12">
        <f>IF('Données projet'!$A$88&gt;35,BD32+BC33-BL32,IF(A33&lt;'Données projet'!$A$88,$BA$205^A33,IF(A33='Données projet'!$A$88,'Données projet'!$B$88,BD32+BC33-BL32)))</f>
        <v>53.999999999999986</v>
      </c>
      <c r="BE33" s="13">
        <f>BD33*VLOOKUP('Données projet'!$B$11,Paramètres!$A$1:$I$89,3,0)*VLOOKUP('Données projet'!$B$11,Paramètres!$A$1:$I$89,5,0)</f>
        <v>35.380799999999986</v>
      </c>
      <c r="BF33" s="13">
        <f t="shared" si="37"/>
        <v>10.765721954933237</v>
      </c>
      <c r="BG33" s="20">
        <f t="shared" si="7"/>
        <v>80.371859071508695</v>
      </c>
      <c r="BH33" s="59">
        <f t="shared" si="8"/>
        <v>373.70519240484202</v>
      </c>
      <c r="BI33" s="59">
        <f ca="1">AVERAGE(OFFSET($BH$3,0,0,'Données projet'!$E$11+1,1))-AVERAGE(OFFSET($H$3,0,0,'Données projet'!$E$11+1,1))</f>
        <v>114.23168847330004</v>
      </c>
      <c r="BJ33" s="59">
        <f t="shared" si="38"/>
        <v>42.34857998136755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54</v>
      </c>
      <c r="BW33" s="12">
        <f>VLOOKUP(A33,'Données projet'!$A$113:$I$133,9,0)</f>
        <v>4.8</v>
      </c>
      <c r="BX33" s="12">
        <f t="array" ref="BX33">INDEX(BW:BW,MIN(IF(ISNUMBER(BW33:BW229),ROW(BW33:BW229),"")))</f>
        <v>4.8</v>
      </c>
      <c r="BY33" s="12">
        <f>IF('Données projet'!$A$114&gt;35,BY32+BX33-CG32,IF(A33&lt;'Données projet'!$A$114,$BV$205^A33,IF(A33='Données projet'!$A$114,'Données projet'!$B$114,BY32+BX33-CG32)))</f>
        <v>53.999999999999986</v>
      </c>
      <c r="BZ33" s="13">
        <f>BY33*VLOOKUP('Données projet'!$B$12,Paramètres!$A$1:$I$89,3,0)*VLOOKUP('Données projet'!$B$12,Paramètres!$A$1:$I$89,5,0)</f>
        <v>52.228799999999985</v>
      </c>
      <c r="CA33" s="13">
        <f t="shared" si="39"/>
        <v>15.187887899730002</v>
      </c>
      <c r="CB33" s="20">
        <f t="shared" si="10"/>
        <v>117.41739809202973</v>
      </c>
      <c r="CC33" s="59">
        <f t="shared" si="11"/>
        <v>410.75073142536303</v>
      </c>
      <c r="CD33" s="59">
        <f ca="1">AVERAGE(OFFSET($CC$3,0,0,'Données projet'!$E$12+1,1))-AVERAGE(OFFSET($H$3,0,0,'Données projet'!$E$12+1,1))</f>
        <v>201.36664523637006</v>
      </c>
      <c r="CE33" s="59">
        <f t="shared" si="40"/>
        <v>79.394119001888555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0.215</v>
      </c>
      <c r="CJ33" s="16">
        <f>IF(ISNA(VLOOKUP(A33,'Données projet'!$A$113:$I$133,7,0)),0%,VLOOKUP(A33,'Données projet'!$A$113:$I$133,7,0))</f>
        <v>0.5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106</v>
      </c>
      <c r="CR33" s="12">
        <f>VLOOKUP(A33,'Données projet'!$A$139:$I$159,9,0)</f>
        <v>6.4</v>
      </c>
      <c r="CS33" s="12">
        <f t="array" ref="CS33">INDEX(CR:CR,MIN(IF(ISNUMBER(CR33:CR229),ROW(CR33:CR229),"")))</f>
        <v>6.4</v>
      </c>
      <c r="CT33" s="12">
        <f>IF('Données projet'!$A$140&gt;35,CT32+CS33-DB32,IF(A33&lt;'Données projet'!$A$140,$CQ$205^A33,IF(A33='Données projet'!$A$140,'Données projet'!$B$140,CT32+CS33-DB32)))</f>
        <v>106.00000000000003</v>
      </c>
      <c r="CU33" s="17">
        <f>CT33*VLOOKUP('Données projet'!$B$13,Paramètres!$A$1:$I$89,3,0)*VLOOKUP('Données projet'!$B$13,Paramètres!$A$1:$I$89,5,0)</f>
        <v>95.908800000000014</v>
      </c>
      <c r="CV33" s="13">
        <f t="shared" si="41"/>
        <v>25.984968676228355</v>
      </c>
      <c r="CW33" s="20">
        <f t="shared" si="13"/>
        <v>212.29831377776441</v>
      </c>
      <c r="CX33" s="59">
        <f t="shared" si="14"/>
        <v>505.63164711109772</v>
      </c>
      <c r="CY33" s="59">
        <f ca="1">AVERAGE(OFFSET($CX$3,0,0,'Données projet'!$E$13+1,1))-AVERAGE(OFFSET($H$3,0,0,'Données projet'!$E$13+1,1))</f>
        <v>282.08542131880455</v>
      </c>
      <c r="CZ33" s="59">
        <f t="shared" si="42"/>
        <v>174.27503468762325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29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0.215</v>
      </c>
      <c r="DE33" s="16">
        <f>IF(ISNA(VLOOKUP(A33,'Données projet'!$A$139:$I$159,7,0)),0%,VLOOKUP(A33,'Données projet'!$A$139:$I$159,7,0))</f>
        <v>0.5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6.2118763449798164</v>
      </c>
      <c r="DH33" s="21">
        <f>EXP(-LN(2)/2)*DH32+(1-EXP(-LN(2)/2))/(LN(2)/2)*DB33*DE33*VLOOKUP('Données projet'!$B$13,Paramètres!$A$1:$I$89,3,0)*0.475*44/12</f>
        <v>12.378695708856851</v>
      </c>
      <c r="DI33" s="22">
        <f t="shared" si="15"/>
        <v>18.590572053836667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174</v>
      </c>
      <c r="DM33" s="12">
        <f>VLOOKUP(A33,'Données projet'!$A$165:$I$185,9,0)</f>
        <v>12.2</v>
      </c>
      <c r="DN33" s="12">
        <f t="array" ref="DN33">INDEX(DM:DM,MIN(IF(ISNUMBER(DM33:DM229),ROW(DM33:DM229),"")))</f>
        <v>12.2</v>
      </c>
      <c r="DO33" s="12">
        <f>IF('Données projet'!$A$166&gt;35,DO32+DN33-DW32,IF(A33&lt;'Données projet'!$A$166,$DL$205^A33,IF(A33='Données projet'!$A$166,'Données projet'!$B$166,DO32+DN33-DW32)))</f>
        <v>173.99999999999997</v>
      </c>
      <c r="DP33" s="17">
        <f>DO33*VLOOKUP('Données projet'!$B$14,Paramètres!$A$1:$I$89,3,0)*VLOOKUP('Données projet'!$B$14,Paramètres!$A$1:$I$89,5,0)</f>
        <v>141.14879999999999</v>
      </c>
      <c r="DQ33" s="13">
        <f t="shared" si="43"/>
        <v>36.560054140504484</v>
      </c>
      <c r="DR33" s="20">
        <f t="shared" si="16"/>
        <v>309.50958762804532</v>
      </c>
      <c r="DS33" s="59">
        <f t="shared" si="17"/>
        <v>602.8429209613787</v>
      </c>
      <c r="DT33" s="59">
        <f ca="1">AVERAGE(OFFSET($DS$3,0,0,'Données projet'!$E$14+1,1))-AVERAGE(OFFSET($H$3,0,0,'Données projet'!$E$14+1,1))</f>
        <v>235.31102883830971</v>
      </c>
      <c r="DU33" s="59">
        <f t="shared" si="44"/>
        <v>271.48630853790422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56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0.215</v>
      </c>
      <c r="DZ33" s="16">
        <f>IF(ISNA(VLOOKUP(A33,'Données projet'!$A$165:$I$185,7,0)),0%,VLOOKUP(A33,'Données projet'!$A$165:$I$185,7,0))</f>
        <v>0.5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10.75444941532772</v>
      </c>
      <c r="EC33" s="21">
        <f>EXP(-LN(2)/2)*EC32+(1-EXP(-LN(2)/2))/(LN(2)/2)*DW33*DZ33*VLOOKUP('Données projet'!$B$14,Paramètres!$A$1:$I$89,3,0)*0.475*44/12</f>
        <v>21.430892927580945</v>
      </c>
      <c r="ED33" s="22">
        <f t="shared" si="18"/>
        <v>32.185342342908669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26.8</v>
      </c>
      <c r="N34" s="13">
        <f>IF('Données projet'!$A$36&gt;35,N33+M34-V33,IF(A34&lt;'Données projet'!$A$36,$K$205^A34,IF(A34='Données projet'!$A$36,'Données projet'!$B$36,N33+M34-V33)))</f>
        <v>285.8</v>
      </c>
      <c r="O34" s="13">
        <f>N34*VLOOKUP('Données projet'!$B$9,Paramètres!$A$1:$I$89,3,0)*VLOOKUP('Données projet'!$B$9,Paramètres!$A$1:$I$89,5,0)</f>
        <v>159.76220000000001</v>
      </c>
      <c r="P34" s="13">
        <f t="shared" si="33"/>
        <v>40.788874310808829</v>
      </c>
      <c r="Q34" s="20">
        <f t="shared" si="2"/>
        <v>349.29312109132542</v>
      </c>
      <c r="R34" s="59">
        <f t="shared" si="0"/>
        <v>642.62645442465873</v>
      </c>
      <c r="S34" s="59">
        <f ca="1">AVERAGE(OFFSET($R$3,0,0,'Données projet'!$E$9+1,1))-AVERAGE(OFFSET($H$3,0,0,'Données projet'!$E$9+1,1))</f>
        <v>446.28010102877403</v>
      </c>
      <c r="T34" s="59">
        <f t="shared" si="34"/>
        <v>445.84011537290456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11.195926227584131</v>
      </c>
      <c r="AA34" s="21">
        <f>EXP(-LN(2)/25)*AA33+(1-EXP(-LN(2)/25))/(LN(2)/25)*Calculateur!V34*Calculateur!X34*VLOOKUP('Données projet'!$B$9,Paramètres!$A$1:$I$89,3,0)*0.475*44/12</f>
        <v>37.699531997489537</v>
      </c>
      <c r="AB34" s="21">
        <f>EXP(-LN(2)/2)*AB33+(1-EXP(-LN(2)/2))/(LN(2)/2)*V34*Y34*VLOOKUP('Données projet'!$B$9,Paramètres!$A$1:$I$89,3,0)*0.475*44/12</f>
        <v>25.789521699843629</v>
      </c>
      <c r="AC34" s="22">
        <f t="shared" si="3"/>
        <v>74.6849799249173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10.000000000000004</v>
      </c>
      <c r="AI34" s="13">
        <f>IF('Données projet'!$A$62&gt;35,AI33+AH34-AQ33,IF(A34&lt;'Données projet'!$A$62,$AF$205^A34,IF(A34='Données projet'!$A$62,'Données projet'!$B$62,AI33+AH34-AQ33)))</f>
        <v>201.59999999999988</v>
      </c>
      <c r="AJ34" s="13">
        <f>AI34*VLOOKUP('Données projet'!$B$10,Paramètres!$A$1:$I$89,3,0)*VLOOKUP('Données projet'!$B$10,Paramètres!$A$1:$I$89,5,0)</f>
        <v>94.34879999999994</v>
      </c>
      <c r="AK34" s="13">
        <f t="shared" si="35"/>
        <v>25.611153022386439</v>
      </c>
      <c r="AL34" s="20">
        <f t="shared" si="4"/>
        <v>208.93025151398959</v>
      </c>
      <c r="AM34" s="59">
        <f t="shared" si="5"/>
        <v>502.26358484732293</v>
      </c>
      <c r="AN34" s="59">
        <f ca="1">AVERAGE(OFFSET($AM$3,0,0,'Données projet'!$E$10+1,1))-AVERAGE(OFFSET($H$3,0,0,'Données projet'!$E$10+1,1))</f>
        <v>252.98248842635206</v>
      </c>
      <c r="AO34" s="59">
        <f t="shared" si="36"/>
        <v>207.11938580878308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3.0731143685149527</v>
      </c>
      <c r="AV34" s="21">
        <f>EXP(-LN(2)/25)*AV33+(1-EXP(-LN(2)/25))/(LN(2)/25)*Calculateur!AQ34*Calculateur!AS34*VLOOKUP('Données projet'!$B$10,Paramètres!$A$1:$I$89,3,0)*0.475*44/12</f>
        <v>7.640656268132366</v>
      </c>
      <c r="AW34" s="21">
        <f>EXP(-LN(2)/2)*AW33+(1-EXP(-LN(2)/2))/(LN(2)/2)*AQ34*AT34*VLOOKUP('Données projet'!$B$10,Paramètres!$A$1:$I$89,3,0)*0.475*44/12</f>
        <v>6.9523986630401735</v>
      </c>
      <c r="AX34" s="21">
        <f t="shared" si="6"/>
        <v>17.666169299687493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5.2</v>
      </c>
      <c r="BD34" s="12">
        <f>IF('Données projet'!$A$88&gt;35,BD33+BC34-BL33,IF(A34&lt;'Données projet'!$A$88,$BA$205^A34,IF(A34='Données projet'!$A$88,'Données projet'!$B$88,BD33+BC34-BL33)))</f>
        <v>59.199999999999989</v>
      </c>
      <c r="BE34" s="13">
        <f>BD34*VLOOKUP('Données projet'!$B$11,Paramètres!$A$1:$I$89,3,0)*VLOOKUP('Données projet'!$B$11,Paramètres!$A$1:$I$89,5,0)</f>
        <v>38.787839999999989</v>
      </c>
      <c r="BF34" s="13">
        <f t="shared" si="37"/>
        <v>11.676790625830154</v>
      </c>
      <c r="BG34" s="20">
        <f t="shared" si="7"/>
        <v>87.892565006654152</v>
      </c>
      <c r="BH34" s="59">
        <f t="shared" si="8"/>
        <v>381.22589833998745</v>
      </c>
      <c r="BI34" s="59">
        <f ca="1">AVERAGE(OFFSET($BH$3,0,0,'Données projet'!$E$11+1,1))-AVERAGE(OFFSET($H$3,0,0,'Données projet'!$E$11+1,1))</f>
        <v>114.23168847330004</v>
      </c>
      <c r="BJ34" s="59">
        <f t="shared" si="38"/>
        <v>42.34857998136755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5.2</v>
      </c>
      <c r="BY34" s="12">
        <f>IF('Données projet'!$A$114&gt;35,BY33+BX34-CG33,IF(A34&lt;'Données projet'!$A$114,$BV$205^A34,IF(A34='Données projet'!$A$114,'Données projet'!$B$114,BY33+BX34-CG33)))</f>
        <v>59.199999999999989</v>
      </c>
      <c r="BZ34" s="13">
        <f>BY34*VLOOKUP('Données projet'!$B$12,Paramètres!$A$1:$I$89,3,0)*VLOOKUP('Données projet'!$B$12,Paramètres!$A$1:$I$89,5,0)</f>
        <v>57.258239999999994</v>
      </c>
      <c r="CA34" s="13">
        <f t="shared" si="39"/>
        <v>16.473190353245219</v>
      </c>
      <c r="CB34" s="20">
        <f t="shared" si="10"/>
        <v>128.41557453190208</v>
      </c>
      <c r="CC34" s="59">
        <f t="shared" si="11"/>
        <v>421.74890786523542</v>
      </c>
      <c r="CD34" s="59">
        <f ca="1">AVERAGE(OFFSET($CC$3,0,0,'Données projet'!$E$12+1,1))-AVERAGE(OFFSET($H$3,0,0,'Données projet'!$E$12+1,1))</f>
        <v>201.36664523637006</v>
      </c>
      <c r="CE34" s="59">
        <f t="shared" si="40"/>
        <v>79.394119001888555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8.1</v>
      </c>
      <c r="CT34" s="12">
        <f>IF('Données projet'!$A$140&gt;35,CT33+CS34-DB33,IF(A34&lt;'Données projet'!$A$140,$CQ$205^A34,IF(A34='Données projet'!$A$140,'Données projet'!$B$140,CT33+CS34-DB33)))</f>
        <v>85.100000000000023</v>
      </c>
      <c r="CU34" s="17">
        <f>CT34*VLOOKUP('Données projet'!$B$13,Paramètres!$A$1:$I$89,3,0)*VLOOKUP('Données projet'!$B$13,Paramètres!$A$1:$I$89,5,0)</f>
        <v>76.998480000000015</v>
      </c>
      <c r="CV34" s="13">
        <f t="shared" si="41"/>
        <v>21.40167153488548</v>
      </c>
      <c r="CW34" s="20">
        <f t="shared" si="13"/>
        <v>171.38026392325889</v>
      </c>
      <c r="CX34" s="59">
        <f t="shared" si="14"/>
        <v>464.71359725659221</v>
      </c>
      <c r="CY34" s="59">
        <f ca="1">AVERAGE(OFFSET($CX$3,0,0,'Données projet'!$E$13+1,1))-AVERAGE(OFFSET($H$3,0,0,'Données projet'!$E$13+1,1))</f>
        <v>282.08542131880455</v>
      </c>
      <c r="CZ34" s="59">
        <f t="shared" si="42"/>
        <v>174.27503468762325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6.0420122596579642</v>
      </c>
      <c r="DH34" s="21">
        <f>EXP(-LN(2)/2)*DH33+(1-EXP(-LN(2)/2))/(LN(2)/2)*DB34*DE34*VLOOKUP('Données projet'!$B$13,Paramètres!$A$1:$I$89,3,0)*0.475*44/12</f>
        <v>8.7530596779774967</v>
      </c>
      <c r="DI34" s="22">
        <f t="shared" si="15"/>
        <v>14.795071937635461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10.199999999999999</v>
      </c>
      <c r="DO34" s="12">
        <f>IF('Données projet'!$A$166&gt;35,DO33+DN34-DW33,IF(A34&lt;'Données projet'!$A$166,$DL$205^A34,IF(A34='Données projet'!$A$166,'Données projet'!$B$166,DO33+DN34-DW33)))</f>
        <v>128.19999999999996</v>
      </c>
      <c r="DP34" s="17">
        <f>DO34*VLOOKUP('Données projet'!$B$14,Paramètres!$A$1:$I$89,3,0)*VLOOKUP('Données projet'!$B$14,Paramètres!$A$1:$I$89,5,0)</f>
        <v>103.99583999999999</v>
      </c>
      <c r="DQ34" s="13">
        <f t="shared" si="43"/>
        <v>27.911769723878031</v>
      </c>
      <c r="DR34" s="20">
        <f t="shared" si="16"/>
        <v>229.73908693575422</v>
      </c>
      <c r="DS34" s="59">
        <f t="shared" si="17"/>
        <v>523.0724202690875</v>
      </c>
      <c r="DT34" s="59">
        <f ca="1">AVERAGE(OFFSET($DS$3,0,0,'Données projet'!$E$14+1,1))-AVERAGE(OFFSET($H$3,0,0,'Données projet'!$E$14+1,1))</f>
        <v>235.31102883830971</v>
      </c>
      <c r="DU34" s="59">
        <f t="shared" si="44"/>
        <v>271.48630853790422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10.460368430513668</v>
      </c>
      <c r="EC34" s="21">
        <f>EXP(-LN(2)/2)*EC33+(1-EXP(-LN(2)/2))/(LN(2)/2)*DW34*DZ34*VLOOKUP('Données projet'!$B$14,Paramètres!$A$1:$I$89,3,0)*0.475*44/12</f>
        <v>15.153929715975309</v>
      </c>
      <c r="ED34" s="22">
        <f t="shared" si="18"/>
        <v>25.614298146488977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26.8</v>
      </c>
      <c r="N35" s="13">
        <f>IF('Données projet'!$A$36&gt;35,N34+M35-V34,IF(A35&lt;'Données projet'!$A$36,$K$205^A35,IF(A35='Données projet'!$A$36,'Données projet'!$B$36,N34+M35-V34)))</f>
        <v>312.60000000000002</v>
      </c>
      <c r="O35" s="13">
        <f>N35*VLOOKUP('Données projet'!$B$9,Paramètres!$A$1:$I$89,3,0)*VLOOKUP('Données projet'!$B$9,Paramètres!$A$1:$I$89,5,0)</f>
        <v>174.74340000000001</v>
      </c>
      <c r="P35" s="13">
        <f t="shared" si="33"/>
        <v>44.150679855848523</v>
      </c>
      <c r="Q35" s="20">
        <f t="shared" ref="Q35:Q66" si="53">(O35+P35)*0.475*44/12</f>
        <v>381.24052241560281</v>
      </c>
      <c r="R35" s="59">
        <f t="shared" si="0"/>
        <v>674.57385574893613</v>
      </c>
      <c r="S35" s="59">
        <f ca="1">AVERAGE(OFFSET($R$3,0,0,'Données projet'!$E$9+1,1))-AVERAGE(OFFSET($H$3,0,0,'Données projet'!$E$9+1,1))</f>
        <v>446.28010102877403</v>
      </c>
      <c r="T35" s="59">
        <f t="shared" si="34"/>
        <v>445.84011537290456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10.976380943101914</v>
      </c>
      <c r="AA35" s="21">
        <f>EXP(-LN(2)/25)*AA34+(1-EXP(-LN(2)/25))/(LN(2)/25)*Calculateur!V35*Calculateur!X35*VLOOKUP('Données projet'!$B$9,Paramètres!$A$1:$I$89,3,0)*0.475*44/12</f>
        <v>36.668636312485958</v>
      </c>
      <c r="AB35" s="21">
        <f>EXP(-LN(2)/2)*AB34+(1-EXP(-LN(2)/2))/(LN(2)/2)*V35*Y35*VLOOKUP('Données projet'!$B$9,Paramètres!$A$1:$I$89,3,0)*0.475*44/12</f>
        <v>18.235945677517048</v>
      </c>
      <c r="AC35" s="22">
        <f t="shared" si="3"/>
        <v>65.880962933104925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10.000000000000004</v>
      </c>
      <c r="AI35" s="13">
        <f>IF('Données projet'!$A$62&gt;35,AI34+AH35-AQ34,IF(A35&lt;'Données projet'!$A$62,$AF$205^A35,IF(A35='Données projet'!$A$62,'Données projet'!$B$62,AI34+AH35-AQ34)))</f>
        <v>211.59999999999988</v>
      </c>
      <c r="AJ35" s="13">
        <f>AI35*VLOOKUP('Données projet'!$B$10,Paramètres!$A$1:$I$89,3,0)*VLOOKUP('Données projet'!$B$10,Paramètres!$A$1:$I$89,5,0)</f>
        <v>99.028799999999947</v>
      </c>
      <c r="AK35" s="13">
        <f t="shared" si="35"/>
        <v>26.730491283721712</v>
      </c>
      <c r="AL35" s="20">
        <f t="shared" si="4"/>
        <v>219.0307656524819</v>
      </c>
      <c r="AM35" s="59">
        <f t="shared" si="5"/>
        <v>512.36409898581519</v>
      </c>
      <c r="AN35" s="59">
        <f ca="1">AVERAGE(OFFSET($AM$3,0,0,'Données projet'!$E$10+1,1))-AVERAGE(OFFSET($H$3,0,0,'Données projet'!$E$10+1,1))</f>
        <v>252.98248842635206</v>
      </c>
      <c r="AO35" s="59">
        <f t="shared" si="36"/>
        <v>207.11938580878308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3.0128524701630561</v>
      </c>
      <c r="AV35" s="21">
        <f>EXP(-LN(2)/25)*AV34+(1-EXP(-LN(2)/25))/(LN(2)/25)*Calculateur!AQ35*Calculateur!AS35*VLOOKUP('Données projet'!$B$10,Paramètres!$A$1:$I$89,3,0)*0.475*44/12</f>
        <v>7.4317221206756363</v>
      </c>
      <c r="AW35" s="21">
        <f>EXP(-LN(2)/2)*AW34+(1-EXP(-LN(2)/2))/(LN(2)/2)*AQ35*AT35*VLOOKUP('Données projet'!$B$10,Paramètres!$A$1:$I$89,3,0)*0.475*44/12</f>
        <v>4.9160882401479942</v>
      </c>
      <c r="AX35" s="21">
        <f t="shared" si="6"/>
        <v>15.360662830986687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5.2</v>
      </c>
      <c r="BD35" s="12">
        <f>IF('Données projet'!$A$88&gt;35,BD34+BC35-BL34,IF(A35&lt;'Données projet'!$A$88,$BA$205^A35,IF(A35='Données projet'!$A$88,'Données projet'!$B$88,BD34+BC35-BL34)))</f>
        <v>64.399999999999991</v>
      </c>
      <c r="BE35" s="13">
        <f>BD35*VLOOKUP('Données projet'!$B$11,Paramètres!$A$1:$I$89,3,0)*VLOOKUP('Données projet'!$B$11,Paramètres!$A$1:$I$89,5,0)</f>
        <v>42.194879999999991</v>
      </c>
      <c r="BF35" s="13">
        <f t="shared" si="37"/>
        <v>12.578579106182659</v>
      </c>
      <c r="BG35" s="20">
        <f t="shared" si="7"/>
        <v>95.397107943268111</v>
      </c>
      <c r="BH35" s="59">
        <f t="shared" si="8"/>
        <v>388.73044127660143</v>
      </c>
      <c r="BI35" s="59">
        <f ca="1">AVERAGE(OFFSET($BH$3,0,0,'Données projet'!$E$11+1,1))-AVERAGE(OFFSET($H$3,0,0,'Données projet'!$E$11+1,1))</f>
        <v>114.23168847330004</v>
      </c>
      <c r="BJ35" s="59">
        <f t="shared" si="38"/>
        <v>42.34857998136755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5.2</v>
      </c>
      <c r="BY35" s="12">
        <f>IF('Données projet'!$A$114&gt;35,BY34+BX35-CG34,IF(A35&lt;'Données projet'!$A$114,$BV$205^A35,IF(A35='Données projet'!$A$114,'Données projet'!$B$114,BY34+BX35-CG34)))</f>
        <v>64.399999999999991</v>
      </c>
      <c r="BZ35" s="13">
        <f>BY35*VLOOKUP('Données projet'!$B$12,Paramètres!$A$1:$I$89,3,0)*VLOOKUP('Données projet'!$B$12,Paramètres!$A$1:$I$89,5,0)</f>
        <v>62.287679999999995</v>
      </c>
      <c r="CA35" s="13">
        <f t="shared" si="39"/>
        <v>17.745400652396182</v>
      </c>
      <c r="CB35" s="20">
        <f t="shared" si="10"/>
        <v>139.39094880292336</v>
      </c>
      <c r="CC35" s="59">
        <f t="shared" si="11"/>
        <v>432.72428213625665</v>
      </c>
      <c r="CD35" s="59">
        <f ca="1">AVERAGE(OFFSET($CC$3,0,0,'Données projet'!$E$12+1,1))-AVERAGE(OFFSET($H$3,0,0,'Données projet'!$E$12+1,1))</f>
        <v>201.36664523637006</v>
      </c>
      <c r="CE35" s="59">
        <f t="shared" si="40"/>
        <v>79.394119001888555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8.1</v>
      </c>
      <c r="CT35" s="12">
        <f>IF('Données projet'!$A$140&gt;35,CT34+CS35-DB34,IF(A35&lt;'Données projet'!$A$140,$CQ$205^A35,IF(A35='Données projet'!$A$140,'Données projet'!$B$140,CT34+CS35-DB34)))</f>
        <v>93.200000000000017</v>
      </c>
      <c r="CU35" s="17">
        <f>CT35*VLOOKUP('Données projet'!$B$13,Paramètres!$A$1:$I$89,3,0)*VLOOKUP('Données projet'!$B$13,Paramètres!$A$1:$I$89,5,0)</f>
        <v>84.327360000000013</v>
      </c>
      <c r="CV35" s="13">
        <f t="shared" si="41"/>
        <v>23.191980396127203</v>
      </c>
      <c r="CW35" s="20">
        <f t="shared" si="13"/>
        <v>187.26285118992155</v>
      </c>
      <c r="CX35" s="59">
        <f t="shared" si="14"/>
        <v>480.59618452325486</v>
      </c>
      <c r="CY35" s="59">
        <f ca="1">AVERAGE(OFFSET($CX$3,0,0,'Données projet'!$E$13+1,1))-AVERAGE(OFFSET($H$3,0,0,'Données projet'!$E$13+1,1))</f>
        <v>282.08542131880455</v>
      </c>
      <c r="CZ35" s="59">
        <f t="shared" si="42"/>
        <v>174.27503468762325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5.876793116682002</v>
      </c>
      <c r="DH35" s="21">
        <f>EXP(-LN(2)/2)*DH34+(1-EXP(-LN(2)/2))/(LN(2)/2)*DB35*DE35*VLOOKUP('Données projet'!$B$13,Paramètres!$A$1:$I$89,3,0)*0.475*44/12</f>
        <v>6.1893478544284264</v>
      </c>
      <c r="DI35" s="22">
        <f t="shared" si="15"/>
        <v>12.066140971110428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10.199999999999999</v>
      </c>
      <c r="DO35" s="12">
        <f>IF('Données projet'!$A$166&gt;35,DO34+DN35-DW34,IF(A35&lt;'Données projet'!$A$166,$DL$205^A35,IF(A35='Données projet'!$A$166,'Données projet'!$B$166,DO34+DN35-DW34)))</f>
        <v>138.39999999999995</v>
      </c>
      <c r="DP35" s="17">
        <f>DO35*VLOOKUP('Données projet'!$B$14,Paramètres!$A$1:$I$89,3,0)*VLOOKUP('Données projet'!$B$14,Paramètres!$A$1:$I$89,5,0)</f>
        <v>112.27007999999996</v>
      </c>
      <c r="DQ35" s="13">
        <f t="shared" si="43"/>
        <v>29.86519561157689</v>
      </c>
      <c r="DR35" s="20">
        <f t="shared" si="16"/>
        <v>247.552271690163</v>
      </c>
      <c r="DS35" s="59">
        <f t="shared" si="17"/>
        <v>540.88560502349628</v>
      </c>
      <c r="DT35" s="59">
        <f ca="1">AVERAGE(OFFSET($DS$3,0,0,'Données projet'!$E$14+1,1))-AVERAGE(OFFSET($H$3,0,0,'Données projet'!$E$14+1,1))</f>
        <v>235.31102883830971</v>
      </c>
      <c r="DU35" s="59">
        <f t="shared" si="44"/>
        <v>271.48630853790422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10.174329105694405</v>
      </c>
      <c r="EC35" s="21">
        <f>EXP(-LN(2)/2)*EC34+(1-EXP(-LN(2)/2))/(LN(2)/2)*DW35*DZ35*VLOOKUP('Données projet'!$B$14,Paramètres!$A$1:$I$89,3,0)*0.475*44/12</f>
        <v>10.715446463790474</v>
      </c>
      <c r="ED35" s="22">
        <f t="shared" si="18"/>
        <v>20.889775569484879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26.8</v>
      </c>
      <c r="N36" s="13">
        <f>IF('Données projet'!$A$36&gt;35,N35+M36-V35,IF(A36&lt;'Données projet'!$A$36,$K$205^A36,IF(A36='Données projet'!$A$36,'Données projet'!$B$36,N35+M36-V35)))</f>
        <v>339.40000000000003</v>
      </c>
      <c r="O36" s="13">
        <f>N36*VLOOKUP('Données projet'!$B$9,Paramètres!$A$1:$I$89,3,0)*VLOOKUP('Données projet'!$B$9,Paramètres!$A$1:$I$89,5,0)</f>
        <v>189.72460000000001</v>
      </c>
      <c r="P36" s="13">
        <f t="shared" si="33"/>
        <v>47.479060682252133</v>
      </c>
      <c r="Q36" s="20">
        <f t="shared" si="53"/>
        <v>413.12970902158912</v>
      </c>
      <c r="R36" s="59">
        <f t="shared" si="0"/>
        <v>706.46304235492244</v>
      </c>
      <c r="S36" s="59">
        <f ca="1">AVERAGE(OFFSET($R$3,0,0,'Données projet'!$E$9+1,1))-AVERAGE(OFFSET($H$3,0,0,'Données projet'!$E$9+1,1))</f>
        <v>446.28010102877403</v>
      </c>
      <c r="T36" s="59">
        <f t="shared" si="34"/>
        <v>445.84011537290456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10.761140807738991</v>
      </c>
      <c r="AA36" s="21">
        <f>EXP(-LN(2)/25)*AA35+(1-EXP(-LN(2)/25))/(LN(2)/25)*Calculateur!V36*Calculateur!X36*VLOOKUP('Données projet'!$B$9,Paramètres!$A$1:$I$89,3,0)*0.475*44/12</f>
        <v>35.665930524201251</v>
      </c>
      <c r="AB36" s="21">
        <f>EXP(-LN(2)/2)*AB35+(1-EXP(-LN(2)/2))/(LN(2)/2)*V36*Y36*VLOOKUP('Données projet'!$B$9,Paramètres!$A$1:$I$89,3,0)*0.475*44/12</f>
        <v>12.894760849921814</v>
      </c>
      <c r="AC36" s="22">
        <f t="shared" si="3"/>
        <v>59.321832181862057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10.000000000000004</v>
      </c>
      <c r="AI36" s="13">
        <f>IF('Données projet'!$A$62&gt;35,AI35+AH36-AQ35,IF(A36&lt;'Données projet'!$A$62,$AF$205^A36,IF(A36='Données projet'!$A$62,'Données projet'!$B$62,AI35+AH36-AQ35)))</f>
        <v>221.59999999999988</v>
      </c>
      <c r="AJ36" s="13">
        <f>AI36*VLOOKUP('Données projet'!$B$10,Paramètres!$A$1:$I$89,3,0)*VLOOKUP('Données projet'!$B$10,Paramètres!$A$1:$I$89,5,0)</f>
        <v>103.70879999999994</v>
      </c>
      <c r="AK36" s="13">
        <f t="shared" si="35"/>
        <v>27.84368661708951</v>
      </c>
      <c r="AL36" s="20">
        <f t="shared" si="4"/>
        <v>229.12058085809744</v>
      </c>
      <c r="AM36" s="59">
        <f t="shared" si="5"/>
        <v>522.45391419143073</v>
      </c>
      <c r="AN36" s="59">
        <f ca="1">AVERAGE(OFFSET($AM$3,0,0,'Données projet'!$E$10+1,1))-AVERAGE(OFFSET($H$3,0,0,'Données projet'!$E$10+1,1))</f>
        <v>252.98248842635206</v>
      </c>
      <c r="AO36" s="59">
        <f t="shared" si="36"/>
        <v>207.11938580878308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2.9537722708817116</v>
      </c>
      <c r="AV36" s="21">
        <f>EXP(-LN(2)/25)*AV35+(1-EXP(-LN(2)/25))/(LN(2)/25)*Calculateur!AQ36*Calculateur!AS36*VLOOKUP('Données projet'!$B$10,Paramètres!$A$1:$I$89,3,0)*0.475*44/12</f>
        <v>7.2285012884684798</v>
      </c>
      <c r="AW36" s="21">
        <f>EXP(-LN(2)/2)*AW35+(1-EXP(-LN(2)/2))/(LN(2)/2)*AQ36*AT36*VLOOKUP('Données projet'!$B$10,Paramètres!$A$1:$I$89,3,0)*0.475*44/12</f>
        <v>3.4761993315200876</v>
      </c>
      <c r="AX36" s="21">
        <f t="shared" si="6"/>
        <v>13.658472890870279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5.2</v>
      </c>
      <c r="BD36" s="12">
        <f>IF('Données projet'!$A$88&gt;35,BD35+BC36-BL35,IF(A36&lt;'Données projet'!$A$88,$BA$205^A36,IF(A36='Données projet'!$A$88,'Données projet'!$B$88,BD35+BC36-BL35)))</f>
        <v>69.599999999999994</v>
      </c>
      <c r="BE36" s="13">
        <f>BD36*VLOOKUP('Données projet'!$B$11,Paramètres!$A$1:$I$89,3,0)*VLOOKUP('Données projet'!$B$11,Paramètres!$A$1:$I$89,5,0)</f>
        <v>45.601919999999993</v>
      </c>
      <c r="BF36" s="13">
        <f t="shared" si="37"/>
        <v>13.47192191981091</v>
      </c>
      <c r="BG36" s="20">
        <f t="shared" si="7"/>
        <v>102.88694134367064</v>
      </c>
      <c r="BH36" s="59">
        <f t="shared" si="8"/>
        <v>396.22027467700394</v>
      </c>
      <c r="BI36" s="59">
        <f ca="1">AVERAGE(OFFSET($BH$3,0,0,'Données projet'!$E$11+1,1))-AVERAGE(OFFSET($H$3,0,0,'Données projet'!$E$11+1,1))</f>
        <v>114.23168847330004</v>
      </c>
      <c r="BJ36" s="59">
        <f t="shared" si="38"/>
        <v>42.34857998136755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5.2</v>
      </c>
      <c r="BY36" s="12">
        <f>IF('Données projet'!$A$114&gt;35,BY35+BX36-CG35,IF(A36&lt;'Données projet'!$A$114,$BV$205^A36,IF(A36='Données projet'!$A$114,'Données projet'!$B$114,BY35+BX36-CG35)))</f>
        <v>69.599999999999994</v>
      </c>
      <c r="BZ36" s="13">
        <f>BY36*VLOOKUP('Données projet'!$B$12,Paramètres!$A$1:$I$89,3,0)*VLOOKUP('Données projet'!$B$12,Paramètres!$A$1:$I$89,5,0)</f>
        <v>67.317119999999989</v>
      </c>
      <c r="CA36" s="13">
        <f t="shared" si="39"/>
        <v>19.005696112952641</v>
      </c>
      <c r="CB36" s="20">
        <f t="shared" si="10"/>
        <v>150.34557139672583</v>
      </c>
      <c r="CC36" s="59">
        <f t="shared" si="11"/>
        <v>443.67890473005912</v>
      </c>
      <c r="CD36" s="59">
        <f ca="1">AVERAGE(OFFSET($CC$3,0,0,'Données projet'!$E$12+1,1))-AVERAGE(OFFSET($H$3,0,0,'Données projet'!$E$12+1,1))</f>
        <v>201.36664523637006</v>
      </c>
      <c r="CE36" s="59">
        <f t="shared" si="40"/>
        <v>79.394119001888555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8.1</v>
      </c>
      <c r="CT36" s="12">
        <f>IF('Données projet'!$A$140&gt;35,CT35+CS36-DB35,IF(A36&lt;'Données projet'!$A$140,$CQ$205^A36,IF(A36='Données projet'!$A$140,'Données projet'!$B$140,CT35+CS36-DB35)))</f>
        <v>101.30000000000001</v>
      </c>
      <c r="CU36" s="17">
        <f>CT36*VLOOKUP('Données projet'!$B$13,Paramètres!$A$1:$I$89,3,0)*VLOOKUP('Données projet'!$B$13,Paramètres!$A$1:$I$89,5,0)</f>
        <v>91.656240000000011</v>
      </c>
      <c r="CV36" s="13">
        <f t="shared" si="41"/>
        <v>24.964245281470902</v>
      </c>
      <c r="CW36" s="20">
        <f t="shared" si="13"/>
        <v>203.11401186522849</v>
      </c>
      <c r="CX36" s="59">
        <f t="shared" si="14"/>
        <v>496.44734519856183</v>
      </c>
      <c r="CY36" s="59">
        <f ca="1">AVERAGE(OFFSET($CX$3,0,0,'Données projet'!$E$13+1,1))-AVERAGE(OFFSET($H$3,0,0,'Données projet'!$E$13+1,1))</f>
        <v>282.08542131880455</v>
      </c>
      <c r="CZ36" s="59">
        <f t="shared" si="42"/>
        <v>174.27503468762325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5.7160918998592143</v>
      </c>
      <c r="DH36" s="21">
        <f>EXP(-LN(2)/2)*DH35+(1-EXP(-LN(2)/2))/(LN(2)/2)*DB36*DE36*VLOOKUP('Données projet'!$B$13,Paramètres!$A$1:$I$89,3,0)*0.475*44/12</f>
        <v>4.3765298389887493</v>
      </c>
      <c r="DI36" s="22">
        <f t="shared" si="15"/>
        <v>10.092621738847964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10.199999999999999</v>
      </c>
      <c r="DO36" s="12">
        <f>IF('Données projet'!$A$166&gt;35,DO35+DN36-DW35,IF(A36&lt;'Données projet'!$A$166,$DL$205^A36,IF(A36='Données projet'!$A$166,'Données projet'!$B$166,DO35+DN36-DW35)))</f>
        <v>148.59999999999994</v>
      </c>
      <c r="DP36" s="17">
        <f>DO36*VLOOKUP('Données projet'!$B$14,Paramètres!$A$1:$I$89,3,0)*VLOOKUP('Données projet'!$B$14,Paramètres!$A$1:$I$89,5,0)</f>
        <v>120.54431999999997</v>
      </c>
      <c r="DQ36" s="13">
        <f t="shared" si="43"/>
        <v>31.80191953664422</v>
      </c>
      <c r="DR36" s="20">
        <f t="shared" si="16"/>
        <v>265.33636719298863</v>
      </c>
      <c r="DS36" s="59">
        <f t="shared" si="17"/>
        <v>558.669700526322</v>
      </c>
      <c r="DT36" s="59">
        <f ca="1">AVERAGE(OFFSET($DS$3,0,0,'Données projet'!$E$14+1,1))-AVERAGE(OFFSET($H$3,0,0,'Données projet'!$E$14+1,1))</f>
        <v>235.31102883830971</v>
      </c>
      <c r="DU36" s="59">
        <f t="shared" si="44"/>
        <v>271.48630853790422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9.8961115412544771</v>
      </c>
      <c r="EC36" s="21">
        <f>EXP(-LN(2)/2)*EC35+(1-EXP(-LN(2)/2))/(LN(2)/2)*DW36*DZ36*VLOOKUP('Données projet'!$B$14,Paramètres!$A$1:$I$89,3,0)*0.475*44/12</f>
        <v>7.5769648579876563</v>
      </c>
      <c r="ED36" s="22">
        <f t="shared" si="18"/>
        <v>17.473076399242132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26.8</v>
      </c>
      <c r="N37" s="13">
        <f>IF('Données projet'!$A$36&gt;35,N36+M37-V36,IF(A37&lt;'Données projet'!$A$36,$K$205^A37,IF(A37='Données projet'!$A$36,'Données projet'!$B$36,N36+M37-V36)))</f>
        <v>366.20000000000005</v>
      </c>
      <c r="O37" s="13">
        <f>N37*VLOOKUP('Données projet'!$B$9,Paramètres!$A$1:$I$89,3,0)*VLOOKUP('Données projet'!$B$9,Paramètres!$A$1:$I$89,5,0)</f>
        <v>204.70580000000001</v>
      </c>
      <c r="P37" s="13">
        <f t="shared" si="33"/>
        <v>50.776956172604578</v>
      </c>
      <c r="Q37" s="20">
        <f t="shared" si="53"/>
        <v>444.96580033395298</v>
      </c>
      <c r="R37" s="59">
        <f t="shared" si="0"/>
        <v>738.29913366728624</v>
      </c>
      <c r="S37" s="59">
        <f ca="1">AVERAGE(OFFSET($R$3,0,0,'Données projet'!$E$9+1,1))-AVERAGE(OFFSET($H$3,0,0,'Données projet'!$E$9+1,1))</f>
        <v>446.28010102877403</v>
      </c>
      <c r="T37" s="59">
        <f t="shared" si="34"/>
        <v>445.84011537290456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10.550121400147017</v>
      </c>
      <c r="AA37" s="21">
        <f>EXP(-LN(2)/25)*AA36+(1-EXP(-LN(2)/25))/(LN(2)/25)*Calculateur!V37*Calculateur!X37*VLOOKUP('Données projet'!$B$9,Paramètres!$A$1:$I$89,3,0)*0.475*44/12</f>
        <v>34.690643778427194</v>
      </c>
      <c r="AB37" s="21">
        <f>EXP(-LN(2)/2)*AB36+(1-EXP(-LN(2)/2))/(LN(2)/2)*V37*Y37*VLOOKUP('Données projet'!$B$9,Paramètres!$A$1:$I$89,3,0)*0.475*44/12</f>
        <v>9.1179728387585239</v>
      </c>
      <c r="AC37" s="22">
        <f t="shared" si="3"/>
        <v>54.358738017332733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10.000000000000004</v>
      </c>
      <c r="AI37" s="13">
        <f>IF('Données projet'!$A$62&gt;35,AI36+AH37-AQ36,IF(A37&lt;'Données projet'!$A$62,$AF$205^A37,IF(A37='Données projet'!$A$62,'Données projet'!$B$62,AI36+AH37-AQ36)))</f>
        <v>231.59999999999988</v>
      </c>
      <c r="AJ37" s="13">
        <f>AI37*VLOOKUP('Données projet'!$B$10,Paramètres!$A$1:$I$89,3,0)*VLOOKUP('Données projet'!$B$10,Paramètres!$A$1:$I$89,5,0)</f>
        <v>108.38879999999993</v>
      </c>
      <c r="AK37" s="13">
        <f t="shared" si="35"/>
        <v>28.951047900249165</v>
      </c>
      <c r="AL37" s="20">
        <f t="shared" si="4"/>
        <v>239.20023509293381</v>
      </c>
      <c r="AM37" s="59">
        <f t="shared" si="5"/>
        <v>532.53356842626715</v>
      </c>
      <c r="AN37" s="59">
        <f ca="1">AVERAGE(OFFSET($AM$3,0,0,'Données projet'!$E$10+1,1))-AVERAGE(OFFSET($H$3,0,0,'Données projet'!$E$10+1,1))</f>
        <v>252.98248842635206</v>
      </c>
      <c r="AO37" s="59">
        <f t="shared" si="36"/>
        <v>207.11938580878308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2.895850598272911</v>
      </c>
      <c r="AV37" s="21">
        <f>EXP(-LN(2)/25)*AV36+(1-EXP(-LN(2)/25))/(LN(2)/25)*Calculateur!AQ37*Calculateur!AS37*VLOOKUP('Données projet'!$B$10,Paramètres!$A$1:$I$89,3,0)*0.475*44/12</f>
        <v>7.0308375406049475</v>
      </c>
      <c r="AW37" s="21">
        <f>EXP(-LN(2)/2)*AW36+(1-EXP(-LN(2)/2))/(LN(2)/2)*AQ37*AT37*VLOOKUP('Données projet'!$B$10,Paramètres!$A$1:$I$89,3,0)*0.475*44/12</f>
        <v>2.4580441200739975</v>
      </c>
      <c r="AX37" s="21">
        <f t="shared" si="6"/>
        <v>12.384732258951857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5.2</v>
      </c>
      <c r="BD37" s="12">
        <f>IF('Données projet'!$A$88&gt;35,BD36+BC37-BL36,IF(A37&lt;'Données projet'!$A$88,$BA$205^A37,IF(A37='Données projet'!$A$88,'Données projet'!$B$88,BD36+BC37-BL36)))</f>
        <v>74.8</v>
      </c>
      <c r="BE37" s="13">
        <f>BD37*VLOOKUP('Données projet'!$B$11,Paramètres!$A$1:$I$89,3,0)*VLOOKUP('Données projet'!$B$11,Paramètres!$A$1:$I$89,5,0)</f>
        <v>49.008959999999995</v>
      </c>
      <c r="BF37" s="13">
        <f t="shared" si="37"/>
        <v>14.357521815593385</v>
      </c>
      <c r="BG37" s="20">
        <f t="shared" si="7"/>
        <v>110.36328916215848</v>
      </c>
      <c r="BH37" s="59">
        <f t="shared" si="8"/>
        <v>403.69662249549179</v>
      </c>
      <c r="BI37" s="59">
        <f ca="1">AVERAGE(OFFSET($BH$3,0,0,'Données projet'!$E$11+1,1))-AVERAGE(OFFSET($H$3,0,0,'Données projet'!$E$11+1,1))</f>
        <v>114.23168847330004</v>
      </c>
      <c r="BJ37" s="59">
        <f t="shared" si="38"/>
        <v>42.34857998136755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5.2</v>
      </c>
      <c r="BY37" s="12">
        <f>IF('Données projet'!$A$114&gt;35,BY36+BX37-CG36,IF(A37&lt;'Données projet'!$A$114,$BV$205^A37,IF(A37='Données projet'!$A$114,'Données projet'!$B$114,BY36+BX37-CG36)))</f>
        <v>74.8</v>
      </c>
      <c r="BZ37" s="13">
        <f>BY37*VLOOKUP('Données projet'!$B$12,Paramètres!$A$1:$I$89,3,0)*VLOOKUP('Données projet'!$B$12,Paramètres!$A$1:$I$89,5,0)</f>
        <v>72.346559999999997</v>
      </c>
      <c r="CA37" s="13">
        <f t="shared" si="39"/>
        <v>20.255068147402529</v>
      </c>
      <c r="CB37" s="20">
        <f t="shared" si="10"/>
        <v>161.28116902339272</v>
      </c>
      <c r="CC37" s="59">
        <f t="shared" si="11"/>
        <v>454.61450235672601</v>
      </c>
      <c r="CD37" s="59">
        <f ca="1">AVERAGE(OFFSET($CC$3,0,0,'Données projet'!$E$12+1,1))-AVERAGE(OFFSET($H$3,0,0,'Données projet'!$E$12+1,1))</f>
        <v>201.36664523637006</v>
      </c>
      <c r="CE37" s="59">
        <f t="shared" si="40"/>
        <v>79.394119001888555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8.1</v>
      </c>
      <c r="CT37" s="12">
        <f>IF('Données projet'!$A$140&gt;35,CT36+CS37-DB36,IF(A37&lt;'Données projet'!$A$140,$CQ$205^A37,IF(A37='Données projet'!$A$140,'Données projet'!$B$140,CT36+CS37-DB36)))</f>
        <v>109.4</v>
      </c>
      <c r="CU37" s="17">
        <f>CT37*VLOOKUP('Données projet'!$B$13,Paramètres!$A$1:$I$89,3,0)*VLOOKUP('Données projet'!$B$13,Paramètres!$A$1:$I$89,5,0)</f>
        <v>98.985119999999995</v>
      </c>
      <c r="CV37" s="13">
        <f t="shared" si="41"/>
        <v>26.720073030434214</v>
      </c>
      <c r="CW37" s="20">
        <f t="shared" si="13"/>
        <v>218.93654452800624</v>
      </c>
      <c r="CX37" s="59">
        <f t="shared" si="14"/>
        <v>512.26987786133952</v>
      </c>
      <c r="CY37" s="59">
        <f ca="1">AVERAGE(OFFSET($CX$3,0,0,'Données projet'!$E$13+1,1))-AVERAGE(OFFSET($H$3,0,0,'Données projet'!$E$13+1,1))</f>
        <v>282.08542131880455</v>
      </c>
      <c r="CZ37" s="59">
        <f t="shared" si="42"/>
        <v>174.27503468762325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5.5597850662613553</v>
      </c>
      <c r="DH37" s="21">
        <f>EXP(-LN(2)/2)*DH36+(1-EXP(-LN(2)/2))/(LN(2)/2)*DB37*DE37*VLOOKUP('Données projet'!$B$13,Paramètres!$A$1:$I$89,3,0)*0.475*44/12</f>
        <v>3.0946739272142136</v>
      </c>
      <c r="DI37" s="22">
        <f t="shared" si="15"/>
        <v>8.6544589934755685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10.199999999999999</v>
      </c>
      <c r="DO37" s="12">
        <f>IF('Données projet'!$A$166&gt;35,DO36+DN37-DW36,IF(A37&lt;'Données projet'!$A$166,$DL$205^A37,IF(A37='Données projet'!$A$166,'Données projet'!$B$166,DO36+DN37-DW36)))</f>
        <v>158.79999999999993</v>
      </c>
      <c r="DP37" s="17">
        <f>DO37*VLOOKUP('Données projet'!$B$14,Paramètres!$A$1:$I$89,3,0)*VLOOKUP('Données projet'!$B$14,Paramètres!$A$1:$I$89,5,0)</f>
        <v>128.81855999999996</v>
      </c>
      <c r="DQ37" s="13">
        <f t="shared" si="43"/>
        <v>33.723218352057046</v>
      </c>
      <c r="DR37" s="20">
        <f t="shared" si="16"/>
        <v>283.09359729649924</v>
      </c>
      <c r="DS37" s="59">
        <f t="shared" si="17"/>
        <v>576.42693062983255</v>
      </c>
      <c r="DT37" s="59">
        <f ca="1">AVERAGE(OFFSET($DS$3,0,0,'Données projet'!$E$14+1,1))-AVERAGE(OFFSET($H$3,0,0,'Données projet'!$E$14+1,1))</f>
        <v>235.31102883830971</v>
      </c>
      <c r="DU37" s="59">
        <f t="shared" si="44"/>
        <v>271.48630853790422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9.6255018507449854</v>
      </c>
      <c r="EC37" s="21">
        <f>EXP(-LN(2)/2)*EC36+(1-EXP(-LN(2)/2))/(LN(2)/2)*DW37*DZ37*VLOOKUP('Données projet'!$B$14,Paramètres!$A$1:$I$89,3,0)*0.475*44/12</f>
        <v>5.3577232318952381</v>
      </c>
      <c r="ED37" s="22">
        <f t="shared" si="18"/>
        <v>14.983225082640224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26.8</v>
      </c>
      <c r="N38" s="13">
        <f>IF('Données projet'!$A$36&gt;35,N37+M38-V37,IF(A38&lt;'Données projet'!$A$36,$K$205^A38,IF(A38='Données projet'!$A$36,'Données projet'!$B$36,N37+M38-V37)))</f>
        <v>393.00000000000006</v>
      </c>
      <c r="O38" s="13">
        <f>N38*VLOOKUP('Données projet'!$B$9,Paramètres!$A$1:$I$89,3,0)*VLOOKUP('Données projet'!$B$9,Paramètres!$A$1:$I$89,5,0)</f>
        <v>219.68700000000001</v>
      </c>
      <c r="P38" s="13">
        <f t="shared" si="33"/>
        <v>54.046851081096591</v>
      </c>
      <c r="Q38" s="20">
        <f t="shared" si="53"/>
        <v>476.75312396624321</v>
      </c>
      <c r="R38" s="59">
        <f t="shared" si="0"/>
        <v>770.08645729957652</v>
      </c>
      <c r="S38" s="59">
        <f ca="1">AVERAGE(OFFSET($R$3,0,0,'Données projet'!$E$9+1,1))-AVERAGE(OFFSET($H$3,0,0,'Données projet'!$E$9+1,1))</f>
        <v>446.28010102877403</v>
      </c>
      <c r="T38" s="59">
        <f t="shared" si="34"/>
        <v>445.84011537290456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10.343239954428791</v>
      </c>
      <c r="AA38" s="21">
        <f>EXP(-LN(2)/25)*AA37+(1-EXP(-LN(2)/25))/(LN(2)/25)*Calculateur!V38*Calculateur!X38*VLOOKUP('Données projet'!$B$9,Paramètres!$A$1:$I$89,3,0)*0.475*44/12</f>
        <v>33.742026300004433</v>
      </c>
      <c r="AB38" s="21">
        <f>EXP(-LN(2)/2)*AB37+(1-EXP(-LN(2)/2))/(LN(2)/2)*V38*Y38*VLOOKUP('Données projet'!$B$9,Paramètres!$A$1:$I$89,3,0)*0.475*44/12</f>
        <v>6.4473804249609072</v>
      </c>
      <c r="AC38" s="22">
        <f t="shared" si="3"/>
        <v>50.532646679394126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10.000000000000004</v>
      </c>
      <c r="AI38" s="13">
        <f>IF('Données projet'!$A$62&gt;35,AI37+AH38-AQ37,IF(A38&lt;'Données projet'!$A$62,$AF$205^A38,IF(A38='Données projet'!$A$62,'Données projet'!$B$62,AI37+AH38-AQ37)))</f>
        <v>241.59999999999988</v>
      </c>
      <c r="AJ38" s="13">
        <f>AI38*VLOOKUP('Données projet'!$B$10,Paramètres!$A$1:$I$89,3,0)*VLOOKUP('Données projet'!$B$10,Paramètres!$A$1:$I$89,5,0)</f>
        <v>113.06879999999995</v>
      </c>
      <c r="AK38" s="13">
        <f t="shared" si="35"/>
        <v>30.052855829090237</v>
      </c>
      <c r="AL38" s="20">
        <f t="shared" si="4"/>
        <v>249.27021723566543</v>
      </c>
      <c r="AM38" s="59">
        <f t="shared" si="5"/>
        <v>542.6035505689988</v>
      </c>
      <c r="AN38" s="59">
        <f ca="1">AVERAGE(OFFSET($AM$3,0,0,'Données projet'!$E$10+1,1))-AVERAGE(OFFSET($H$3,0,0,'Données projet'!$E$10+1,1))</f>
        <v>252.98248842635206</v>
      </c>
      <c r="AO38" s="59">
        <f t="shared" si="36"/>
        <v>207.11938580878308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2.8390647343352371</v>
      </c>
      <c r="AV38" s="21">
        <f>EXP(-LN(2)/25)*AV37+(1-EXP(-LN(2)/25))/(LN(2)/25)*Calculateur!AQ38*Calculateur!AS38*VLOOKUP('Données projet'!$B$10,Paramètres!$A$1:$I$89,3,0)*0.475*44/12</f>
        <v>6.8385789183214278</v>
      </c>
      <c r="AW38" s="21">
        <f>EXP(-LN(2)/2)*AW37+(1-EXP(-LN(2)/2))/(LN(2)/2)*AQ38*AT38*VLOOKUP('Données projet'!$B$10,Paramètres!$A$1:$I$89,3,0)*0.475*44/12</f>
        <v>1.738099665760044</v>
      </c>
      <c r="AX38" s="21">
        <f t="shared" si="6"/>
        <v>11.415743318416709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5.2</v>
      </c>
      <c r="BD38" s="12">
        <f>IF('Données projet'!$A$88&gt;35,BD37+BC38-BL37,IF(A38&lt;'Données projet'!$A$88,$BA$205^A38,IF(A38='Données projet'!$A$88,'Données projet'!$B$88,BD37+BC38-BL37)))</f>
        <v>80</v>
      </c>
      <c r="BE38" s="13">
        <f>BD38*VLOOKUP('Données projet'!$B$11,Paramètres!$A$1:$I$89,3,0)*VLOOKUP('Données projet'!$B$11,Paramètres!$A$1:$I$89,5,0)</f>
        <v>52.416000000000004</v>
      </c>
      <c r="BF38" s="13">
        <f t="shared" si="37"/>
        <v>15.235978301273029</v>
      </c>
      <c r="BG38" s="20">
        <f t="shared" si="7"/>
        <v>117.82719554138386</v>
      </c>
      <c r="BH38" s="59">
        <f t="shared" si="8"/>
        <v>411.16052887471716</v>
      </c>
      <c r="BI38" s="59">
        <f ca="1">AVERAGE(OFFSET($BH$3,0,0,'Données projet'!$E$11+1,1))-AVERAGE(OFFSET($H$3,0,0,'Données projet'!$E$11+1,1))</f>
        <v>114.23168847330004</v>
      </c>
      <c r="BJ38" s="59">
        <f t="shared" si="38"/>
        <v>42.34857998136755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5.2</v>
      </c>
      <c r="BY38" s="12">
        <f>IF('Données projet'!$A$114&gt;35,BY37+BX38-CG37,IF(A38&lt;'Données projet'!$A$114,$BV$205^A38,IF(A38='Données projet'!$A$114,'Données projet'!$B$114,BY37+BX38-CG37)))</f>
        <v>80</v>
      </c>
      <c r="BZ38" s="13">
        <f>BY38*VLOOKUP('Données projet'!$B$12,Paramètres!$A$1:$I$89,3,0)*VLOOKUP('Données projet'!$B$12,Paramètres!$A$1:$I$89,5,0)</f>
        <v>77.376000000000005</v>
      </c>
      <c r="CA38" s="13">
        <f t="shared" si="39"/>
        <v>21.494362519405076</v>
      </c>
      <c r="CB38" s="20">
        <f t="shared" si="10"/>
        <v>172.19921472129715</v>
      </c>
      <c r="CC38" s="59">
        <f t="shared" si="11"/>
        <v>465.53254805463047</v>
      </c>
      <c r="CD38" s="59">
        <f ca="1">AVERAGE(OFFSET($CC$3,0,0,'Données projet'!$E$12+1,1))-AVERAGE(OFFSET($H$3,0,0,'Données projet'!$E$12+1,1))</f>
        <v>201.36664523637006</v>
      </c>
      <c r="CE38" s="59">
        <f t="shared" si="40"/>
        <v>79.394119001888555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8.1</v>
      </c>
      <c r="CT38" s="12">
        <f>IF('Données projet'!$A$140&gt;35,CT37+CS38-DB37,IF(A38&lt;'Données projet'!$A$140,$CQ$205^A38,IF(A38='Données projet'!$A$140,'Données projet'!$B$140,CT37+CS38-DB37)))</f>
        <v>117.5</v>
      </c>
      <c r="CU38" s="17">
        <f>CT38*VLOOKUP('Données projet'!$B$13,Paramètres!$A$1:$I$89,3,0)*VLOOKUP('Données projet'!$B$13,Paramètres!$A$1:$I$89,5,0)</f>
        <v>106.31399999999999</v>
      </c>
      <c r="CV38" s="13">
        <f t="shared" si="41"/>
        <v>28.460819043331924</v>
      </c>
      <c r="CW38" s="20">
        <f t="shared" si="13"/>
        <v>234.73280983380309</v>
      </c>
      <c r="CX38" s="59">
        <f t="shared" si="14"/>
        <v>528.06614316713637</v>
      </c>
      <c r="CY38" s="59">
        <f ca="1">AVERAGE(OFFSET($CX$3,0,0,'Données projet'!$E$13+1,1))-AVERAGE(OFFSET($H$3,0,0,'Données projet'!$E$13+1,1))</f>
        <v>282.08542131880455</v>
      </c>
      <c r="CZ38" s="59">
        <f t="shared" si="42"/>
        <v>174.27503468762325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5.407752451248049</v>
      </c>
      <c r="DH38" s="21">
        <f>EXP(-LN(2)/2)*DH37+(1-EXP(-LN(2)/2))/(LN(2)/2)*DB38*DE38*VLOOKUP('Données projet'!$B$13,Paramètres!$A$1:$I$89,3,0)*0.475*44/12</f>
        <v>2.1882649194943746</v>
      </c>
      <c r="DI38" s="22">
        <f t="shared" si="15"/>
        <v>7.5960173707424232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10.199999999999999</v>
      </c>
      <c r="DO38" s="12">
        <f>IF('Données projet'!$A$166&gt;35,DO37+DN38-DW37,IF(A38&lt;'Données projet'!$A$166,$DL$205^A38,IF(A38='Données projet'!$A$166,'Données projet'!$B$166,DO37+DN38-DW37)))</f>
        <v>168.99999999999991</v>
      </c>
      <c r="DP38" s="17">
        <f>DO38*VLOOKUP('Données projet'!$B$14,Paramètres!$A$1:$I$89,3,0)*VLOOKUP('Données projet'!$B$14,Paramètres!$A$1:$I$89,5,0)</f>
        <v>137.09279999999993</v>
      </c>
      <c r="DQ38" s="13">
        <f t="shared" si="43"/>
        <v>35.630195607611064</v>
      </c>
      <c r="DR38" s="20">
        <f t="shared" si="16"/>
        <v>300.8258840165891</v>
      </c>
      <c r="DS38" s="59">
        <f t="shared" si="17"/>
        <v>594.15921734992241</v>
      </c>
      <c r="DT38" s="59">
        <f ca="1">AVERAGE(OFFSET($DS$3,0,0,'Données projet'!$E$14+1,1))-AVERAGE(OFFSET($H$3,0,0,'Données projet'!$E$14+1,1))</f>
        <v>235.31102883830971</v>
      </c>
      <c r="DU38" s="59">
        <f t="shared" si="44"/>
        <v>271.48630853790422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9.3622919964532212</v>
      </c>
      <c r="EC38" s="21">
        <f>EXP(-LN(2)/2)*EC37+(1-EXP(-LN(2)/2))/(LN(2)/2)*DW38*DZ38*VLOOKUP('Données projet'!$B$14,Paramètres!$A$1:$I$89,3,0)*0.475*44/12</f>
        <v>3.7884824289938286</v>
      </c>
      <c r="ED38" s="22">
        <f t="shared" si="18"/>
        <v>13.15077442544705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26.8</v>
      </c>
      <c r="N39" s="13">
        <f>IF('Données projet'!$A$36&gt;35,N38+M39-V38,IF(A39&lt;'Données projet'!$A$36,$K$205^A39,IF(A39='Données projet'!$A$36,'Données projet'!$B$36,N38+M39-V38)))</f>
        <v>419.80000000000007</v>
      </c>
      <c r="O39" s="13">
        <f>N39*VLOOKUP('Données projet'!$B$9,Paramètres!$A$1:$I$89,3,0)*VLOOKUP('Données projet'!$B$9,Paramètres!$A$1:$I$89,5,0)</f>
        <v>234.66820000000007</v>
      </c>
      <c r="P39" s="13">
        <f t="shared" si="33"/>
        <v>57.290872093206247</v>
      </c>
      <c r="Q39" s="20">
        <f t="shared" si="53"/>
        <v>508.4953838956676</v>
      </c>
      <c r="R39" s="59">
        <f t="shared" si="0"/>
        <v>801.82871722900086</v>
      </c>
      <c r="S39" s="59">
        <f ca="1">AVERAGE(OFFSET($R$3,0,0,'Données projet'!$E$9+1,1))-AVERAGE(OFFSET($H$3,0,0,'Données projet'!$E$9+1,1))</f>
        <v>446.28010102877403</v>
      </c>
      <c r="T39" s="59">
        <f t="shared" si="34"/>
        <v>445.84011537290456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10.140415327675877</v>
      </c>
      <c r="AA39" s="21">
        <f>EXP(-LN(2)/25)*AA38+(1-EXP(-LN(2)/25))/(LN(2)/25)*Calculateur!V39*Calculateur!X39*VLOOKUP('Données projet'!$B$9,Paramètres!$A$1:$I$89,3,0)*0.475*44/12</f>
        <v>32.819348816414767</v>
      </c>
      <c r="AB39" s="21">
        <f>EXP(-LN(2)/2)*AB38+(1-EXP(-LN(2)/2))/(LN(2)/2)*V39*Y39*VLOOKUP('Données projet'!$B$9,Paramètres!$A$1:$I$89,3,0)*0.475*44/12</f>
        <v>4.558986419379262</v>
      </c>
      <c r="AC39" s="22">
        <f t="shared" si="3"/>
        <v>47.518750563469901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10.000000000000004</v>
      </c>
      <c r="AI39" s="13">
        <f>IF('Données projet'!$A$62&gt;35,AI38+AH39-AQ38,IF(A39&lt;'Données projet'!$A$62,$AF$205^A39,IF(A39='Données projet'!$A$62,'Données projet'!$B$62,AI38+AH39-AQ38)))</f>
        <v>251.59999999999988</v>
      </c>
      <c r="AJ39" s="13">
        <f>AI39*VLOOKUP('Données projet'!$B$10,Paramètres!$A$1:$I$89,3,0)*VLOOKUP('Données projet'!$B$10,Paramètres!$A$1:$I$89,5,0)</f>
        <v>117.74879999999995</v>
      </c>
      <c r="AK39" s="13">
        <f t="shared" si="35"/>
        <v>31.149366548366</v>
      </c>
      <c r="AL39" s="20">
        <f t="shared" si="4"/>
        <v>259.33097340507067</v>
      </c>
      <c r="AM39" s="59">
        <f t="shared" si="5"/>
        <v>552.66430673840398</v>
      </c>
      <c r="AN39" s="59">
        <f ca="1">AVERAGE(OFFSET($AM$3,0,0,'Données projet'!$E$10+1,1))-AVERAGE(OFFSET($H$3,0,0,'Données projet'!$E$10+1,1))</f>
        <v>252.98248842635206</v>
      </c>
      <c r="AO39" s="59">
        <f t="shared" si="36"/>
        <v>207.11938580878308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2.7833924065534239</v>
      </c>
      <c r="AV39" s="21">
        <f>EXP(-LN(2)/25)*AV38+(1-EXP(-LN(2)/25))/(LN(2)/25)*Calculateur!AQ39*Calculateur!AS39*VLOOKUP('Données projet'!$B$10,Paramètres!$A$1:$I$89,3,0)*0.475*44/12</f>
        <v>6.6515776181746933</v>
      </c>
      <c r="AW39" s="21">
        <f>EXP(-LN(2)/2)*AW38+(1-EXP(-LN(2)/2))/(LN(2)/2)*AQ39*AT39*VLOOKUP('Données projet'!$B$10,Paramètres!$A$1:$I$89,3,0)*0.475*44/12</f>
        <v>1.229022060036999</v>
      </c>
      <c r="AX39" s="21">
        <f t="shared" si="6"/>
        <v>10.663992084765116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5.2</v>
      </c>
      <c r="BD39" s="12">
        <f>IF('Données projet'!$A$88&gt;35,BD38+BC39-BL38,IF(A39&lt;'Données projet'!$A$88,$BA$205^A39,IF(A39='Données projet'!$A$88,'Données projet'!$B$88,BD38+BC39-BL38)))</f>
        <v>85.2</v>
      </c>
      <c r="BE39" s="13">
        <f>BD39*VLOOKUP('Données projet'!$B$11,Paramètres!$A$1:$I$89,3,0)*VLOOKUP('Données projet'!$B$11,Paramètres!$A$1:$I$89,5,0)</f>
        <v>55.823039999999999</v>
      </c>
      <c r="BF39" s="13">
        <f t="shared" si="37"/>
        <v>16.107808541294514</v>
      </c>
      <c r="BG39" s="20">
        <f t="shared" si="7"/>
        <v>125.27956120942126</v>
      </c>
      <c r="BH39" s="59">
        <f t="shared" si="8"/>
        <v>418.61289454275459</v>
      </c>
      <c r="BI39" s="59">
        <f ca="1">AVERAGE(OFFSET($BH$3,0,0,'Données projet'!$E$11+1,1))-AVERAGE(OFFSET($H$3,0,0,'Données projet'!$E$11+1,1))</f>
        <v>114.23168847330004</v>
      </c>
      <c r="BJ39" s="59">
        <f t="shared" si="38"/>
        <v>42.34857998136755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5.2</v>
      </c>
      <c r="BY39" s="12">
        <f>IF('Données projet'!$A$114&gt;35,BY38+BX39-CG38,IF(A39&lt;'Données projet'!$A$114,$BV$205^A39,IF(A39='Données projet'!$A$114,'Données projet'!$B$114,BY38+BX39-CG38)))</f>
        <v>85.2</v>
      </c>
      <c r="BZ39" s="13">
        <f>BY39*VLOOKUP('Données projet'!$B$12,Paramètres!$A$1:$I$89,3,0)*VLOOKUP('Données projet'!$B$12,Paramètres!$A$1:$I$89,5,0)</f>
        <v>82.405439999999999</v>
      </c>
      <c r="CA39" s="13">
        <f t="shared" si="39"/>
        <v>22.724308825697463</v>
      </c>
      <c r="CB39" s="20">
        <f t="shared" si="10"/>
        <v>183.10097920475641</v>
      </c>
      <c r="CC39" s="59">
        <f t="shared" si="11"/>
        <v>476.43431253808973</v>
      </c>
      <c r="CD39" s="59">
        <f ca="1">AVERAGE(OFFSET($CC$3,0,0,'Données projet'!$E$12+1,1))-AVERAGE(OFFSET($H$3,0,0,'Données projet'!$E$12+1,1))</f>
        <v>201.36664523637006</v>
      </c>
      <c r="CE39" s="59">
        <f t="shared" si="40"/>
        <v>79.394119001888555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8.1</v>
      </c>
      <c r="CT39" s="12">
        <f>IF('Données projet'!$A$140&gt;35,CT38+CS39-DB38,IF(A39&lt;'Données projet'!$A$140,$CQ$205^A39,IF(A39='Données projet'!$A$140,'Données projet'!$B$140,CT38+CS39-DB38)))</f>
        <v>125.6</v>
      </c>
      <c r="CU39" s="17">
        <f>CT39*VLOOKUP('Données projet'!$B$13,Paramètres!$A$1:$I$89,3,0)*VLOOKUP('Données projet'!$B$13,Paramètres!$A$1:$I$89,5,0)</f>
        <v>113.64287999999998</v>
      </c>
      <c r="CV39" s="13">
        <f t="shared" si="41"/>
        <v>30.187641268716625</v>
      </c>
      <c r="CW39" s="20">
        <f t="shared" si="13"/>
        <v>250.50482454301473</v>
      </c>
      <c r="CX39" s="59">
        <f t="shared" si="14"/>
        <v>543.83815787634808</v>
      </c>
      <c r="CY39" s="59">
        <f ca="1">AVERAGE(OFFSET($CX$3,0,0,'Données projet'!$E$13+1,1))-AVERAGE(OFFSET($H$3,0,0,'Données projet'!$E$13+1,1))</f>
        <v>282.08542131880455</v>
      </c>
      <c r="CZ39" s="59">
        <f t="shared" si="42"/>
        <v>174.27503468762325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5.2598771760873291</v>
      </c>
      <c r="DH39" s="21">
        <f>EXP(-LN(2)/2)*DH38+(1-EXP(-LN(2)/2))/(LN(2)/2)*DB39*DE39*VLOOKUP('Données projet'!$B$13,Paramètres!$A$1:$I$89,3,0)*0.475*44/12</f>
        <v>1.5473369636071068</v>
      </c>
      <c r="DI39" s="22">
        <f t="shared" si="15"/>
        <v>6.8072141396944357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10.199999999999999</v>
      </c>
      <c r="DO39" s="12">
        <f>IF('Données projet'!$A$166&gt;35,DO38+DN39-DW38,IF(A39&lt;'Données projet'!$A$166,$DL$205^A39,IF(A39='Données projet'!$A$166,'Données projet'!$B$166,DO38+DN39-DW38)))</f>
        <v>179.1999999999999</v>
      </c>
      <c r="DP39" s="17">
        <f>DO39*VLOOKUP('Données projet'!$B$14,Paramètres!$A$1:$I$89,3,0)*VLOOKUP('Données projet'!$B$14,Paramètres!$A$1:$I$89,5,0)</f>
        <v>145.36703999999995</v>
      </c>
      <c r="DQ39" s="13">
        <f t="shared" si="43"/>
        <v>37.523814117080803</v>
      </c>
      <c r="DR39" s="20">
        <f t="shared" si="16"/>
        <v>318.53490425391561</v>
      </c>
      <c r="DS39" s="59">
        <f t="shared" si="17"/>
        <v>611.86823758724893</v>
      </c>
      <c r="DT39" s="59">
        <f ca="1">AVERAGE(OFFSET($DS$3,0,0,'Données projet'!$E$14+1,1))-AVERAGE(OFFSET($H$3,0,0,'Données projet'!$E$14+1,1))</f>
        <v>235.31102883830971</v>
      </c>
      <c r="DU39" s="59">
        <f t="shared" si="44"/>
        <v>271.48630853790422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9.1062796294686699</v>
      </c>
      <c r="EC39" s="21">
        <f>EXP(-LN(2)/2)*EC38+(1-EXP(-LN(2)/2))/(LN(2)/2)*DW39*DZ39*VLOOKUP('Données projet'!$B$14,Paramètres!$A$1:$I$89,3,0)*0.475*44/12</f>
        <v>2.6788616159476195</v>
      </c>
      <c r="ED39" s="22">
        <f t="shared" si="18"/>
        <v>11.785141245416289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26.8</v>
      </c>
      <c r="N40" s="13">
        <f>IF('Données projet'!$A$36&gt;35,N39+M40-V39,IF(A40&lt;'Données projet'!$A$36,$K$205^A40,IF(A40='Données projet'!$A$36,'Données projet'!$B$36,N39+M40-V39)))</f>
        <v>446.60000000000008</v>
      </c>
      <c r="O40" s="13">
        <f>N40*VLOOKUP('Données projet'!$B$9,Paramètres!$A$1:$I$89,3,0)*VLOOKUP('Données projet'!$B$9,Paramètres!$A$1:$I$89,5,0)</f>
        <v>249.64940000000007</v>
      </c>
      <c r="P40" s="13">
        <f t="shared" si="33"/>
        <v>60.510859008247188</v>
      </c>
      <c r="Q40" s="20">
        <f t="shared" si="53"/>
        <v>540.19578443936393</v>
      </c>
      <c r="R40" s="59">
        <f t="shared" si="0"/>
        <v>833.52911777269719</v>
      </c>
      <c r="S40" s="59">
        <f ca="1">AVERAGE(OFFSET($R$3,0,0,'Données projet'!$E$9+1,1))-AVERAGE(OFFSET($H$3,0,0,'Données projet'!$E$9+1,1))</f>
        <v>446.28010102877403</v>
      </c>
      <c r="T40" s="59">
        <f t="shared" si="34"/>
        <v>445.84011537290456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9.9415679681427811</v>
      </c>
      <c r="AA40" s="21">
        <f>EXP(-LN(2)/25)*AA39+(1-EXP(-LN(2)/25))/(LN(2)/25)*Calculateur!V40*Calculateur!X40*VLOOKUP('Données projet'!$B$9,Paramètres!$A$1:$I$89,3,0)*0.475*44/12</f>
        <v>31.921901997135361</v>
      </c>
      <c r="AB40" s="21">
        <f>EXP(-LN(2)/2)*AB39+(1-EXP(-LN(2)/2))/(LN(2)/2)*V40*Y40*VLOOKUP('Données projet'!$B$9,Paramètres!$A$1:$I$89,3,0)*0.475*44/12</f>
        <v>3.2236902124804536</v>
      </c>
      <c r="AC40" s="22">
        <f t="shared" si="3"/>
        <v>45.087160177758598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10.000000000000004</v>
      </c>
      <c r="AI40" s="13">
        <f>IF('Données projet'!$A$62&gt;35,AI39+AH40-AQ39,IF(A40&lt;'Données projet'!$A$62,$AF$205^A40,IF(A40='Données projet'!$A$62,'Données projet'!$B$62,AI39+AH40-AQ39)))</f>
        <v>261.59999999999991</v>
      </c>
      <c r="AJ40" s="13">
        <f>AI40*VLOOKUP('Données projet'!$B$10,Paramètres!$A$1:$I$89,3,0)*VLOOKUP('Données projet'!$B$10,Paramètres!$A$1:$I$89,5,0)</f>
        <v>122.42879999999995</v>
      </c>
      <c r="AK40" s="13">
        <f t="shared" si="35"/>
        <v>32.240814688958388</v>
      </c>
      <c r="AL40" s="20">
        <f t="shared" si="4"/>
        <v>269.38291224993577</v>
      </c>
      <c r="AM40" s="59">
        <f t="shared" si="5"/>
        <v>562.71624558326903</v>
      </c>
      <c r="AN40" s="59">
        <f ca="1">AVERAGE(OFFSET($AM$3,0,0,'Données projet'!$E$10+1,1))-AVERAGE(OFFSET($H$3,0,0,'Données projet'!$E$10+1,1))</f>
        <v>252.98248842635206</v>
      </c>
      <c r="AO40" s="59">
        <f t="shared" si="36"/>
        <v>207.11938580878308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2.7288117791626449</v>
      </c>
      <c r="AV40" s="21">
        <f>EXP(-LN(2)/25)*AV39+(1-EXP(-LN(2)/25))/(LN(2)/25)*Calculateur!AQ40*Calculateur!AS40*VLOOKUP('Données projet'!$B$10,Paramètres!$A$1:$I$89,3,0)*0.475*44/12</f>
        <v>6.4696898784144414</v>
      </c>
      <c r="AW40" s="21">
        <f>EXP(-LN(2)/2)*AW39+(1-EXP(-LN(2)/2))/(LN(2)/2)*AQ40*AT40*VLOOKUP('Données projet'!$B$10,Paramètres!$A$1:$I$89,3,0)*0.475*44/12</f>
        <v>0.86904983288002213</v>
      </c>
      <c r="AX40" s="21">
        <f t="shared" si="6"/>
        <v>10.067551490457108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5.2</v>
      </c>
      <c r="BD40" s="12">
        <f>IF('Données projet'!$A$88&gt;35,BD39+BC40-BL39,IF(A40&lt;'Données projet'!$A$88,$BA$205^A40,IF(A40='Données projet'!$A$88,'Données projet'!$B$88,BD39+BC40-BL39)))</f>
        <v>90.4</v>
      </c>
      <c r="BE40" s="13">
        <f>BD40*VLOOKUP('Données projet'!$B$11,Paramètres!$A$1:$I$89,3,0)*VLOOKUP('Données projet'!$B$11,Paramètres!$A$1:$I$89,5,0)</f>
        <v>59.230080000000008</v>
      </c>
      <c r="BF40" s="13">
        <f t="shared" si="37"/>
        <v>16.973463004911878</v>
      </c>
      <c r="BG40" s="20">
        <f t="shared" si="7"/>
        <v>132.72117073355489</v>
      </c>
      <c r="BH40" s="59">
        <f t="shared" si="8"/>
        <v>426.05450406688817</v>
      </c>
      <c r="BI40" s="59">
        <f ca="1">AVERAGE(OFFSET($BH$3,0,0,'Données projet'!$E$11+1,1))-AVERAGE(OFFSET($H$3,0,0,'Données projet'!$E$11+1,1))</f>
        <v>114.23168847330004</v>
      </c>
      <c r="BJ40" s="59">
        <f t="shared" si="38"/>
        <v>42.34857998136755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5.2</v>
      </c>
      <c r="BY40" s="12">
        <f>IF('Données projet'!$A$114&gt;35,BY39+BX40-CG39,IF(A40&lt;'Données projet'!$A$114,$BV$205^A40,IF(A40='Données projet'!$A$114,'Données projet'!$B$114,BY39+BX40-CG39)))</f>
        <v>90.4</v>
      </c>
      <c r="BZ40" s="13">
        <f>BY40*VLOOKUP('Données projet'!$B$12,Paramètres!$A$1:$I$89,3,0)*VLOOKUP('Données projet'!$B$12,Paramètres!$A$1:$I$89,5,0)</f>
        <v>87.434880000000007</v>
      </c>
      <c r="CA40" s="13">
        <f t="shared" si="39"/>
        <v>23.945542571874331</v>
      </c>
      <c r="CB40" s="20">
        <f t="shared" si="10"/>
        <v>193.98756931268113</v>
      </c>
      <c r="CC40" s="59">
        <f t="shared" si="11"/>
        <v>487.32090264601447</v>
      </c>
      <c r="CD40" s="59">
        <f ca="1">AVERAGE(OFFSET($CC$3,0,0,'Données projet'!$E$12+1,1))-AVERAGE(OFFSET($H$3,0,0,'Données projet'!$E$12+1,1))</f>
        <v>201.36664523637006</v>
      </c>
      <c r="CE40" s="59">
        <f t="shared" si="40"/>
        <v>79.394119001888555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8.1</v>
      </c>
      <c r="CT40" s="12">
        <f>IF('Données projet'!$A$140&gt;35,CT39+CS40-DB39,IF(A40&lt;'Données projet'!$A$140,$CQ$205^A40,IF(A40='Données projet'!$A$140,'Données projet'!$B$140,CT39+CS40-DB39)))</f>
        <v>133.69999999999999</v>
      </c>
      <c r="CU40" s="17">
        <f>CT40*VLOOKUP('Données projet'!$B$13,Paramètres!$A$1:$I$89,3,0)*VLOOKUP('Données projet'!$B$13,Paramètres!$A$1:$I$89,5,0)</f>
        <v>120.97175999999999</v>
      </c>
      <c r="CV40" s="13">
        <f t="shared" si="41"/>
        <v>31.901539856968295</v>
      </c>
      <c r="CW40" s="20">
        <f t="shared" si="13"/>
        <v>266.25433058421976</v>
      </c>
      <c r="CX40" s="59">
        <f t="shared" si="14"/>
        <v>559.58766391755307</v>
      </c>
      <c r="CY40" s="59">
        <f ca="1">AVERAGE(OFFSET($CX$3,0,0,'Données projet'!$E$13+1,1))-AVERAGE(OFFSET($H$3,0,0,'Données projet'!$E$13+1,1))</f>
        <v>282.08542131880455</v>
      </c>
      <c r="CZ40" s="59">
        <f t="shared" si="42"/>
        <v>174.27503468762325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5.1160455581023019</v>
      </c>
      <c r="DH40" s="21">
        <f>EXP(-LN(2)/2)*DH39+(1-EXP(-LN(2)/2))/(LN(2)/2)*DB40*DE40*VLOOKUP('Données projet'!$B$13,Paramètres!$A$1:$I$89,3,0)*0.475*44/12</f>
        <v>1.0941324597471873</v>
      </c>
      <c r="DI40" s="22">
        <f t="shared" si="15"/>
        <v>6.210178017849489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10.199999999999999</v>
      </c>
      <c r="DO40" s="12">
        <f>IF('Données projet'!$A$166&gt;35,DO39+DN40-DW39,IF(A40&lt;'Données projet'!$A$166,$DL$205^A40,IF(A40='Données projet'!$A$166,'Données projet'!$B$166,DO39+DN40-DW39)))</f>
        <v>189.39999999999989</v>
      </c>
      <c r="DP40" s="17">
        <f>DO40*VLOOKUP('Données projet'!$B$14,Paramètres!$A$1:$I$89,3,0)*VLOOKUP('Données projet'!$B$14,Paramètres!$A$1:$I$89,5,0)</f>
        <v>153.64127999999991</v>
      </c>
      <c r="DQ40" s="13">
        <f t="shared" si="43"/>
        <v>39.404920897415295</v>
      </c>
      <c r="DR40" s="20">
        <f t="shared" si="16"/>
        <v>336.22213322966473</v>
      </c>
      <c r="DS40" s="59">
        <f t="shared" si="17"/>
        <v>629.55546656299805</v>
      </c>
      <c r="DT40" s="59">
        <f ca="1">AVERAGE(OFFSET($DS$3,0,0,'Données projet'!$E$14+1,1))-AVERAGE(OFFSET($H$3,0,0,'Données projet'!$E$14+1,1))</f>
        <v>235.31102883830971</v>
      </c>
      <c r="DU40" s="59">
        <f t="shared" si="44"/>
        <v>271.48630853790422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8.8572679341224152</v>
      </c>
      <c r="EC40" s="21">
        <f>EXP(-LN(2)/2)*EC39+(1-EXP(-LN(2)/2))/(LN(2)/2)*DW40*DZ40*VLOOKUP('Données projet'!$B$14,Paramètres!$A$1:$I$89,3,0)*0.475*44/12</f>
        <v>1.8942412144969147</v>
      </c>
      <c r="ED40" s="22">
        <f t="shared" si="18"/>
        <v>10.751509148619331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26.8</v>
      </c>
      <c r="N41" s="13">
        <f>IF('Données projet'!$A$36&gt;35,N40+M41-V40,IF(A41&lt;'Données projet'!$A$36,$K$205^A41,IF(A41='Données projet'!$A$36,'Données projet'!$B$36,N40+M41-V40)))</f>
        <v>473.40000000000009</v>
      </c>
      <c r="O41" s="13">
        <f>N41*VLOOKUP('Données projet'!$B$9,Paramètres!$A$1:$I$89,3,0)*VLOOKUP('Données projet'!$B$9,Paramètres!$A$1:$I$89,5,0)</f>
        <v>264.63060000000007</v>
      </c>
      <c r="P41" s="13">
        <f t="shared" si="33"/>
        <v>63.708418341323984</v>
      </c>
      <c r="Q41" s="20">
        <f t="shared" si="53"/>
        <v>571.8571236111394</v>
      </c>
      <c r="R41" s="59">
        <f t="shared" si="0"/>
        <v>865.19045694447277</v>
      </c>
      <c r="S41" s="59">
        <f ca="1">AVERAGE(OFFSET($R$3,0,0,'Données projet'!$E$9+1,1))-AVERAGE(OFFSET($H$3,0,0,'Données projet'!$E$9+1,1))</f>
        <v>446.28010102877403</v>
      </c>
      <c r="T41" s="59">
        <f t="shared" si="34"/>
        <v>445.84011537290456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9.7466198840452147</v>
      </c>
      <c r="AA41" s="21">
        <f>EXP(-LN(2)/25)*AA40+(1-EXP(-LN(2)/25))/(LN(2)/25)*Calculateur!V41*Calculateur!X41*VLOOKUP('Données projet'!$B$9,Paramètres!$A$1:$I$89,3,0)*0.475*44/12</f>
        <v>31.048995908323828</v>
      </c>
      <c r="AB41" s="21">
        <f>EXP(-LN(2)/2)*AB40+(1-EXP(-LN(2)/2))/(LN(2)/2)*V41*Y41*VLOOKUP('Données projet'!$B$9,Paramètres!$A$1:$I$89,3,0)*0.475*44/12</f>
        <v>2.279493209689631</v>
      </c>
      <c r="AC41" s="22">
        <f t="shared" si="3"/>
        <v>43.075109002058674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10.000000000000004</v>
      </c>
      <c r="AI41" s="13">
        <f>IF('Données projet'!$A$62&gt;35,AI40+AH41-AQ40,IF(A41&lt;'Données projet'!$A$62,$AF$205^A41,IF(A41='Données projet'!$A$62,'Données projet'!$B$62,AI40+AH41-AQ40)))</f>
        <v>271.59999999999991</v>
      </c>
      <c r="AJ41" s="13">
        <f>AI41*VLOOKUP('Données projet'!$B$10,Paramètres!$A$1:$I$89,3,0)*VLOOKUP('Données projet'!$B$10,Paramètres!$A$1:$I$89,5,0)</f>
        <v>127.10879999999996</v>
      </c>
      <c r="AK41" s="13">
        <f t="shared" si="35"/>
        <v>33.32741592766736</v>
      </c>
      <c r="AL41" s="20">
        <f t="shared" si="4"/>
        <v>279.4264094073539</v>
      </c>
      <c r="AM41" s="59">
        <f t="shared" si="5"/>
        <v>572.75974274068722</v>
      </c>
      <c r="AN41" s="59">
        <f ca="1">AVERAGE(OFFSET($AM$3,0,0,'Données projet'!$E$10+1,1))-AVERAGE(OFFSET($H$3,0,0,'Données projet'!$E$10+1,1))</f>
        <v>252.98248842635206</v>
      </c>
      <c r="AO41" s="59">
        <f t="shared" si="36"/>
        <v>207.11938580878308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2.6753014445841039</v>
      </c>
      <c r="AV41" s="21">
        <f>EXP(-LN(2)/25)*AV40+(1-EXP(-LN(2)/25))/(LN(2)/25)*Calculateur!AQ41*Calculateur!AS41*VLOOKUP('Données projet'!$B$10,Paramètres!$A$1:$I$89,3,0)*0.475*44/12</f>
        <v>6.2927758684629946</v>
      </c>
      <c r="AW41" s="21">
        <f>EXP(-LN(2)/2)*AW40+(1-EXP(-LN(2)/2))/(LN(2)/2)*AQ41*AT41*VLOOKUP('Données projet'!$B$10,Paramètres!$A$1:$I$89,3,0)*0.475*44/12</f>
        <v>0.61451103001849949</v>
      </c>
      <c r="AX41" s="21">
        <f t="shared" si="6"/>
        <v>9.5825883430655985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5.2</v>
      </c>
      <c r="BD41" s="12">
        <f>IF('Données projet'!$A$88&gt;35,BD40+BC41-BL40,IF(A41&lt;'Données projet'!$A$88,$BA$205^A41,IF(A41='Données projet'!$A$88,'Données projet'!$B$88,BD40+BC41-BL40)))</f>
        <v>95.600000000000009</v>
      </c>
      <c r="BE41" s="13">
        <f>BD41*VLOOKUP('Données projet'!$B$11,Paramètres!$A$1:$I$89,3,0)*VLOOKUP('Données projet'!$B$11,Paramètres!$A$1:$I$89,5,0)</f>
        <v>62.637120000000003</v>
      </c>
      <c r="BF41" s="13">
        <f t="shared" si="37"/>
        <v>17.833337410239746</v>
      </c>
      <c r="BG41" s="20">
        <f t="shared" si="7"/>
        <v>140.15271332283422</v>
      </c>
      <c r="BH41" s="59">
        <f t="shared" si="8"/>
        <v>433.48604665616756</v>
      </c>
      <c r="BI41" s="59">
        <f ca="1">AVERAGE(OFFSET($BH$3,0,0,'Données projet'!$E$11+1,1))-AVERAGE(OFFSET($H$3,0,0,'Données projet'!$E$11+1,1))</f>
        <v>114.23168847330004</v>
      </c>
      <c r="BJ41" s="59">
        <f t="shared" si="38"/>
        <v>42.34857998136755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5.2</v>
      </c>
      <c r="BY41" s="12">
        <f>IF('Données projet'!$A$114&gt;35,BY40+BX41-CG40,IF(A41&lt;'Données projet'!$A$114,$BV$205^A41,IF(A41='Données projet'!$A$114,'Données projet'!$B$114,BY40+BX41-CG40)))</f>
        <v>95.600000000000009</v>
      </c>
      <c r="BZ41" s="13">
        <f>BY41*VLOOKUP('Données projet'!$B$12,Paramètres!$A$1:$I$89,3,0)*VLOOKUP('Données projet'!$B$12,Paramètres!$A$1:$I$89,5,0)</f>
        <v>92.464320000000015</v>
      </c>
      <c r="CA41" s="13">
        <f t="shared" si="39"/>
        <v>25.158622022619586</v>
      </c>
      <c r="CB41" s="20">
        <f t="shared" si="10"/>
        <v>204.85995735606244</v>
      </c>
      <c r="CC41" s="59">
        <f t="shared" si="11"/>
        <v>498.19329068939578</v>
      </c>
      <c r="CD41" s="59">
        <f ca="1">AVERAGE(OFFSET($CC$3,0,0,'Données projet'!$E$12+1,1))-AVERAGE(OFFSET($H$3,0,0,'Données projet'!$E$12+1,1))</f>
        <v>201.36664523637006</v>
      </c>
      <c r="CE41" s="59">
        <f t="shared" si="40"/>
        <v>79.394119001888555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8.1</v>
      </c>
      <c r="CT41" s="12">
        <f>IF('Données projet'!$A$140&gt;35,CT40+CS41-DB40,IF(A41&lt;'Données projet'!$A$140,$CQ$205^A41,IF(A41='Données projet'!$A$140,'Données projet'!$B$140,CT40+CS41-DB40)))</f>
        <v>141.79999999999998</v>
      </c>
      <c r="CU41" s="17">
        <f>CT41*VLOOKUP('Données projet'!$B$13,Paramètres!$A$1:$I$89,3,0)*VLOOKUP('Données projet'!$B$13,Paramètres!$A$1:$I$89,5,0)</f>
        <v>128.30063999999999</v>
      </c>
      <c r="CV41" s="13">
        <f t="shared" si="41"/>
        <v>33.603386926177379</v>
      </c>
      <c r="CW41" s="20">
        <f t="shared" si="13"/>
        <v>281.9828468964256</v>
      </c>
      <c r="CX41" s="59">
        <f t="shared" si="14"/>
        <v>575.31618022975886</v>
      </c>
      <c r="CY41" s="59">
        <f ca="1">AVERAGE(OFFSET($CX$3,0,0,'Données projet'!$E$13+1,1))-AVERAGE(OFFSET($H$3,0,0,'Données projet'!$E$13+1,1))</f>
        <v>282.08542131880455</v>
      </c>
      <c r="CZ41" s="59">
        <f t="shared" si="42"/>
        <v>174.27503468762325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4.9761470232748515</v>
      </c>
      <c r="DH41" s="21">
        <f>EXP(-LN(2)/2)*DH40+(1-EXP(-LN(2)/2))/(LN(2)/2)*DB41*DE41*VLOOKUP('Données projet'!$B$13,Paramètres!$A$1:$I$89,3,0)*0.475*44/12</f>
        <v>0.77366848180355341</v>
      </c>
      <c r="DI41" s="22">
        <f t="shared" si="15"/>
        <v>5.7498155050784048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10.199999999999999</v>
      </c>
      <c r="DO41" s="12">
        <f>IF('Données projet'!$A$166&gt;35,DO40+DN41-DW40,IF(A41&lt;'Données projet'!$A$166,$DL$205^A41,IF(A41='Données projet'!$A$166,'Données projet'!$B$166,DO40+DN41-DW40)))</f>
        <v>199.59999999999988</v>
      </c>
      <c r="DP41" s="17">
        <f>DO41*VLOOKUP('Données projet'!$B$14,Paramètres!$A$1:$I$89,3,0)*VLOOKUP('Données projet'!$B$14,Paramètres!$A$1:$I$89,5,0)</f>
        <v>161.91551999999993</v>
      </c>
      <c r="DQ41" s="13">
        <f t="shared" si="43"/>
        <v>41.274266582040376</v>
      </c>
      <c r="DR41" s="20">
        <f t="shared" si="16"/>
        <v>353.88887829705351</v>
      </c>
      <c r="DS41" s="59">
        <f t="shared" si="17"/>
        <v>647.22221163038682</v>
      </c>
      <c r="DT41" s="59">
        <f ca="1">AVERAGE(OFFSET($DS$3,0,0,'Données projet'!$E$14+1,1))-AVERAGE(OFFSET($H$3,0,0,'Données projet'!$E$14+1,1))</f>
        <v>235.31102883830971</v>
      </c>
      <c r="DU41" s="59">
        <f t="shared" si="44"/>
        <v>271.48630853790422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8.6150654766803605</v>
      </c>
      <c r="EC41" s="21">
        <f>EXP(-LN(2)/2)*EC40+(1-EXP(-LN(2)/2))/(LN(2)/2)*DW41*DZ41*VLOOKUP('Données projet'!$B$14,Paramètres!$A$1:$I$89,3,0)*0.475*44/12</f>
        <v>1.33943080797381</v>
      </c>
      <c r="ED41" s="22">
        <f t="shared" si="18"/>
        <v>9.9544962846541711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26.8</v>
      </c>
      <c r="N42" s="13">
        <f>IF('Données projet'!$A$36&gt;35,N41+M42-V41,IF(A42&lt;'Données projet'!$A$36,$K$205^A42,IF(A42='Données projet'!$A$36,'Données projet'!$B$36,N41+M42-V41)))</f>
        <v>500.2000000000001</v>
      </c>
      <c r="O42" s="13">
        <f>N42*VLOOKUP('Données projet'!$B$9,Paramètres!$A$1:$I$89,3,0)*VLOOKUP('Données projet'!$B$9,Paramètres!$A$1:$I$89,5,0)</f>
        <v>279.61180000000007</v>
      </c>
      <c r="P42" s="13">
        <f t="shared" si="33"/>
        <v>66.884964438617615</v>
      </c>
      <c r="Q42" s="20">
        <f t="shared" si="53"/>
        <v>603.48186473059241</v>
      </c>
      <c r="R42" s="59">
        <f t="shared" si="0"/>
        <v>896.81519806392566</v>
      </c>
      <c r="S42" s="59">
        <f ca="1">AVERAGE(OFFSET($R$3,0,0,'Données projet'!$E$9+1,1))-AVERAGE(OFFSET($H$3,0,0,'Données projet'!$E$9+1,1))</f>
        <v>446.28010102877403</v>
      </c>
      <c r="T42" s="59">
        <f t="shared" si="34"/>
        <v>445.84011537290456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9.5554946129702127</v>
      </c>
      <c r="AA42" s="21">
        <f>EXP(-LN(2)/25)*AA41+(1-EXP(-LN(2)/25))/(LN(2)/25)*Calculateur!V42*Calculateur!X42*VLOOKUP('Données projet'!$B$9,Paramètres!$A$1:$I$89,3,0)*0.475*44/12</f>
        <v>30.199959482414982</v>
      </c>
      <c r="AB42" s="21">
        <f>EXP(-LN(2)/2)*AB41+(1-EXP(-LN(2)/2))/(LN(2)/2)*V42*Y42*VLOOKUP('Données projet'!$B$9,Paramètres!$A$1:$I$89,3,0)*0.475*44/12</f>
        <v>1.6118451062402268</v>
      </c>
      <c r="AC42" s="22">
        <f t="shared" si="3"/>
        <v>41.367299201625421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10.000000000000004</v>
      </c>
      <c r="AI42" s="13">
        <f>IF('Données projet'!$A$62&gt;35,AI41+AH42-AQ41,IF(A42&lt;'Données projet'!$A$62,$AF$205^A42,IF(A42='Données projet'!$A$62,'Données projet'!$B$62,AI41+AH42-AQ41)))</f>
        <v>281.59999999999991</v>
      </c>
      <c r="AJ42" s="13">
        <f>AI42*VLOOKUP('Données projet'!$B$10,Paramètres!$A$1:$I$89,3,0)*VLOOKUP('Données projet'!$B$10,Paramètres!$A$1:$I$89,5,0)</f>
        <v>131.78879999999995</v>
      </c>
      <c r="AK42" s="13">
        <f t="shared" si="35"/>
        <v>34.409369159409614</v>
      </c>
      <c r="AL42" s="20">
        <f t="shared" si="4"/>
        <v>289.46181128597163</v>
      </c>
      <c r="AM42" s="59">
        <f t="shared" si="5"/>
        <v>582.79514461930489</v>
      </c>
      <c r="AN42" s="59">
        <f ca="1">AVERAGE(OFFSET($AM$3,0,0,'Données projet'!$E$10+1,1))-AVERAGE(OFFSET($H$3,0,0,'Données projet'!$E$10+1,1))</f>
        <v>252.98248842635206</v>
      </c>
      <c r="AO42" s="59">
        <f t="shared" si="36"/>
        <v>207.11938580878308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2.6228404150285667</v>
      </c>
      <c r="AV42" s="21">
        <f>EXP(-LN(2)/25)*AV41+(1-EXP(-LN(2)/25))/(LN(2)/25)*Calculateur!AQ42*Calculateur!AS42*VLOOKUP('Données projet'!$B$10,Paramètres!$A$1:$I$89,3,0)*0.475*44/12</f>
        <v>6.1206995814171732</v>
      </c>
      <c r="AW42" s="21">
        <f>EXP(-LN(2)/2)*AW41+(1-EXP(-LN(2)/2))/(LN(2)/2)*AQ42*AT42*VLOOKUP('Données projet'!$B$10,Paramètres!$A$1:$I$89,3,0)*0.475*44/12</f>
        <v>0.43452491644001107</v>
      </c>
      <c r="AX42" s="21">
        <f t="shared" si="6"/>
        <v>9.1780649128857519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5.2</v>
      </c>
      <c r="BD42" s="12">
        <f>IF('Données projet'!$A$88&gt;35,BD41+BC42-BL41,IF(A42&lt;'Données projet'!$A$88,$BA$205^A42,IF(A42='Données projet'!$A$88,'Données projet'!$B$88,BD41+BC42-BL41)))</f>
        <v>100.80000000000001</v>
      </c>
      <c r="BE42" s="13">
        <f>BD42*VLOOKUP('Données projet'!$B$11,Paramètres!$A$1:$I$89,3,0)*VLOOKUP('Données projet'!$B$11,Paramètres!$A$1:$I$89,5,0)</f>
        <v>66.044160000000005</v>
      </c>
      <c r="BF42" s="13">
        <f t="shared" si="37"/>
        <v>18.687781995248802</v>
      </c>
      <c r="BG42" s="20">
        <f t="shared" si="7"/>
        <v>147.57479897505831</v>
      </c>
      <c r="BH42" s="59">
        <f t="shared" si="8"/>
        <v>440.9081323083916</v>
      </c>
      <c r="BI42" s="59">
        <f ca="1">AVERAGE(OFFSET($BH$3,0,0,'Données projet'!$E$11+1,1))-AVERAGE(OFFSET($H$3,0,0,'Données projet'!$E$11+1,1))</f>
        <v>114.23168847330004</v>
      </c>
      <c r="BJ42" s="59">
        <f t="shared" si="38"/>
        <v>42.34857998136755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5.2</v>
      </c>
      <c r="BY42" s="12">
        <f>IF('Données projet'!$A$114&gt;35,BY41+BX42-CG41,IF(A42&lt;'Données projet'!$A$114,$BV$205^A42,IF(A42='Données projet'!$A$114,'Données projet'!$B$114,BY41+BX42-CG41)))</f>
        <v>100.80000000000001</v>
      </c>
      <c r="BZ42" s="13">
        <f>BY42*VLOOKUP('Données projet'!$B$12,Paramètres!$A$1:$I$89,3,0)*VLOOKUP('Données projet'!$B$12,Paramètres!$A$1:$I$89,5,0)</f>
        <v>97.493760000000023</v>
      </c>
      <c r="CA42" s="13">
        <f t="shared" si="39"/>
        <v>26.364041280888873</v>
      </c>
      <c r="CB42" s="20">
        <f t="shared" si="10"/>
        <v>215.71900389754816</v>
      </c>
      <c r="CC42" s="59">
        <f t="shared" si="11"/>
        <v>509.05233723088145</v>
      </c>
      <c r="CD42" s="59">
        <f ca="1">AVERAGE(OFFSET($CC$3,0,0,'Données projet'!$E$12+1,1))-AVERAGE(OFFSET($H$3,0,0,'Données projet'!$E$12+1,1))</f>
        <v>201.36664523637006</v>
      </c>
      <c r="CE42" s="59">
        <f t="shared" si="40"/>
        <v>79.394119001888555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8.1</v>
      </c>
      <c r="CT42" s="12">
        <f>IF('Données projet'!$A$140&gt;35,CT41+CS42-DB41,IF(A42&lt;'Données projet'!$A$140,$CQ$205^A42,IF(A42='Données projet'!$A$140,'Données projet'!$B$140,CT41+CS42-DB41)))</f>
        <v>149.89999999999998</v>
      </c>
      <c r="CU42" s="17">
        <f>CT42*VLOOKUP('Données projet'!$B$13,Paramètres!$A$1:$I$89,3,0)*VLOOKUP('Données projet'!$B$13,Paramètres!$A$1:$I$89,5,0)</f>
        <v>135.62951999999999</v>
      </c>
      <c r="CV42" s="13">
        <f t="shared" si="41"/>
        <v>35.293949331236803</v>
      </c>
      <c r="CW42" s="20">
        <f t="shared" si="13"/>
        <v>297.69170908523739</v>
      </c>
      <c r="CX42" s="59">
        <f t="shared" si="14"/>
        <v>591.02504241857071</v>
      </c>
      <c r="CY42" s="59">
        <f ca="1">AVERAGE(OFFSET($CX$3,0,0,'Données projet'!$E$13+1,1))-AVERAGE(OFFSET($H$3,0,0,'Données projet'!$E$13+1,1))</f>
        <v>282.08542131880455</v>
      </c>
      <c r="CZ42" s="59">
        <f t="shared" si="42"/>
        <v>174.27503468762325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4.8400740212392019</v>
      </c>
      <c r="DH42" s="21">
        <f>EXP(-LN(2)/2)*DH41+(1-EXP(-LN(2)/2))/(LN(2)/2)*DB42*DE42*VLOOKUP('Données projet'!$B$13,Paramètres!$A$1:$I$89,3,0)*0.475*44/12</f>
        <v>0.54706622987359366</v>
      </c>
      <c r="DI42" s="22">
        <f t="shared" si="15"/>
        <v>5.3871402511127959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10.199999999999999</v>
      </c>
      <c r="DO42" s="12">
        <f>IF('Données projet'!$A$166&gt;35,DO41+DN42-DW41,IF(A42&lt;'Données projet'!$A$166,$DL$205^A42,IF(A42='Données projet'!$A$166,'Données projet'!$B$166,DO41+DN42-DW41)))</f>
        <v>209.79999999999987</v>
      </c>
      <c r="DP42" s="17">
        <f>DO42*VLOOKUP('Données projet'!$B$14,Paramètres!$A$1:$I$89,3,0)*VLOOKUP('Données projet'!$B$14,Paramètres!$A$1:$I$89,5,0)</f>
        <v>170.18975999999989</v>
      </c>
      <c r="DQ42" s="13">
        <f t="shared" si="43"/>
        <v>43.132520752965824</v>
      </c>
      <c r="DR42" s="20">
        <f t="shared" si="16"/>
        <v>371.53630564474861</v>
      </c>
      <c r="DS42" s="59">
        <f t="shared" si="17"/>
        <v>664.86963897808187</v>
      </c>
      <c r="DT42" s="59">
        <f ca="1">AVERAGE(OFFSET($DS$3,0,0,'Données projet'!$E$14+1,1))-AVERAGE(OFFSET($H$3,0,0,'Données projet'!$E$14+1,1))</f>
        <v>235.31102883830971</v>
      </c>
      <c r="DU42" s="59">
        <f t="shared" si="44"/>
        <v>271.48630853790422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8.3794860581739332</v>
      </c>
      <c r="EC42" s="21">
        <f>EXP(-LN(2)/2)*EC41+(1-EXP(-LN(2)/2))/(LN(2)/2)*DW42*DZ42*VLOOKUP('Données projet'!$B$14,Paramètres!$A$1:$I$89,3,0)*0.475*44/12</f>
        <v>0.94712060724845748</v>
      </c>
      <c r="ED42" s="22">
        <f t="shared" si="18"/>
        <v>9.3266066654223909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527</v>
      </c>
      <c r="L43" s="12">
        <f>VLOOKUP(A43,'Données projet'!$A$35:$I$55,9,0)</f>
        <v>26.8</v>
      </c>
      <c r="M43" s="12">
        <f t="array" ref="M43">INDEX(L:L,MIN(IF(ISNUMBER(L43:L239),ROW(L43:L239),"")))</f>
        <v>26.8</v>
      </c>
      <c r="N43" s="13">
        <f>IF('Données projet'!$A$36&gt;35,N42+M43-V42,IF(A43&lt;'Données projet'!$A$36,$K$205^A43,IF(A43='Données projet'!$A$36,'Données projet'!$B$36,N42+M43-V42)))</f>
        <v>527.00000000000011</v>
      </c>
      <c r="O43" s="13">
        <f>N43*VLOOKUP('Données projet'!$B$9,Paramètres!$A$1:$I$89,3,0)*VLOOKUP('Données projet'!$B$9,Paramètres!$A$1:$I$89,5,0)</f>
        <v>294.59300000000007</v>
      </c>
      <c r="P43" s="13">
        <f t="shared" si="33"/>
        <v>70.041751529321004</v>
      </c>
      <c r="Q43" s="20">
        <f t="shared" si="53"/>
        <v>635.07219224690084</v>
      </c>
      <c r="R43" s="59">
        <f t="shared" si="0"/>
        <v>928.4055255802341</v>
      </c>
      <c r="S43" s="59">
        <f ca="1">AVERAGE(OFFSET($R$3,0,0,'Données projet'!$E$9+1,1))-AVERAGE(OFFSET($H$3,0,0,'Données projet'!$E$9+1,1))</f>
        <v>446.28010102877403</v>
      </c>
      <c r="T43" s="59">
        <f t="shared" si="34"/>
        <v>445.84011537290456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140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9.3681171918860855</v>
      </c>
      <c r="AA43" s="21">
        <f>EXP(-LN(2)/25)*AA42+(1-EXP(-LN(2)/25))/(LN(2)/25)*Calculateur!V43*Calculateur!X43*VLOOKUP('Données projet'!$B$9,Paramètres!$A$1:$I$89,3,0)*0.475*44/12</f>
        <v>29.374140002221498</v>
      </c>
      <c r="AB43" s="21">
        <f>EXP(-LN(2)/2)*AB42+(1-EXP(-LN(2)/2))/(LN(2)/2)*V43*Y43*VLOOKUP('Données projet'!$B$9,Paramètres!$A$1:$I$89,3,0)*0.475*44/12</f>
        <v>1.1397466048448155</v>
      </c>
      <c r="AC43" s="22">
        <f t="shared" si="3"/>
        <v>39.882003798952397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291.60000000000002</v>
      </c>
      <c r="AG43" s="12">
        <f>VLOOKUP(A43,'Données projet'!$A$61:$I$81,9,0)</f>
        <v>10.000000000000004</v>
      </c>
      <c r="AH43" s="12">
        <f t="array" ref="AH43">INDEX(AG:AG,MIN(IF(ISNUMBER(AG43:AG239),ROW(AG43:AG239),"")))</f>
        <v>10.000000000000004</v>
      </c>
      <c r="AI43" s="13">
        <f>IF('Données projet'!$A$62&gt;35,AI42+AH43-AQ42,IF(A43&lt;'Données projet'!$A$62,$AF$205^A43,IF(A43='Données projet'!$A$62,'Données projet'!$B$62,AI42+AH43-AQ42)))</f>
        <v>291.59999999999991</v>
      </c>
      <c r="AJ43" s="13">
        <f>AI43*VLOOKUP('Données projet'!$B$10,Paramètres!$A$1:$I$89,3,0)*VLOOKUP('Données projet'!$B$10,Paramètres!$A$1:$I$89,5,0)</f>
        <v>136.46879999999996</v>
      </c>
      <c r="AK43" s="13">
        <f t="shared" si="35"/>
        <v>35.486858352195874</v>
      </c>
      <c r="AL43" s="20">
        <f t="shared" si="4"/>
        <v>299.48943829674107</v>
      </c>
      <c r="AM43" s="59">
        <f t="shared" si="5"/>
        <v>592.82277163007439</v>
      </c>
      <c r="AN43" s="59">
        <f ca="1">AVERAGE(OFFSET($AM$3,0,0,'Données projet'!$E$10+1,1))-AVERAGE(OFFSET($H$3,0,0,'Données projet'!$E$10+1,1))</f>
        <v>252.98248842635206</v>
      </c>
      <c r="AO43" s="59">
        <f t="shared" si="36"/>
        <v>207.11938580878308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83.4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2.5714081142645449</v>
      </c>
      <c r="AV43" s="21">
        <f>EXP(-LN(2)/25)*AV42+(1-EXP(-LN(2)/25))/(LN(2)/25)*Calculateur!AQ43*Calculateur!AS43*VLOOKUP('Données projet'!$B$10,Paramètres!$A$1:$I$89,3,0)*0.475*44/12</f>
        <v>5.9533287294897184</v>
      </c>
      <c r="AW43" s="21">
        <f>EXP(-LN(2)/2)*AW42+(1-EXP(-LN(2)/2))/(LN(2)/2)*AQ43*AT43*VLOOKUP('Données projet'!$B$10,Paramètres!$A$1:$I$89,3,0)*0.475*44/12</f>
        <v>0.30725551500924975</v>
      </c>
      <c r="AX43" s="21">
        <f t="shared" si="6"/>
        <v>8.8319923587635127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106</v>
      </c>
      <c r="BB43" s="12">
        <f>VLOOKUP(A43,'Données projet'!$A$87:$I$107,9,0)</f>
        <v>5.2</v>
      </c>
      <c r="BC43" s="12">
        <f t="array" ref="BC43">INDEX(BB:BB,MIN(IF(ISNUMBER(BB43:BB239),ROW(BB43:BB239),"")))</f>
        <v>5.2</v>
      </c>
      <c r="BD43" s="12">
        <f>IF('Données projet'!$A$88&gt;35,BD42+BC43-BL42,IF(A43&lt;'Données projet'!$A$88,$BA$205^A43,IF(A43='Données projet'!$A$88,'Données projet'!$B$88,BD42+BC43-BL42)))</f>
        <v>106.00000000000001</v>
      </c>
      <c r="BE43" s="13">
        <f>BD43*VLOOKUP('Données projet'!$B$11,Paramètres!$A$1:$I$89,3,0)*VLOOKUP('Données projet'!$B$11,Paramètres!$A$1:$I$89,5,0)</f>
        <v>69.451200000000014</v>
      </c>
      <c r="BF43" s="13">
        <f t="shared" si="37"/>
        <v>19.537108821210285</v>
      </c>
      <c r="BG43" s="20">
        <f t="shared" si="7"/>
        <v>154.98797119694123</v>
      </c>
      <c r="BH43" s="59">
        <f t="shared" si="8"/>
        <v>448.32130453027457</v>
      </c>
      <c r="BI43" s="59">
        <f ca="1">AVERAGE(OFFSET($BH$3,0,0,'Données projet'!$E$11+1,1))-AVERAGE(OFFSET($H$3,0,0,'Données projet'!$E$11+1,1))</f>
        <v>114.23168847330004</v>
      </c>
      <c r="BJ43" s="59">
        <f t="shared" si="38"/>
        <v>42.34857998136755</v>
      </c>
      <c r="BK43" s="15">
        <f>IF(ISNA(VLOOKUP(A43,'Données projet'!$A$87:$I$107,3,0)),0,VLOOKUP(A43,'Données projet'!$A$87:$I$107,3,0))</f>
        <v>1</v>
      </c>
      <c r="BL43" s="15">
        <f>IF(ISNA(VLOOKUP(A43,'Données projet'!$A$87:$I$107,4,0)),0,VLOOKUP(A43,'Données projet'!$A$87:$I$107,4,0))</f>
        <v>27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106</v>
      </c>
      <c r="BW43" s="12">
        <f>VLOOKUP(A43,'Données projet'!$A$113:$I$133,9,0)</f>
        <v>5.2</v>
      </c>
      <c r="BX43" s="12">
        <f t="array" ref="BX43">INDEX(BW:BW,MIN(IF(ISNUMBER(BW43:BW239),ROW(BW43:BW239),"")))</f>
        <v>5.2</v>
      </c>
      <c r="BY43" s="12">
        <f>IF('Données projet'!$A$114&gt;35,BY42+BX43-CG42,IF(A43&lt;'Données projet'!$A$114,$BV$205^A43,IF(A43='Données projet'!$A$114,'Données projet'!$B$114,BY42+BX43-CG42)))</f>
        <v>106.00000000000001</v>
      </c>
      <c r="BZ43" s="13">
        <f>BY43*VLOOKUP('Données projet'!$B$12,Paramètres!$A$1:$I$89,3,0)*VLOOKUP('Données projet'!$B$12,Paramètres!$A$1:$I$89,5,0)</f>
        <v>102.52320000000002</v>
      </c>
      <c r="CA43" s="13">
        <f t="shared" si="39"/>
        <v>27.562240591342476</v>
      </c>
      <c r="CB43" s="20">
        <f t="shared" si="10"/>
        <v>226.56547569658815</v>
      </c>
      <c r="CC43" s="59">
        <f t="shared" si="11"/>
        <v>519.89880902992149</v>
      </c>
      <c r="CD43" s="59">
        <f ca="1">AVERAGE(OFFSET($CC$3,0,0,'Données projet'!$E$12+1,1))-AVERAGE(OFFSET($H$3,0,0,'Données projet'!$E$12+1,1))</f>
        <v>201.36664523637006</v>
      </c>
      <c r="CE43" s="59">
        <f t="shared" si="40"/>
        <v>79.394119001888555</v>
      </c>
      <c r="CF43" s="15">
        <f>IF(ISNA(VLOOKUP(A43,'Données projet'!$A$113:$I$133,3,0)),0,VLOOKUP(A43,'Données projet'!$A$113:$I$133,3,0))</f>
        <v>1</v>
      </c>
      <c r="CG43" s="15">
        <f>IF(ISNA(VLOOKUP(A43,'Données projet'!$A$113:$I$133,4,0)),0,VLOOKUP(A43,'Données projet'!$A$113:$I$133,4,0))</f>
        <v>27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0.215</v>
      </c>
      <c r="CJ43" s="16">
        <f>IF(ISNA(VLOOKUP(A43,'Données projet'!$A$113:$I$133,7,0)),0%,VLOOKUP(A43,'Données projet'!$A$113:$I$133,7,0))</f>
        <v>0.5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6.1823311542783657</v>
      </c>
      <c r="CM43" s="21">
        <f>EXP(-LN(2)/2)*CM42+(1-EXP(-LN(2)/2))/(LN(2)/2)*CG43*CJ43*VLOOKUP('Données projet'!$B$12,Paramètres!$A$1:$I$89,3,0)*0.475*44/12</f>
        <v>12.319819629385476</v>
      </c>
      <c r="CN43" s="22">
        <f t="shared" si="12"/>
        <v>18.502150783663843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158</v>
      </c>
      <c r="CR43" s="12">
        <f>VLOOKUP(A43,'Données projet'!$A$139:$I$159,9,0)</f>
        <v>8.1</v>
      </c>
      <c r="CS43" s="12">
        <f t="array" ref="CS43">INDEX(CR:CR,MIN(IF(ISNUMBER(CR43:CR239),ROW(CR43:CR239),"")))</f>
        <v>8.1</v>
      </c>
      <c r="CT43" s="12">
        <f>IF('Données projet'!$A$140&gt;35,CT42+CS43-DB42,IF(A43&lt;'Données projet'!$A$140,$CQ$205^A43,IF(A43='Données projet'!$A$140,'Données projet'!$B$140,CT42+CS43-DB42)))</f>
        <v>157.99999999999997</v>
      </c>
      <c r="CU43" s="17">
        <f>CT43*VLOOKUP('Données projet'!$B$13,Paramètres!$A$1:$I$89,3,0)*VLOOKUP('Données projet'!$B$13,Paramètres!$A$1:$I$89,5,0)</f>
        <v>142.95839999999995</v>
      </c>
      <c r="CV43" s="13">
        <f t="shared" si="41"/>
        <v>36.973906370811264</v>
      </c>
      <c r="CW43" s="20">
        <f t="shared" si="13"/>
        <v>313.38210026249618</v>
      </c>
      <c r="CX43" s="59">
        <f t="shared" si="14"/>
        <v>606.7154335958295</v>
      </c>
      <c r="CY43" s="59">
        <f ca="1">AVERAGE(OFFSET($CX$3,0,0,'Données projet'!$E$13+1,1))-AVERAGE(OFFSET($H$3,0,0,'Données projet'!$E$13+1,1))</f>
        <v>282.08542131880455</v>
      </c>
      <c r="CZ43" s="59">
        <f t="shared" si="42"/>
        <v>174.27503468762325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42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0.215</v>
      </c>
      <c r="DE43" s="16">
        <f>IF(ISNA(VLOOKUP(A43,'Données projet'!$A$139:$I$159,7,0)),0%,VLOOKUP(A43,'Données projet'!$A$139:$I$159,7,0))</f>
        <v>0.5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13.70423251119144</v>
      </c>
      <c r="DH43" s="21">
        <f>EXP(-LN(2)/2)*DH42+(1-EXP(-LN(2)/2))/(LN(2)/2)*DB43*DE43*VLOOKUP('Données projet'!$B$13,Paramètres!$A$1:$I$89,3,0)*0.475*44/12</f>
        <v>18.314600439935834</v>
      </c>
      <c r="DI43" s="22">
        <f t="shared" si="15"/>
        <v>32.018832951127273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220</v>
      </c>
      <c r="DM43" s="12">
        <f>VLOOKUP(A43,'Données projet'!$A$165:$I$185,9,0)</f>
        <v>10.199999999999999</v>
      </c>
      <c r="DN43" s="12">
        <f t="array" ref="DN43">INDEX(DM:DM,MIN(IF(ISNUMBER(DM43:DM239),ROW(DM43:DM239),"")))</f>
        <v>10.199999999999999</v>
      </c>
      <c r="DO43" s="12">
        <f>IF('Données projet'!$A$166&gt;35,DO42+DN43-DW42,IF(A43&lt;'Données projet'!$A$166,$DL$205^A43,IF(A43='Données projet'!$A$166,'Données projet'!$B$166,DO42+DN43-DW42)))</f>
        <v>219.99999999999986</v>
      </c>
      <c r="DP43" s="17">
        <f>DO43*VLOOKUP('Données projet'!$B$14,Paramètres!$A$1:$I$89,3,0)*VLOOKUP('Données projet'!$B$14,Paramètres!$A$1:$I$89,5,0)</f>
        <v>178.46399999999991</v>
      </c>
      <c r="DQ43" s="13">
        <f t="shared" si="43"/>
        <v>44.980284206661821</v>
      </c>
      <c r="DR43" s="20">
        <f t="shared" si="16"/>
        <v>389.16546165993583</v>
      </c>
      <c r="DS43" s="59">
        <f t="shared" si="17"/>
        <v>682.49879499326914</v>
      </c>
      <c r="DT43" s="59">
        <f ca="1">AVERAGE(OFFSET($DS$3,0,0,'Données projet'!$E$14+1,1))-AVERAGE(OFFSET($H$3,0,0,'Données projet'!$E$14+1,1))</f>
        <v>235.31102883830971</v>
      </c>
      <c r="DU43" s="59">
        <f t="shared" si="44"/>
        <v>271.48630853790422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56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0.215</v>
      </c>
      <c r="DZ43" s="16">
        <f>IF(ISNA(VLOOKUP(A43,'Données projet'!$A$165:$I$185,7,0)),0%,VLOOKUP(A43,'Données projet'!$A$165:$I$185,7,0))</f>
        <v>0.5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18.904797986582867</v>
      </c>
      <c r="EC43" s="21">
        <f>EXP(-LN(2)/2)*EC42+(1-EXP(-LN(2)/2))/(LN(2)/2)*DW43*DZ43*VLOOKUP('Données projet'!$B$14,Paramètres!$A$1:$I$89,3,0)*0.475*44/12</f>
        <v>22.100608331567852</v>
      </c>
      <c r="ED43" s="22">
        <f t="shared" si="18"/>
        <v>41.005406318150719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409.80000000000007</v>
      </c>
      <c r="O44" s="13">
        <f>N44*VLOOKUP('Données projet'!$B$9,Paramètres!$A$1:$I$89,3,0)*VLOOKUP('Données projet'!$B$9,Paramètres!$A$1:$I$89,5,0)</f>
        <v>229.07820000000004</v>
      </c>
      <c r="P44" s="13">
        <f t="shared" si="33"/>
        <v>56.083320258718402</v>
      </c>
      <c r="Q44" s="20">
        <f t="shared" si="53"/>
        <v>496.65631445060126</v>
      </c>
      <c r="R44" s="59">
        <f t="shared" si="0"/>
        <v>789.98964778393452</v>
      </c>
      <c r="S44" s="59">
        <f ca="1">AVERAGE(OFFSET($R$3,0,0,'Données projet'!$E$9+1,1))-AVERAGE(OFFSET($H$3,0,0,'Données projet'!$E$9+1,1))</f>
        <v>446.28010102877403</v>
      </c>
      <c r="T44" s="59">
        <f t="shared" si="34"/>
        <v>445.84011537290456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9.1844141277404763</v>
      </c>
      <c r="AA44" s="21">
        <f>EXP(-LN(2)/25)*AA43+(1-EXP(-LN(2)/25))/(LN(2)/25)*Calculateur!V44*Calculateur!X44*VLOOKUP('Données projet'!$B$9,Paramètres!$A$1:$I$89,3,0)*0.475*44/12</f>
        <v>28.570902599141863</v>
      </c>
      <c r="AB44" s="21">
        <f>EXP(-LN(2)/2)*AB43+(1-EXP(-LN(2)/2))/(LN(2)/2)*V44*Y44*VLOOKUP('Données projet'!$B$9,Paramètres!$A$1:$I$89,3,0)*0.475*44/12</f>
        <v>0.80592255312011341</v>
      </c>
      <c r="AC44" s="22">
        <f t="shared" si="3"/>
        <v>38.561239280002454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11.499999999999996</v>
      </c>
      <c r="AI44" s="13">
        <f>IF('Données projet'!$A$62&gt;35,AI43+AH44-AQ43,IF(A44&lt;'Données projet'!$A$62,$AF$205^A44,IF(A44='Données projet'!$A$62,'Données projet'!$B$62,AI43+AH44-AQ43)))</f>
        <v>219.6999999999999</v>
      </c>
      <c r="AJ44" s="13">
        <f>AI44*VLOOKUP('Données projet'!$B$10,Paramètres!$A$1:$I$89,3,0)*VLOOKUP('Données projet'!$B$10,Paramètres!$A$1:$I$89,5,0)</f>
        <v>102.81959999999995</v>
      </c>
      <c r="AK44" s="13">
        <f t="shared" si="35"/>
        <v>27.632637448562328</v>
      </c>
      <c r="AL44" s="20">
        <f t="shared" si="4"/>
        <v>227.20431355624598</v>
      </c>
      <c r="AM44" s="59">
        <f t="shared" si="5"/>
        <v>520.53764688957926</v>
      </c>
      <c r="AN44" s="59">
        <f ca="1">AVERAGE(OFFSET($AM$3,0,0,'Données projet'!$E$10+1,1))-AVERAGE(OFFSET($H$3,0,0,'Données projet'!$E$10+1,1))</f>
        <v>252.98248842635206</v>
      </c>
      <c r="AO44" s="59">
        <f t="shared" si="36"/>
        <v>207.11938580878308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2.5209843695478997</v>
      </c>
      <c r="AV44" s="21">
        <f>EXP(-LN(2)/25)*AV43+(1-EXP(-LN(2)/25))/(LN(2)/25)*Calculateur!AQ44*Calculateur!AS44*VLOOKUP('Données projet'!$B$10,Paramètres!$A$1:$I$89,3,0)*0.475*44/12</f>
        <v>5.7905346423098703</v>
      </c>
      <c r="AW44" s="21">
        <f>EXP(-LN(2)/2)*AW43+(1-EXP(-LN(2)/2))/(LN(2)/2)*AQ44*AT44*VLOOKUP('Données projet'!$B$10,Paramètres!$A$1:$I$89,3,0)*0.475*44/12</f>
        <v>0.21726245822000553</v>
      </c>
      <c r="AX44" s="21">
        <f t="shared" si="6"/>
        <v>8.5287814700777762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5.6</v>
      </c>
      <c r="BD44" s="12">
        <f>IF('Données projet'!$A$88&gt;35,BD43+BC44-BL43,IF(A44&lt;'Données projet'!$A$88,$BA$205^A44,IF(A44='Données projet'!$A$88,'Données projet'!$B$88,BD43+BC44-BL43)))</f>
        <v>84.600000000000009</v>
      </c>
      <c r="BE44" s="13">
        <f>BD44*VLOOKUP('Données projet'!$B$11,Paramètres!$A$1:$I$89,3,0)*VLOOKUP('Données projet'!$B$11,Paramètres!$A$1:$I$89,5,0)</f>
        <v>55.42992000000001</v>
      </c>
      <c r="BF44" s="13">
        <f t="shared" si="37"/>
        <v>16.007535946649163</v>
      </c>
      <c r="BG44" s="20">
        <f t="shared" si="7"/>
        <v>124.42023577374732</v>
      </c>
      <c r="BH44" s="59">
        <f t="shared" si="8"/>
        <v>417.75356910708064</v>
      </c>
      <c r="BI44" s="59">
        <f ca="1">AVERAGE(OFFSET($BH$3,0,0,'Données projet'!$E$11+1,1))-AVERAGE(OFFSET($H$3,0,0,'Données projet'!$E$11+1,1))</f>
        <v>114.23168847330004</v>
      </c>
      <c r="BJ44" s="59">
        <f t="shared" si="38"/>
        <v>42.34857998136755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5.6</v>
      </c>
      <c r="BY44" s="12">
        <f>IF('Données projet'!$A$114&gt;35,BY43+BX44-CG43,IF(A44&lt;'Données projet'!$A$114,$BV$205^A44,IF(A44='Données projet'!$A$114,'Données projet'!$B$114,BY43+BX44-CG43)))</f>
        <v>84.600000000000009</v>
      </c>
      <c r="BZ44" s="13">
        <f>BY44*VLOOKUP('Données projet'!$B$12,Paramètres!$A$1:$I$89,3,0)*VLOOKUP('Données projet'!$B$12,Paramètres!$A$1:$I$89,5,0)</f>
        <v>81.825120000000013</v>
      </c>
      <c r="CA44" s="13">
        <f t="shared" si="39"/>
        <v>22.58284790619167</v>
      </c>
      <c r="CB44" s="20">
        <f t="shared" si="10"/>
        <v>181.84387743661719</v>
      </c>
      <c r="CC44" s="59">
        <f t="shared" si="11"/>
        <v>475.17721076995053</v>
      </c>
      <c r="CD44" s="59">
        <f ca="1">AVERAGE(OFFSET($CC$3,0,0,'Données projet'!$E$12+1,1))-AVERAGE(OFFSET($H$3,0,0,'Données projet'!$E$12+1,1))</f>
        <v>201.36664523637006</v>
      </c>
      <c r="CE44" s="59">
        <f t="shared" si="40"/>
        <v>79.394119001888555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6.0132749837499579</v>
      </c>
      <c r="CM44" s="21">
        <f>EXP(-LN(2)/2)*CM43+(1-EXP(-LN(2)/2))/(LN(2)/2)*CG44*CJ44*VLOOKUP('Données projet'!$B$12,Paramètres!$A$1:$I$89,3,0)*0.475*44/12</f>
        <v>8.7114280029336086</v>
      </c>
      <c r="CN44" s="22">
        <f t="shared" si="12"/>
        <v>14.724702986683567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8.4</v>
      </c>
      <c r="CT44" s="12">
        <f>IF('Données projet'!$A$140&gt;35,CT43+CS44-DB43,IF(A44&lt;'Données projet'!$A$140,$CQ$205^A44,IF(A44='Données projet'!$A$140,'Données projet'!$B$140,CT43+CS44-DB43)))</f>
        <v>124.39999999999998</v>
      </c>
      <c r="CU44" s="17">
        <f>CT44*VLOOKUP('Données projet'!$B$13,Paramètres!$A$1:$I$89,3,0)*VLOOKUP('Données projet'!$B$13,Paramètres!$A$1:$I$89,5,0)</f>
        <v>112.55711999999998</v>
      </c>
      <c r="CV44" s="13">
        <f t="shared" si="41"/>
        <v>29.93265383414057</v>
      </c>
      <c r="CW44" s="20">
        <f t="shared" si="13"/>
        <v>248.16968942779479</v>
      </c>
      <c r="CX44" s="59">
        <f t="shared" si="14"/>
        <v>541.50302276112814</v>
      </c>
      <c r="CY44" s="59">
        <f ca="1">AVERAGE(OFFSET($CX$3,0,0,'Données projet'!$E$13+1,1))-AVERAGE(OFFSET($H$3,0,0,'Données projet'!$E$13+1,1))</f>
        <v>282.08542131880455</v>
      </c>
      <c r="CZ44" s="59">
        <f t="shared" si="42"/>
        <v>174.27503468762325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13.329489552498645</v>
      </c>
      <c r="DH44" s="21">
        <f>EXP(-LN(2)/2)*DH43+(1-EXP(-LN(2)/2))/(LN(2)/2)*DB44*DE44*VLOOKUP('Données projet'!$B$13,Paramètres!$A$1:$I$89,3,0)*0.475*44/12</f>
        <v>12.950378165800755</v>
      </c>
      <c r="DI44" s="22">
        <f t="shared" si="15"/>
        <v>26.2798677182994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7.7</v>
      </c>
      <c r="DO44" s="12">
        <f>IF('Données projet'!$A$166&gt;35,DO43+DN44-DW43,IF(A44&lt;'Données projet'!$A$166,$DL$205^A44,IF(A44='Données projet'!$A$166,'Données projet'!$B$166,DO43+DN44-DW43)))</f>
        <v>171.69999999999985</v>
      </c>
      <c r="DP44" s="17">
        <f>DO44*VLOOKUP('Données projet'!$B$14,Paramètres!$A$1:$I$89,3,0)*VLOOKUP('Données projet'!$B$14,Paramètres!$A$1:$I$89,5,0)</f>
        <v>139.28303999999989</v>
      </c>
      <c r="DQ44" s="13">
        <f t="shared" si="43"/>
        <v>36.132710979898413</v>
      </c>
      <c r="DR44" s="20">
        <f t="shared" si="16"/>
        <v>305.51576628998953</v>
      </c>
      <c r="DS44" s="59">
        <f t="shared" si="17"/>
        <v>598.8490996233229</v>
      </c>
      <c r="DT44" s="59">
        <f ca="1">AVERAGE(OFFSET($DS$3,0,0,'Données projet'!$E$14+1,1))-AVERAGE(OFFSET($H$3,0,0,'Données projet'!$E$14+1,1))</f>
        <v>235.31102883830971</v>
      </c>
      <c r="DU44" s="59">
        <f t="shared" si="44"/>
        <v>271.48630853790422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18.387845291479639</v>
      </c>
      <c r="EC44" s="21">
        <f>EXP(-LN(2)/2)*EC43+(1-EXP(-LN(2)/2))/(LN(2)/2)*DW44*DZ44*VLOOKUP('Données projet'!$B$14,Paramètres!$A$1:$I$89,3,0)*0.475*44/12</f>
        <v>15.62749001959954</v>
      </c>
      <c r="ED44" s="22">
        <f t="shared" si="18"/>
        <v>34.015335311079177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432.60000000000008</v>
      </c>
      <c r="O45" s="13">
        <f>N45*VLOOKUP('Données projet'!$B$9,Paramètres!$A$1:$I$89,3,0)*VLOOKUP('Données projet'!$B$9,Paramètres!$A$1:$I$89,5,0)</f>
        <v>241.82340000000005</v>
      </c>
      <c r="P45" s="13">
        <f t="shared" si="33"/>
        <v>58.831670892221915</v>
      </c>
      <c r="Q45" s="20">
        <f t="shared" si="53"/>
        <v>523.64091513728647</v>
      </c>
      <c r="R45" s="59">
        <f t="shared" si="0"/>
        <v>816.97424847061984</v>
      </c>
      <c r="S45" s="59">
        <f ca="1">AVERAGE(OFFSET($R$3,0,0,'Données projet'!$E$9+1,1))-AVERAGE(OFFSET($H$3,0,0,'Données projet'!$E$9+1,1))</f>
        <v>446.28010102877403</v>
      </c>
      <c r="T45" s="59">
        <f t="shared" si="34"/>
        <v>445.84011537290456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9.004313368634957</v>
      </c>
      <c r="AA45" s="21">
        <f>EXP(-LN(2)/25)*AA44+(1-EXP(-LN(2)/25))/(LN(2)/25)*Calculateur!V45*Calculateur!X45*VLOOKUP('Données projet'!$B$9,Paramètres!$A$1:$I$89,3,0)*0.475*44/12</f>
        <v>27.78962976508986</v>
      </c>
      <c r="AB45" s="21">
        <f>EXP(-LN(2)/2)*AB44+(1-EXP(-LN(2)/2))/(LN(2)/2)*V45*Y45*VLOOKUP('Données projet'!$B$9,Paramètres!$A$1:$I$89,3,0)*0.475*44/12</f>
        <v>0.56987330242240775</v>
      </c>
      <c r="AC45" s="22">
        <f t="shared" si="3"/>
        <v>37.363816436147225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11.499999999999996</v>
      </c>
      <c r="AI45" s="13">
        <f>IF('Données projet'!$A$62&gt;35,AI44+AH45-AQ44,IF(A45&lt;'Données projet'!$A$62,$AF$205^A45,IF(A45='Données projet'!$A$62,'Données projet'!$B$62,AI44+AH45-AQ44)))</f>
        <v>231.1999999999999</v>
      </c>
      <c r="AJ45" s="13">
        <f>AI45*VLOOKUP('Données projet'!$B$10,Paramètres!$A$1:$I$89,3,0)*VLOOKUP('Données projet'!$B$10,Paramètres!$A$1:$I$89,5,0)</f>
        <v>108.20159999999994</v>
      </c>
      <c r="AK45" s="13">
        <f t="shared" si="35"/>
        <v>28.906861857161235</v>
      </c>
      <c r="AL45" s="20">
        <f t="shared" si="4"/>
        <v>238.79723773455569</v>
      </c>
      <c r="AM45" s="59">
        <f t="shared" si="5"/>
        <v>532.13057106788904</v>
      </c>
      <c r="AN45" s="59">
        <f ca="1">AVERAGE(OFFSET($AM$3,0,0,'Données projet'!$E$10+1,1))-AVERAGE(OFFSET($H$3,0,0,'Données projet'!$E$10+1,1))</f>
        <v>252.98248842635206</v>
      </c>
      <c r="AO45" s="59">
        <f t="shared" si="36"/>
        <v>207.11938580878308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2.4715494037097008</v>
      </c>
      <c r="AV45" s="21">
        <f>EXP(-LN(2)/25)*AV44+(1-EXP(-LN(2)/25))/(LN(2)/25)*Calculateur!AQ45*Calculateur!AS45*VLOOKUP('Données projet'!$B$10,Paramètres!$A$1:$I$89,3,0)*0.475*44/12</f>
        <v>5.6321921680049245</v>
      </c>
      <c r="AW45" s="21">
        <f>EXP(-LN(2)/2)*AW44+(1-EXP(-LN(2)/2))/(LN(2)/2)*AQ45*AT45*VLOOKUP('Données projet'!$B$10,Paramètres!$A$1:$I$89,3,0)*0.475*44/12</f>
        <v>0.15362775750462487</v>
      </c>
      <c r="AX45" s="21">
        <f t="shared" si="6"/>
        <v>8.2573693292192498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5.6</v>
      </c>
      <c r="BD45" s="12">
        <f>IF('Données projet'!$A$88&gt;35,BD44+BC45-BL44,IF(A45&lt;'Données projet'!$A$88,$BA$205^A45,IF(A45='Données projet'!$A$88,'Données projet'!$B$88,BD44+BC45-BL44)))</f>
        <v>90.2</v>
      </c>
      <c r="BE45" s="13">
        <f>BD45*VLOOKUP('Données projet'!$B$11,Paramètres!$A$1:$I$89,3,0)*VLOOKUP('Données projet'!$B$11,Paramètres!$A$1:$I$89,5,0)</f>
        <v>59.099040000000002</v>
      </c>
      <c r="BF45" s="13">
        <f t="shared" si="37"/>
        <v>16.940277861926546</v>
      </c>
      <c r="BG45" s="20">
        <f t="shared" si="7"/>
        <v>132.43514527618871</v>
      </c>
      <c r="BH45" s="59">
        <f t="shared" si="8"/>
        <v>425.76847860952205</v>
      </c>
      <c r="BI45" s="59">
        <f ca="1">AVERAGE(OFFSET($BH$3,0,0,'Données projet'!$E$11+1,1))-AVERAGE(OFFSET($H$3,0,0,'Données projet'!$E$11+1,1))</f>
        <v>114.23168847330004</v>
      </c>
      <c r="BJ45" s="59">
        <f t="shared" si="38"/>
        <v>42.34857998136755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5.6</v>
      </c>
      <c r="BY45" s="12">
        <f>IF('Données projet'!$A$114&gt;35,BY44+BX45-CG44,IF(A45&lt;'Données projet'!$A$114,$BV$205^A45,IF(A45='Données projet'!$A$114,'Données projet'!$B$114,BY44+BX45-CG44)))</f>
        <v>90.2</v>
      </c>
      <c r="BZ45" s="13">
        <f>BY45*VLOOKUP('Données projet'!$B$12,Paramètres!$A$1:$I$89,3,0)*VLOOKUP('Données projet'!$B$12,Paramètres!$A$1:$I$89,5,0)</f>
        <v>87.241439999999997</v>
      </c>
      <c r="CA45" s="13">
        <f t="shared" si="39"/>
        <v>23.898726182438701</v>
      </c>
      <c r="CB45" s="20">
        <f t="shared" si="10"/>
        <v>193.56912276774736</v>
      </c>
      <c r="CC45" s="59">
        <f t="shared" si="11"/>
        <v>486.9024561010807</v>
      </c>
      <c r="CD45" s="59">
        <f ca="1">AVERAGE(OFFSET($CC$3,0,0,'Données projet'!$E$12+1,1))-AVERAGE(OFFSET($H$3,0,0,'Données projet'!$E$12+1,1))</f>
        <v>201.36664523637006</v>
      </c>
      <c r="CE45" s="59">
        <f t="shared" si="40"/>
        <v>79.394119001888555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5.8488416630949276</v>
      </c>
      <c r="CM45" s="21">
        <f>EXP(-LN(2)/2)*CM44+(1-EXP(-LN(2)/2))/(LN(2)/2)*CG45*CJ45*VLOOKUP('Données projet'!$B$12,Paramètres!$A$1:$I$89,3,0)*0.475*44/12</f>
        <v>6.159909814692738</v>
      </c>
      <c r="CN45" s="22">
        <f t="shared" si="12"/>
        <v>12.008751477787666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8.4</v>
      </c>
      <c r="CT45" s="12">
        <f>IF('Données projet'!$A$140&gt;35,CT44+CS45-DB44,IF(A45&lt;'Données projet'!$A$140,$CQ$205^A45,IF(A45='Données projet'!$A$140,'Données projet'!$B$140,CT44+CS45-DB44)))</f>
        <v>132.79999999999998</v>
      </c>
      <c r="CU45" s="17">
        <f>CT45*VLOOKUP('Données projet'!$B$13,Paramètres!$A$1:$I$89,3,0)*VLOOKUP('Données projet'!$B$13,Paramètres!$A$1:$I$89,5,0)</f>
        <v>120.15743999999998</v>
      </c>
      <c r="CV45" s="13">
        <f t="shared" si="41"/>
        <v>31.711716786129816</v>
      </c>
      <c r="CW45" s="20">
        <f t="shared" si="13"/>
        <v>264.50544806917605</v>
      </c>
      <c r="CX45" s="59">
        <f t="shared" si="14"/>
        <v>557.83878140250931</v>
      </c>
      <c r="CY45" s="59">
        <f ca="1">AVERAGE(OFFSET($CX$3,0,0,'Données projet'!$E$13+1,1))-AVERAGE(OFFSET($H$3,0,0,'Données projet'!$E$13+1,1))</f>
        <v>282.08542131880455</v>
      </c>
      <c r="CZ45" s="59">
        <f t="shared" si="42"/>
        <v>174.27503468762325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12.964993959718178</v>
      </c>
      <c r="DH45" s="21">
        <f>EXP(-LN(2)/2)*DH44+(1-EXP(-LN(2)/2))/(LN(2)/2)*DB45*DE45*VLOOKUP('Données projet'!$B$13,Paramètres!$A$1:$I$89,3,0)*0.475*44/12</f>
        <v>9.157300219967917</v>
      </c>
      <c r="DI45" s="22">
        <f t="shared" si="15"/>
        <v>22.122294179686094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7.7</v>
      </c>
      <c r="DO45" s="12">
        <f>IF('Données projet'!$A$166&gt;35,DO44+DN45-DW44,IF(A45&lt;'Données projet'!$A$166,$DL$205^A45,IF(A45='Données projet'!$A$166,'Données projet'!$B$166,DO44+DN45-DW44)))</f>
        <v>179.39999999999984</v>
      </c>
      <c r="DP45" s="17">
        <f>DO45*VLOOKUP('Données projet'!$B$14,Paramètres!$A$1:$I$89,3,0)*VLOOKUP('Données projet'!$B$14,Paramètres!$A$1:$I$89,5,0)</f>
        <v>145.52927999999986</v>
      </c>
      <c r="DQ45" s="13">
        <f t="shared" si="43"/>
        <v>37.560816225769642</v>
      </c>
      <c r="DR45" s="20">
        <f t="shared" si="16"/>
        <v>318.88191759321518</v>
      </c>
      <c r="DS45" s="59">
        <f t="shared" si="17"/>
        <v>612.21525092654849</v>
      </c>
      <c r="DT45" s="59">
        <f ca="1">AVERAGE(OFFSET($DS$3,0,0,'Données projet'!$E$14+1,1))-AVERAGE(OFFSET($H$3,0,0,'Données projet'!$E$14+1,1))</f>
        <v>235.31102883830971</v>
      </c>
      <c r="DU45" s="59">
        <f t="shared" si="44"/>
        <v>271.48630853790422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17.885028695009371</v>
      </c>
      <c r="EC45" s="21">
        <f>EXP(-LN(2)/2)*EC44+(1-EXP(-LN(2)/2))/(LN(2)/2)*DW45*DZ45*VLOOKUP('Données projet'!$B$14,Paramètres!$A$1:$I$89,3,0)*0.475*44/12</f>
        <v>11.050304165783928</v>
      </c>
      <c r="ED45" s="22">
        <f t="shared" si="18"/>
        <v>28.935332860793299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455.40000000000009</v>
      </c>
      <c r="O46" s="13">
        <f>N46*VLOOKUP('Données projet'!$B$9,Paramètres!$A$1:$I$89,3,0)*VLOOKUP('Données projet'!$B$9,Paramètres!$A$1:$I$89,5,0)</f>
        <v>254.56860000000006</v>
      </c>
      <c r="P46" s="13">
        <f t="shared" si="33"/>
        <v>61.563204302796244</v>
      </c>
      <c r="Q46" s="20">
        <f t="shared" si="53"/>
        <v>550.59622582737018</v>
      </c>
      <c r="R46" s="59">
        <f t="shared" si="0"/>
        <v>843.92955916070355</v>
      </c>
      <c r="S46" s="59">
        <f ca="1">AVERAGE(OFFSET($R$3,0,0,'Données projet'!$E$9+1,1))-AVERAGE(OFFSET($H$3,0,0,'Données projet'!$E$9+1,1))</f>
        <v>446.28010102877403</v>
      </c>
      <c r="T46" s="59">
        <f t="shared" si="34"/>
        <v>445.84011537290456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8.8277442755648821</v>
      </c>
      <c r="AA46" s="21">
        <f>EXP(-LN(2)/25)*AA45+(1-EXP(-LN(2)/25))/(LN(2)/25)*Calculateur!V46*Calculateur!X46*VLOOKUP('Données projet'!$B$9,Paramètres!$A$1:$I$89,3,0)*0.475*44/12</f>
        <v>27.029720877770362</v>
      </c>
      <c r="AB46" s="21">
        <f>EXP(-LN(2)/2)*AB45+(1-EXP(-LN(2)/2))/(LN(2)/2)*V46*Y46*VLOOKUP('Données projet'!$B$9,Paramètres!$A$1:$I$89,3,0)*0.475*44/12</f>
        <v>0.4029612765600567</v>
      </c>
      <c r="AC46" s="22">
        <f t="shared" si="3"/>
        <v>36.260426429895297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11.499999999999996</v>
      </c>
      <c r="AI46" s="13">
        <f>IF('Données projet'!$A$62&gt;35,AI45+AH46-AQ45,IF(A46&lt;'Données projet'!$A$62,$AF$205^A46,IF(A46='Données projet'!$A$62,'Données projet'!$B$62,AI45+AH46-AQ45)))</f>
        <v>242.6999999999999</v>
      </c>
      <c r="AJ46" s="13">
        <f>AI46*VLOOKUP('Données projet'!$B$10,Paramètres!$A$1:$I$89,3,0)*VLOOKUP('Données projet'!$B$10,Paramètres!$A$1:$I$89,5,0)</f>
        <v>113.58359999999995</v>
      </c>
      <c r="AK46" s="13">
        <f t="shared" si="35"/>
        <v>30.17372688298952</v>
      </c>
      <c r="AL46" s="20">
        <f t="shared" si="4"/>
        <v>250.37734432120666</v>
      </c>
      <c r="AM46" s="59">
        <f t="shared" si="5"/>
        <v>543.71067765453995</v>
      </c>
      <c r="AN46" s="59">
        <f ca="1">AVERAGE(OFFSET($AM$3,0,0,'Données projet'!$E$10+1,1))-AVERAGE(OFFSET($H$3,0,0,'Données projet'!$E$10+1,1))</f>
        <v>252.98248842635206</v>
      </c>
      <c r="AO46" s="59">
        <f t="shared" si="36"/>
        <v>207.11938580878308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2.4230838273992368</v>
      </c>
      <c r="AV46" s="21">
        <f>EXP(-LN(2)/25)*AV45+(1-EXP(-LN(2)/25))/(LN(2)/25)*Calculateur!AQ46*Calculateur!AS46*VLOOKUP('Données projet'!$B$10,Paramètres!$A$1:$I$89,3,0)*0.475*44/12</f>
        <v>5.4781795769867161</v>
      </c>
      <c r="AW46" s="21">
        <f>EXP(-LN(2)/2)*AW45+(1-EXP(-LN(2)/2))/(LN(2)/2)*AQ46*AT46*VLOOKUP('Données projet'!$B$10,Paramètres!$A$1:$I$89,3,0)*0.475*44/12</f>
        <v>0.10863122911000277</v>
      </c>
      <c r="AX46" s="21">
        <f t="shared" si="6"/>
        <v>8.0098946334959553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5.6</v>
      </c>
      <c r="BD46" s="12">
        <f>IF('Données projet'!$A$88&gt;35,BD45+BC46-BL45,IF(A46&lt;'Données projet'!$A$88,$BA$205^A46,IF(A46='Données projet'!$A$88,'Données projet'!$B$88,BD45+BC46-BL45)))</f>
        <v>95.8</v>
      </c>
      <c r="BE46" s="13">
        <f>BD46*VLOOKUP('Données projet'!$B$11,Paramètres!$A$1:$I$89,3,0)*VLOOKUP('Données projet'!$B$11,Paramètres!$A$1:$I$89,5,0)</f>
        <v>62.768159999999995</v>
      </c>
      <c r="BF46" s="13">
        <f t="shared" si="37"/>
        <v>17.866298958005867</v>
      </c>
      <c r="BG46" s="20">
        <f t="shared" si="7"/>
        <v>140.43834935186021</v>
      </c>
      <c r="BH46" s="59">
        <f t="shared" si="8"/>
        <v>433.77168268519353</v>
      </c>
      <c r="BI46" s="59">
        <f ca="1">AVERAGE(OFFSET($BH$3,0,0,'Données projet'!$E$11+1,1))-AVERAGE(OFFSET($H$3,0,0,'Données projet'!$E$11+1,1))</f>
        <v>114.23168847330004</v>
      </c>
      <c r="BJ46" s="59">
        <f t="shared" si="38"/>
        <v>42.34857998136755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5.6</v>
      </c>
      <c r="BY46" s="12">
        <f>IF('Données projet'!$A$114&gt;35,BY45+BX46-CG45,IF(A46&lt;'Données projet'!$A$114,$BV$205^A46,IF(A46='Données projet'!$A$114,'Données projet'!$B$114,BY45+BX46-CG45)))</f>
        <v>95.8</v>
      </c>
      <c r="BZ46" s="13">
        <f>BY46*VLOOKUP('Données projet'!$B$12,Paramètres!$A$1:$I$89,3,0)*VLOOKUP('Données projet'!$B$12,Paramètres!$A$1:$I$89,5,0)</f>
        <v>92.65776000000001</v>
      </c>
      <c r="CA46" s="13">
        <f t="shared" si="39"/>
        <v>25.205122972074609</v>
      </c>
      <c r="CB46" s="20">
        <f t="shared" si="10"/>
        <v>205.2778545096966</v>
      </c>
      <c r="CC46" s="59">
        <f t="shared" si="11"/>
        <v>498.61118784302994</v>
      </c>
      <c r="CD46" s="59">
        <f ca="1">AVERAGE(OFFSET($CC$3,0,0,'Données projet'!$E$12+1,1))-AVERAGE(OFFSET($H$3,0,0,'Données projet'!$E$12+1,1))</f>
        <v>201.36664523637006</v>
      </c>
      <c r="CE46" s="59">
        <f t="shared" si="40"/>
        <v>79.394119001888555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5.6889047802403816</v>
      </c>
      <c r="CM46" s="21">
        <f>EXP(-LN(2)/2)*CM45+(1-EXP(-LN(2)/2))/(LN(2)/2)*CG46*CJ46*VLOOKUP('Données projet'!$B$12,Paramètres!$A$1:$I$89,3,0)*0.475*44/12</f>
        <v>4.3557140014668043</v>
      </c>
      <c r="CN46" s="22">
        <f t="shared" si="12"/>
        <v>10.044618781707186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8.4</v>
      </c>
      <c r="CT46" s="12">
        <f>IF('Données projet'!$A$140&gt;35,CT45+CS46-DB45,IF(A46&lt;'Données projet'!$A$140,$CQ$205^A46,IF(A46='Données projet'!$A$140,'Données projet'!$B$140,CT45+CS46-DB45)))</f>
        <v>141.19999999999999</v>
      </c>
      <c r="CU46" s="17">
        <f>CT46*VLOOKUP('Données projet'!$B$13,Paramètres!$A$1:$I$89,3,0)*VLOOKUP('Données projet'!$B$13,Paramètres!$A$1:$I$89,5,0)</f>
        <v>127.75775999999999</v>
      </c>
      <c r="CV46" s="13">
        <f t="shared" si="41"/>
        <v>33.477720030956604</v>
      </c>
      <c r="CW46" s="20">
        <f t="shared" si="13"/>
        <v>280.81846105391605</v>
      </c>
      <c r="CX46" s="59">
        <f t="shared" si="14"/>
        <v>574.15179438724931</v>
      </c>
      <c r="CY46" s="59">
        <f ca="1">AVERAGE(OFFSET($CX$3,0,0,'Données projet'!$E$13+1,1))-AVERAGE(OFFSET($H$3,0,0,'Données projet'!$E$13+1,1))</f>
        <v>282.08542131880455</v>
      </c>
      <c r="CZ46" s="59">
        <f t="shared" si="42"/>
        <v>174.27503468762325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12.610465518090285</v>
      </c>
      <c r="DH46" s="21">
        <f>EXP(-LN(2)/2)*DH45+(1-EXP(-LN(2)/2))/(LN(2)/2)*DB46*DE46*VLOOKUP('Données projet'!$B$13,Paramètres!$A$1:$I$89,3,0)*0.475*44/12</f>
        <v>6.4751890829003775</v>
      </c>
      <c r="DI46" s="22">
        <f t="shared" si="15"/>
        <v>19.085654600990662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7.7</v>
      </c>
      <c r="DO46" s="12">
        <f>IF('Données projet'!$A$166&gt;35,DO45+DN46-DW45,IF(A46&lt;'Données projet'!$A$166,$DL$205^A46,IF(A46='Données projet'!$A$166,'Données projet'!$B$166,DO45+DN46-DW45)))</f>
        <v>187.09999999999982</v>
      </c>
      <c r="DP46" s="17">
        <f>DO46*VLOOKUP('Données projet'!$B$14,Paramètres!$A$1:$I$89,3,0)*VLOOKUP('Données projet'!$B$14,Paramètres!$A$1:$I$89,5,0)</f>
        <v>151.77551999999989</v>
      </c>
      <c r="DQ46" s="13">
        <f t="shared" si="43"/>
        <v>38.98180216162384</v>
      </c>
      <c r="DR46" s="20">
        <f t="shared" si="16"/>
        <v>332.23566943149461</v>
      </c>
      <c r="DS46" s="59">
        <f t="shared" si="17"/>
        <v>625.56900276482793</v>
      </c>
      <c r="DT46" s="59">
        <f ca="1">AVERAGE(OFFSET($DS$3,0,0,'Données projet'!$E$14+1,1))-AVERAGE(OFFSET($H$3,0,0,'Données projet'!$E$14+1,1))</f>
        <v>235.31102883830971</v>
      </c>
      <c r="DU46" s="59">
        <f t="shared" si="44"/>
        <v>271.48630853790422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17.395961644811557</v>
      </c>
      <c r="EC46" s="21">
        <f>EXP(-LN(2)/2)*EC45+(1-EXP(-LN(2)/2))/(LN(2)/2)*DW46*DZ46*VLOOKUP('Données projet'!$B$14,Paramètres!$A$1:$I$89,3,0)*0.475*44/12</f>
        <v>7.8137450097997707</v>
      </c>
      <c r="ED46" s="22">
        <f t="shared" si="18"/>
        <v>25.209706654611328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478.2000000000001</v>
      </c>
      <c r="O47" s="13">
        <f>N47*VLOOKUP('Données projet'!$B$9,Paramètres!$A$1:$I$89,3,0)*VLOOKUP('Données projet'!$B$9,Paramètres!$A$1:$I$89,5,0)</f>
        <v>267.31380000000007</v>
      </c>
      <c r="P47" s="13">
        <f t="shared" si="33"/>
        <v>64.278858533693665</v>
      </c>
      <c r="Q47" s="20">
        <f t="shared" si="53"/>
        <v>577.52388027951656</v>
      </c>
      <c r="R47" s="59">
        <f t="shared" si="0"/>
        <v>870.85721361284982</v>
      </c>
      <c r="S47" s="59">
        <f ca="1">AVERAGE(OFFSET($R$3,0,0,'Données projet'!$E$9+1,1))-AVERAGE(OFFSET($H$3,0,0,'Données projet'!$E$9+1,1))</f>
        <v>446.28010102877403</v>
      </c>
      <c r="T47" s="59">
        <f t="shared" si="34"/>
        <v>445.84011537290456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8.6546375947133978</v>
      </c>
      <c r="AA47" s="21">
        <f>EXP(-LN(2)/25)*AA46+(1-EXP(-LN(2)/25))/(LN(2)/25)*Calculateur!V47*Calculateur!X47*VLOOKUP('Données projet'!$B$9,Paramètres!$A$1:$I$89,3,0)*0.475*44/12</f>
        <v>26.290591738936488</v>
      </c>
      <c r="AB47" s="21">
        <f>EXP(-LN(2)/2)*AB46+(1-EXP(-LN(2)/2))/(LN(2)/2)*V47*Y47*VLOOKUP('Données projet'!$B$9,Paramètres!$A$1:$I$89,3,0)*0.475*44/12</f>
        <v>0.28493665121120387</v>
      </c>
      <c r="AC47" s="22">
        <f t="shared" si="3"/>
        <v>35.230165984861088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11.499999999999996</v>
      </c>
      <c r="AI47" s="13">
        <f>IF('Données projet'!$A$62&gt;35,AI46+AH47-AQ46,IF(A47&lt;'Données projet'!$A$62,$AF$205^A47,IF(A47='Données projet'!$A$62,'Données projet'!$B$62,AI46+AH47-AQ46)))</f>
        <v>254.1999999999999</v>
      </c>
      <c r="AJ47" s="13">
        <f>AI47*VLOOKUP('Données projet'!$B$10,Paramètres!$A$1:$I$89,3,0)*VLOOKUP('Données projet'!$B$10,Paramètres!$A$1:$I$89,5,0)</f>
        <v>118.96559999999995</v>
      </c>
      <c r="AK47" s="13">
        <f t="shared" si="35"/>
        <v>31.433621056182272</v>
      </c>
      <c r="AL47" s="20">
        <f t="shared" si="4"/>
        <v>261.945310006184</v>
      </c>
      <c r="AM47" s="59">
        <f t="shared" si="5"/>
        <v>555.27864333951732</v>
      </c>
      <c r="AN47" s="59">
        <f ca="1">AVERAGE(OFFSET($AM$3,0,0,'Données projet'!$E$10+1,1))-AVERAGE(OFFSET($H$3,0,0,'Données projet'!$E$10+1,1))</f>
        <v>252.98248842635206</v>
      </c>
      <c r="AO47" s="59">
        <f t="shared" si="36"/>
        <v>207.11938580878308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2.3755686314791387</v>
      </c>
      <c r="AV47" s="21">
        <f>EXP(-LN(2)/25)*AV46+(1-EXP(-LN(2)/25))/(LN(2)/25)*Calculateur!AQ47*Calculateur!AS47*VLOOKUP('Données projet'!$B$10,Paramètres!$A$1:$I$89,3,0)*0.475*44/12</f>
        <v>5.3283784683690714</v>
      </c>
      <c r="AW47" s="21">
        <f>EXP(-LN(2)/2)*AW46+(1-EXP(-LN(2)/2))/(LN(2)/2)*AQ47*AT47*VLOOKUP('Données projet'!$B$10,Paramètres!$A$1:$I$89,3,0)*0.475*44/12</f>
        <v>7.6813878752312437E-2</v>
      </c>
      <c r="AX47" s="21">
        <f t="shared" si="6"/>
        <v>7.7807609786005223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5.6</v>
      </c>
      <c r="BD47" s="12">
        <f>IF('Données projet'!$A$88&gt;35,BD46+BC47-BL46,IF(A47&lt;'Données projet'!$A$88,$BA$205^A47,IF(A47='Données projet'!$A$88,'Données projet'!$B$88,BD46+BC47-BL46)))</f>
        <v>101.39999999999999</v>
      </c>
      <c r="BE47" s="13">
        <f>BD47*VLOOKUP('Données projet'!$B$11,Paramètres!$A$1:$I$89,3,0)*VLOOKUP('Données projet'!$B$11,Paramètres!$A$1:$I$89,5,0)</f>
        <v>66.437279999999987</v>
      </c>
      <c r="BF47" s="13">
        <f t="shared" si="37"/>
        <v>18.786036854726458</v>
      </c>
      <c r="BG47" s="20">
        <f t="shared" si="7"/>
        <v>148.43061018864856</v>
      </c>
      <c r="BH47" s="59">
        <f t="shared" si="8"/>
        <v>441.7639435219819</v>
      </c>
      <c r="BI47" s="59">
        <f ca="1">AVERAGE(OFFSET($BH$3,0,0,'Données projet'!$E$11+1,1))-AVERAGE(OFFSET($H$3,0,0,'Données projet'!$E$11+1,1))</f>
        <v>114.23168847330004</v>
      </c>
      <c r="BJ47" s="59">
        <f t="shared" si="38"/>
        <v>42.34857998136755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5.6</v>
      </c>
      <c r="BY47" s="12">
        <f>IF('Données projet'!$A$114&gt;35,BY46+BX47-CG46,IF(A47&lt;'Données projet'!$A$114,$BV$205^A47,IF(A47='Données projet'!$A$114,'Données projet'!$B$114,BY46+BX47-CG46)))</f>
        <v>101.39999999999999</v>
      </c>
      <c r="BZ47" s="13">
        <f>BY47*VLOOKUP('Données projet'!$B$12,Paramètres!$A$1:$I$89,3,0)*VLOOKUP('Données projet'!$B$12,Paramètres!$A$1:$I$89,5,0)</f>
        <v>98.074079999999995</v>
      </c>
      <c r="CA47" s="13">
        <f t="shared" si="39"/>
        <v>26.502655653208453</v>
      </c>
      <c r="CB47" s="20">
        <f t="shared" si="10"/>
        <v>216.97114792933803</v>
      </c>
      <c r="CC47" s="59">
        <f t="shared" si="11"/>
        <v>510.30448126267135</v>
      </c>
      <c r="CD47" s="59">
        <f ca="1">AVERAGE(OFFSET($CC$3,0,0,'Données projet'!$E$12+1,1))-AVERAGE(OFFSET($H$3,0,0,'Données projet'!$E$12+1,1))</f>
        <v>201.36664523637006</v>
      </c>
      <c r="CE47" s="59">
        <f t="shared" si="40"/>
        <v>79.394119001888555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5.5333413798582081</v>
      </c>
      <c r="CM47" s="21">
        <f>EXP(-LN(2)/2)*CM46+(1-EXP(-LN(2)/2))/(LN(2)/2)*CG47*CJ47*VLOOKUP('Données projet'!$B$12,Paramètres!$A$1:$I$89,3,0)*0.475*44/12</f>
        <v>3.079954907346369</v>
      </c>
      <c r="CN47" s="22">
        <f t="shared" si="12"/>
        <v>8.6132962872045766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8.4</v>
      </c>
      <c r="CT47" s="12">
        <f>IF('Données projet'!$A$140&gt;35,CT46+CS47-DB46,IF(A47&lt;'Données projet'!$A$140,$CQ$205^A47,IF(A47='Données projet'!$A$140,'Données projet'!$B$140,CT46+CS47-DB46)))</f>
        <v>149.6</v>
      </c>
      <c r="CU47" s="17">
        <f>CT47*VLOOKUP('Données projet'!$B$13,Paramètres!$A$1:$I$89,3,0)*VLOOKUP('Données projet'!$B$13,Paramètres!$A$1:$I$89,5,0)</f>
        <v>135.35807999999997</v>
      </c>
      <c r="CV47" s="13">
        <f t="shared" si="41"/>
        <v>35.231528980112834</v>
      </c>
      <c r="CW47" s="20">
        <f t="shared" si="13"/>
        <v>297.1102356403631</v>
      </c>
      <c r="CX47" s="59">
        <f t="shared" si="14"/>
        <v>590.44356897369642</v>
      </c>
      <c r="CY47" s="59">
        <f ca="1">AVERAGE(OFFSET($CX$3,0,0,'Données projet'!$E$13+1,1))-AVERAGE(OFFSET($H$3,0,0,'Données projet'!$E$13+1,1))</f>
        <v>282.08542131880455</v>
      </c>
      <c r="CZ47" s="59">
        <f t="shared" si="42"/>
        <v>174.27503468762325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12.265631675342545</v>
      </c>
      <c r="DH47" s="21">
        <f>EXP(-LN(2)/2)*DH46+(1-EXP(-LN(2)/2))/(LN(2)/2)*DB47*DE47*VLOOKUP('Données projet'!$B$13,Paramètres!$A$1:$I$89,3,0)*0.475*44/12</f>
        <v>4.5786501099839585</v>
      </c>
      <c r="DI47" s="22">
        <f t="shared" si="15"/>
        <v>16.844281785326505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7.7</v>
      </c>
      <c r="DO47" s="12">
        <f>IF('Données projet'!$A$166&gt;35,DO46+DN47-DW46,IF(A47&lt;'Données projet'!$A$166,$DL$205^A47,IF(A47='Données projet'!$A$166,'Données projet'!$B$166,DO46+DN47-DW46)))</f>
        <v>194.79999999999981</v>
      </c>
      <c r="DP47" s="17">
        <f>DO47*VLOOKUP('Données projet'!$B$14,Paramètres!$A$1:$I$89,3,0)*VLOOKUP('Données projet'!$B$14,Paramètres!$A$1:$I$89,5,0)</f>
        <v>158.02175999999986</v>
      </c>
      <c r="DQ47" s="13">
        <f t="shared" si="43"/>
        <v>40.395995288758058</v>
      </c>
      <c r="DR47" s="20">
        <f t="shared" si="16"/>
        <v>345.57759046125335</v>
      </c>
      <c r="DS47" s="59">
        <f t="shared" si="17"/>
        <v>638.91092379458667</v>
      </c>
      <c r="DT47" s="59">
        <f ca="1">AVERAGE(OFFSET($DS$3,0,0,'Données projet'!$E$14+1,1))-AVERAGE(OFFSET($H$3,0,0,'Données projet'!$E$14+1,1))</f>
        <v>235.31102883830971</v>
      </c>
      <c r="DU47" s="59">
        <f t="shared" si="44"/>
        <v>271.48630853790422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16.920268158820321</v>
      </c>
      <c r="EC47" s="21">
        <f>EXP(-LN(2)/2)*EC46+(1-EXP(-LN(2)/2))/(LN(2)/2)*DW47*DZ47*VLOOKUP('Données projet'!$B$14,Paramètres!$A$1:$I$89,3,0)*0.475*44/12</f>
        <v>5.5251520828919647</v>
      </c>
      <c r="ED47" s="22">
        <f t="shared" si="18"/>
        <v>22.445420241712284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501.00000000000011</v>
      </c>
      <c r="O48" s="13">
        <f>N48*VLOOKUP('Données projet'!$B$9,Paramètres!$A$1:$I$89,3,0)*VLOOKUP('Données projet'!$B$9,Paramètres!$A$1:$I$89,5,0)</f>
        <v>280.05900000000008</v>
      </c>
      <c r="P48" s="13">
        <f t="shared" si="33"/>
        <v>66.979477124262175</v>
      </c>
      <c r="Q48" s="20">
        <f t="shared" si="53"/>
        <v>604.42534765809012</v>
      </c>
      <c r="R48" s="59">
        <f t="shared" si="0"/>
        <v>897.75868099142349</v>
      </c>
      <c r="S48" s="59">
        <f ca="1">AVERAGE(OFFSET($R$3,0,0,'Données projet'!$E$9+1,1))-AVERAGE(OFFSET($H$3,0,0,'Données projet'!$E$9+1,1))</f>
        <v>446.28010102877403</v>
      </c>
      <c r="T48" s="59">
        <f t="shared" si="34"/>
        <v>445.84011537290456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8.4849254302887616</v>
      </c>
      <c r="AA48" s="21">
        <f>EXP(-LN(2)/25)*AA47+(1-EXP(-LN(2)/25))/(LN(2)/25)*Calculateur!V48*Calculateur!X48*VLOOKUP('Données projet'!$B$9,Paramètres!$A$1:$I$89,3,0)*0.475*44/12</f>
        <v>25.571674125273137</v>
      </c>
      <c r="AB48" s="21">
        <f>EXP(-LN(2)/2)*AB47+(1-EXP(-LN(2)/2))/(LN(2)/2)*V48*Y48*VLOOKUP('Données projet'!$B$9,Paramètres!$A$1:$I$89,3,0)*0.475*44/12</f>
        <v>0.20148063828002835</v>
      </c>
      <c r="AC48" s="22">
        <f t="shared" si="3"/>
        <v>34.258080193841934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11.499999999999996</v>
      </c>
      <c r="AI48" s="13">
        <f>IF('Données projet'!$A$62&gt;35,AI47+AH48-AQ47,IF(A48&lt;'Données projet'!$A$62,$AF$205^A48,IF(A48='Données projet'!$A$62,'Données projet'!$B$62,AI47+AH48-AQ47)))</f>
        <v>265.69999999999987</v>
      </c>
      <c r="AJ48" s="13">
        <f>AI48*VLOOKUP('Données projet'!$B$10,Paramètres!$A$1:$I$89,3,0)*VLOOKUP('Données projet'!$B$10,Paramètres!$A$1:$I$89,5,0)</f>
        <v>124.34759999999994</v>
      </c>
      <c r="AK48" s="13">
        <f t="shared" si="35"/>
        <v>32.68689576547478</v>
      </c>
      <c r="AL48" s="20">
        <f t="shared" si="4"/>
        <v>273.50174679153514</v>
      </c>
      <c r="AM48" s="59">
        <f t="shared" si="5"/>
        <v>566.83508012486845</v>
      </c>
      <c r="AN48" s="59">
        <f ca="1">AVERAGE(OFFSET($AM$3,0,0,'Données projet'!$E$10+1,1))-AVERAGE(OFFSET($H$3,0,0,'Données projet'!$E$10+1,1))</f>
        <v>252.98248842635206</v>
      </c>
      <c r="AO48" s="59">
        <f t="shared" si="36"/>
        <v>207.11938580878308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2.3289851795696257</v>
      </c>
      <c r="AV48" s="21">
        <f>EXP(-LN(2)/25)*AV47+(1-EXP(-LN(2)/25))/(LN(2)/25)*Calculateur!AQ48*Calculateur!AS48*VLOOKUP('Données projet'!$B$10,Paramètres!$A$1:$I$89,3,0)*0.475*44/12</f>
        <v>5.1826736789442736</v>
      </c>
      <c r="AW48" s="21">
        <f>EXP(-LN(2)/2)*AW47+(1-EXP(-LN(2)/2))/(LN(2)/2)*AQ48*AT48*VLOOKUP('Données projet'!$B$10,Paramètres!$A$1:$I$89,3,0)*0.475*44/12</f>
        <v>5.4315614555001383E-2</v>
      </c>
      <c r="AX48" s="21">
        <f t="shared" si="6"/>
        <v>7.5659744730689003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5.6</v>
      </c>
      <c r="BD48" s="12">
        <f>IF('Données projet'!$A$88&gt;35,BD47+BC48-BL47,IF(A48&lt;'Données projet'!$A$88,$BA$205^A48,IF(A48='Données projet'!$A$88,'Données projet'!$B$88,BD47+BC48-BL47)))</f>
        <v>106.99999999999999</v>
      </c>
      <c r="BE48" s="13">
        <f>BD48*VLOOKUP('Données projet'!$B$11,Paramètres!$A$1:$I$89,3,0)*VLOOKUP('Données projet'!$B$11,Paramètres!$A$1:$I$89,5,0)</f>
        <v>70.106399999999994</v>
      </c>
      <c r="BF48" s="13">
        <f t="shared" si="37"/>
        <v>19.699878105234674</v>
      </c>
      <c r="BG48" s="20">
        <f t="shared" si="7"/>
        <v>156.41260103328369</v>
      </c>
      <c r="BH48" s="59">
        <f t="shared" si="8"/>
        <v>449.74593436661701</v>
      </c>
      <c r="BI48" s="59">
        <f ca="1">AVERAGE(OFFSET($BH$3,0,0,'Données projet'!$E$11+1,1))-AVERAGE(OFFSET($H$3,0,0,'Données projet'!$E$11+1,1))</f>
        <v>114.23168847330004</v>
      </c>
      <c r="BJ48" s="59">
        <f t="shared" si="38"/>
        <v>42.34857998136755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5.6</v>
      </c>
      <c r="BY48" s="12">
        <f>IF('Données projet'!$A$114&gt;35,BY47+BX48-CG47,IF(A48&lt;'Données projet'!$A$114,$BV$205^A48,IF(A48='Données projet'!$A$114,'Données projet'!$B$114,BY47+BX48-CG47)))</f>
        <v>106.99999999999999</v>
      </c>
      <c r="BZ48" s="13">
        <f>BY48*VLOOKUP('Données projet'!$B$12,Paramètres!$A$1:$I$89,3,0)*VLOOKUP('Données projet'!$B$12,Paramètres!$A$1:$I$89,5,0)</f>
        <v>103.49039999999998</v>
      </c>
      <c r="CA48" s="13">
        <f t="shared" si="39"/>
        <v>27.791869560921153</v>
      </c>
      <c r="CB48" s="20">
        <f t="shared" si="10"/>
        <v>228.64995281860425</v>
      </c>
      <c r="CC48" s="59">
        <f t="shared" si="11"/>
        <v>521.98328615193759</v>
      </c>
      <c r="CD48" s="59">
        <f ca="1">AVERAGE(OFFSET($CC$3,0,0,'Données projet'!$E$12+1,1))-AVERAGE(OFFSET($H$3,0,0,'Données projet'!$E$12+1,1))</f>
        <v>201.36664523637006</v>
      </c>
      <c r="CE48" s="59">
        <f t="shared" si="40"/>
        <v>79.394119001888555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5.3820318688402091</v>
      </c>
      <c r="CM48" s="21">
        <f>EXP(-LN(2)/2)*CM47+(1-EXP(-LN(2)/2))/(LN(2)/2)*CG48*CJ48*VLOOKUP('Données projet'!$B$12,Paramètres!$A$1:$I$89,3,0)*0.475*44/12</f>
        <v>2.1778570007334022</v>
      </c>
      <c r="CN48" s="22">
        <f t="shared" si="12"/>
        <v>7.5598888695736113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8.4</v>
      </c>
      <c r="CT48" s="12">
        <f>IF('Données projet'!$A$140&gt;35,CT47+CS48-DB47,IF(A48&lt;'Données projet'!$A$140,$CQ$205^A48,IF(A48='Données projet'!$A$140,'Données projet'!$B$140,CT47+CS48-DB47)))</f>
        <v>158</v>
      </c>
      <c r="CU48" s="17">
        <f>CT48*VLOOKUP('Données projet'!$B$13,Paramètres!$A$1:$I$89,3,0)*VLOOKUP('Données projet'!$B$13,Paramètres!$A$1:$I$89,5,0)</f>
        <v>142.95840000000001</v>
      </c>
      <c r="CV48" s="13">
        <f t="shared" si="41"/>
        <v>36.973906370811264</v>
      </c>
      <c r="CW48" s="20">
        <f t="shared" si="13"/>
        <v>313.38210026249629</v>
      </c>
      <c r="CX48" s="59">
        <f t="shared" si="14"/>
        <v>606.71543359582961</v>
      </c>
      <c r="CY48" s="59">
        <f ca="1">AVERAGE(OFFSET($CX$3,0,0,'Données projet'!$E$13+1,1))-AVERAGE(OFFSET($H$3,0,0,'Données projet'!$E$13+1,1))</f>
        <v>282.08542131880455</v>
      </c>
      <c r="CZ48" s="59">
        <f t="shared" si="42"/>
        <v>174.27503468762325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11.930227332158767</v>
      </c>
      <c r="DH48" s="21">
        <f>EXP(-LN(2)/2)*DH47+(1-EXP(-LN(2)/2))/(LN(2)/2)*DB48*DE48*VLOOKUP('Données projet'!$B$13,Paramètres!$A$1:$I$89,3,0)*0.475*44/12</f>
        <v>3.2375945414501888</v>
      </c>
      <c r="DI48" s="22">
        <f t="shared" si="15"/>
        <v>15.167821873608956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7.7</v>
      </c>
      <c r="DO48" s="12">
        <f>IF('Données projet'!$A$166&gt;35,DO47+DN48-DW47,IF(A48&lt;'Données projet'!$A$166,$DL$205^A48,IF(A48='Données projet'!$A$166,'Données projet'!$B$166,DO47+DN48-DW47)))</f>
        <v>202.4999999999998</v>
      </c>
      <c r="DP48" s="17">
        <f>DO48*VLOOKUP('Données projet'!$B$14,Paramètres!$A$1:$I$89,3,0)*VLOOKUP('Données projet'!$B$14,Paramètres!$A$1:$I$89,5,0)</f>
        <v>164.26799999999986</v>
      </c>
      <c r="DQ48" s="13">
        <f t="shared" si="43"/>
        <v>41.803694835525619</v>
      </c>
      <c r="DR48" s="20">
        <f t="shared" si="16"/>
        <v>358.90820183854021</v>
      </c>
      <c r="DS48" s="59">
        <f t="shared" si="17"/>
        <v>652.24153517187347</v>
      </c>
      <c r="DT48" s="59">
        <f ca="1">AVERAGE(OFFSET($DS$3,0,0,'Données projet'!$E$14+1,1))-AVERAGE(OFFSET($H$3,0,0,'Données projet'!$E$14+1,1))</f>
        <v>235.31102883830971</v>
      </c>
      <c r="DU48" s="59">
        <f t="shared" si="44"/>
        <v>271.48630853790422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16.457582536219149</v>
      </c>
      <c r="EC48" s="21">
        <f>EXP(-LN(2)/2)*EC47+(1-EXP(-LN(2)/2))/(LN(2)/2)*DW48*DZ48*VLOOKUP('Données projet'!$B$14,Paramètres!$A$1:$I$89,3,0)*0.475*44/12</f>
        <v>3.9068725048998862</v>
      </c>
      <c r="ED48" s="22">
        <f t="shared" si="18"/>
        <v>20.364455041119037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22.8</v>
      </c>
      <c r="N49" s="13">
        <f>IF('Données projet'!$A$36&gt;35,N48+M49-V48,IF(A49&lt;'Données projet'!$A$36,$K$205^A49,IF(A49='Données projet'!$A$36,'Données projet'!$B$36,N48+M49-V48)))</f>
        <v>523.80000000000007</v>
      </c>
      <c r="O49" s="13">
        <f>N49*VLOOKUP('Données projet'!$B$9,Paramètres!$A$1:$I$89,3,0)*VLOOKUP('Données projet'!$B$9,Paramètres!$A$1:$I$89,5,0)</f>
        <v>292.80420000000004</v>
      </c>
      <c r="P49" s="13">
        <f t="shared" si="33"/>
        <v>69.665822496730271</v>
      </c>
      <c r="Q49" s="20">
        <f t="shared" si="53"/>
        <v>631.30195584847183</v>
      </c>
      <c r="R49" s="59">
        <f t="shared" si="0"/>
        <v>924.63528918180509</v>
      </c>
      <c r="S49" s="59">
        <f ca="1">AVERAGE(OFFSET($R$3,0,0,'Données projet'!$E$9+1,1))-AVERAGE(OFFSET($H$3,0,0,'Données projet'!$E$9+1,1))</f>
        <v>446.28010102877403</v>
      </c>
      <c r="T49" s="59">
        <f t="shared" si="34"/>
        <v>445.84011537290456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8.3185412178942943</v>
      </c>
      <c r="AA49" s="21">
        <f>EXP(-LN(2)/25)*AA48+(1-EXP(-LN(2)/25))/(LN(2)/25)*Calculateur!V49*Calculateur!X49*VLOOKUP('Données projet'!$B$9,Paramètres!$A$1:$I$89,3,0)*0.475*44/12</f>
        <v>24.872415351561646</v>
      </c>
      <c r="AB49" s="21">
        <f>EXP(-LN(2)/2)*AB48+(1-EXP(-LN(2)/2))/(LN(2)/2)*V49*Y49*VLOOKUP('Données projet'!$B$9,Paramètres!$A$1:$I$89,3,0)*0.475*44/12</f>
        <v>0.14246832560560194</v>
      </c>
      <c r="AC49" s="22">
        <f t="shared" si="3"/>
        <v>33.33342489506154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11.499999999999996</v>
      </c>
      <c r="AI49" s="13">
        <f>IF('Données projet'!$A$62&gt;35,AI48+AH49-AQ48,IF(A49&lt;'Données projet'!$A$62,$AF$205^A49,IF(A49='Données projet'!$A$62,'Données projet'!$B$62,AI48+AH49-AQ48)))</f>
        <v>277.19999999999987</v>
      </c>
      <c r="AJ49" s="13">
        <f>AI49*VLOOKUP('Données projet'!$B$10,Paramètres!$A$1:$I$89,3,0)*VLOOKUP('Données projet'!$B$10,Paramètres!$A$1:$I$89,5,0)</f>
        <v>129.72959999999992</v>
      </c>
      <c r="AK49" s="13">
        <f t="shared" si="35"/>
        <v>33.933870261867483</v>
      </c>
      <c r="AL49" s="20">
        <f t="shared" si="4"/>
        <v>285.04721070608576</v>
      </c>
      <c r="AM49" s="59">
        <f t="shared" si="5"/>
        <v>578.38054403941908</v>
      </c>
      <c r="AN49" s="59">
        <f ca="1">AVERAGE(OFFSET($AM$3,0,0,'Données projet'!$E$10+1,1))-AVERAGE(OFFSET($H$3,0,0,'Données projet'!$E$10+1,1))</f>
        <v>252.98248842635206</v>
      </c>
      <c r="AO49" s="59">
        <f t="shared" si="36"/>
        <v>207.11938580878308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2.2833152007389583</v>
      </c>
      <c r="AV49" s="21">
        <f>EXP(-LN(2)/25)*AV48+(1-EXP(-LN(2)/25))/(LN(2)/25)*Calculateur!AQ49*Calculateur!AS49*VLOOKUP('Données projet'!$B$10,Paramètres!$A$1:$I$89,3,0)*0.475*44/12</f>
        <v>5.040953194648579</v>
      </c>
      <c r="AW49" s="21">
        <f>EXP(-LN(2)/2)*AW48+(1-EXP(-LN(2)/2))/(LN(2)/2)*AQ49*AT49*VLOOKUP('Données projet'!$B$10,Paramètres!$A$1:$I$89,3,0)*0.475*44/12</f>
        <v>3.8406939376156218E-2</v>
      </c>
      <c r="AX49" s="21">
        <f t="shared" si="6"/>
        <v>7.3626753347636944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5.6</v>
      </c>
      <c r="BD49" s="12">
        <f>IF('Données projet'!$A$88&gt;35,BD48+BC49-BL48,IF(A49&lt;'Données projet'!$A$88,$BA$205^A49,IF(A49='Données projet'!$A$88,'Données projet'!$B$88,BD48+BC49-BL48)))</f>
        <v>112.59999999999998</v>
      </c>
      <c r="BE49" s="13">
        <f>BD49*VLOOKUP('Données projet'!$B$11,Paramètres!$A$1:$I$89,3,0)*VLOOKUP('Données projet'!$B$11,Paramètres!$A$1:$I$89,5,0)</f>
        <v>73.775519999999986</v>
      </c>
      <c r="BF49" s="13">
        <f t="shared" si="37"/>
        <v>20.608166515749346</v>
      </c>
      <c r="BG49" s="20">
        <f t="shared" si="7"/>
        <v>164.38492068159675</v>
      </c>
      <c r="BH49" s="59">
        <f t="shared" si="8"/>
        <v>457.71825401493004</v>
      </c>
      <c r="BI49" s="59">
        <f ca="1">AVERAGE(OFFSET($BH$3,0,0,'Données projet'!$E$11+1,1))-AVERAGE(OFFSET($H$3,0,0,'Données projet'!$E$11+1,1))</f>
        <v>114.23168847330004</v>
      </c>
      <c r="BJ49" s="59">
        <f t="shared" si="38"/>
        <v>42.34857998136755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5.6</v>
      </c>
      <c r="BY49" s="12">
        <f>IF('Données projet'!$A$114&gt;35,BY48+BX49-CG48,IF(A49&lt;'Données projet'!$A$114,$BV$205^A49,IF(A49='Données projet'!$A$114,'Données projet'!$B$114,BY48+BX49-CG48)))</f>
        <v>112.59999999999998</v>
      </c>
      <c r="BZ49" s="13">
        <f>BY49*VLOOKUP('Données projet'!$B$12,Paramètres!$A$1:$I$89,3,0)*VLOOKUP('Données projet'!$B$12,Paramètres!$A$1:$I$89,5,0)</f>
        <v>108.90671999999998</v>
      </c>
      <c r="CA49" s="13">
        <f t="shared" si="39"/>
        <v>29.073249724487347</v>
      </c>
      <c r="CB49" s="20">
        <f t="shared" si="10"/>
        <v>240.31511393681538</v>
      </c>
      <c r="CC49" s="59">
        <f t="shared" si="11"/>
        <v>533.64844727014872</v>
      </c>
      <c r="CD49" s="59">
        <f ca="1">AVERAGE(OFFSET($CC$3,0,0,'Données projet'!$E$12+1,1))-AVERAGE(OFFSET($H$3,0,0,'Données projet'!$E$12+1,1))</f>
        <v>201.36664523637006</v>
      </c>
      <c r="CE49" s="59">
        <f t="shared" si="40"/>
        <v>79.394119001888555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5.2348599243580187</v>
      </c>
      <c r="CM49" s="21">
        <f>EXP(-LN(2)/2)*CM48+(1-EXP(-LN(2)/2))/(LN(2)/2)*CG49*CJ49*VLOOKUP('Données projet'!$B$12,Paramètres!$A$1:$I$89,3,0)*0.475*44/12</f>
        <v>1.5399774536731845</v>
      </c>
      <c r="CN49" s="22">
        <f t="shared" si="12"/>
        <v>6.7748373780312034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8.4</v>
      </c>
      <c r="CT49" s="12">
        <f>IF('Données projet'!$A$140&gt;35,CT48+CS49-DB48,IF(A49&lt;'Données projet'!$A$140,$CQ$205^A49,IF(A49='Données projet'!$A$140,'Données projet'!$B$140,CT48+CS49-DB48)))</f>
        <v>166.4</v>
      </c>
      <c r="CU49" s="17">
        <f>CT49*VLOOKUP('Données projet'!$B$13,Paramètres!$A$1:$I$89,3,0)*VLOOKUP('Données projet'!$B$13,Paramètres!$A$1:$I$89,5,0)</f>
        <v>150.55871999999999</v>
      </c>
      <c r="CV49" s="13">
        <f t="shared" si="41"/>
        <v>38.705529258595597</v>
      </c>
      <c r="CW49" s="20">
        <f t="shared" si="13"/>
        <v>329.63523412538729</v>
      </c>
      <c r="CX49" s="59">
        <f t="shared" si="14"/>
        <v>622.9685674587206</v>
      </c>
      <c r="CY49" s="59">
        <f ca="1">AVERAGE(OFFSET($CX$3,0,0,'Données projet'!$E$13+1,1))-AVERAGE(OFFSET($H$3,0,0,'Données projet'!$E$13+1,1))</f>
        <v>282.08542131880455</v>
      </c>
      <c r="CZ49" s="59">
        <f t="shared" si="42"/>
        <v>174.27503468762325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11.603994638377497</v>
      </c>
      <c r="DH49" s="21">
        <f>EXP(-LN(2)/2)*DH48+(1-EXP(-LN(2)/2))/(LN(2)/2)*DB49*DE49*VLOOKUP('Données projet'!$B$13,Paramètres!$A$1:$I$89,3,0)*0.475*44/12</f>
        <v>2.2893250549919792</v>
      </c>
      <c r="DI49" s="22">
        <f t="shared" si="15"/>
        <v>13.893319693369476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7.7</v>
      </c>
      <c r="DO49" s="12">
        <f>IF('Données projet'!$A$166&gt;35,DO48+DN49-DW48,IF(A49&lt;'Données projet'!$A$166,$DL$205^A49,IF(A49='Données projet'!$A$166,'Données projet'!$B$166,DO48+DN49-DW48)))</f>
        <v>210.19999999999979</v>
      </c>
      <c r="DP49" s="17">
        <f>DO49*VLOOKUP('Données projet'!$B$14,Paramètres!$A$1:$I$89,3,0)*VLOOKUP('Données projet'!$B$14,Paramètres!$A$1:$I$89,5,0)</f>
        <v>170.51423999999983</v>
      </c>
      <c r="DQ49" s="13">
        <f t="shared" si="43"/>
        <v>43.20517598524669</v>
      </c>
      <c r="DR49" s="20">
        <f t="shared" si="16"/>
        <v>372.22798284097098</v>
      </c>
      <c r="DS49" s="59">
        <f t="shared" si="17"/>
        <v>665.56131617430424</v>
      </c>
      <c r="DT49" s="59">
        <f ca="1">AVERAGE(OFFSET($DS$3,0,0,'Données projet'!$E$14+1,1))-AVERAGE(OFFSET($H$3,0,0,'Données projet'!$E$14+1,1))</f>
        <v>235.31102883830971</v>
      </c>
      <c r="DU49" s="59">
        <f t="shared" si="44"/>
        <v>271.48630853790422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16.007549076299586</v>
      </c>
      <c r="EC49" s="21">
        <f>EXP(-LN(2)/2)*EC48+(1-EXP(-LN(2)/2))/(LN(2)/2)*DW49*DZ49*VLOOKUP('Données projet'!$B$14,Paramètres!$A$1:$I$89,3,0)*0.475*44/12</f>
        <v>2.7625760414459828</v>
      </c>
      <c r="ED49" s="22">
        <f t="shared" si="18"/>
        <v>18.770125117745568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22.8</v>
      </c>
      <c r="N50" s="13">
        <f>IF('Données projet'!$A$36&gt;35,N49+M50-V49,IF(A50&lt;'Données projet'!$A$36,$K$205^A50,IF(A50='Données projet'!$A$36,'Données projet'!$B$36,N49+M50-V49)))</f>
        <v>546.6</v>
      </c>
      <c r="O50" s="13">
        <f>N50*VLOOKUP('Données projet'!$B$9,Paramètres!$A$1:$I$89,3,0)*VLOOKUP('Données projet'!$B$9,Paramètres!$A$1:$I$89,5,0)</f>
        <v>305.54940000000005</v>
      </c>
      <c r="P50" s="13">
        <f t="shared" si="33"/>
        <v>72.338586946416783</v>
      </c>
      <c r="Q50" s="20">
        <f t="shared" si="53"/>
        <v>658.15491059834255</v>
      </c>
      <c r="R50" s="59">
        <f t="shared" si="0"/>
        <v>951.48824393167592</v>
      </c>
      <c r="S50" s="59">
        <f ca="1">AVERAGE(OFFSET($R$3,0,0,'Données projet'!$E$9+1,1))-AVERAGE(OFFSET($H$3,0,0,'Données projet'!$E$9+1,1))</f>
        <v>446.28010102877403</v>
      </c>
      <c r="T50" s="59">
        <f t="shared" si="34"/>
        <v>445.84011537290456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8.1554196984205323</v>
      </c>
      <c r="AA50" s="21">
        <f>EXP(-LN(2)/25)*AA49+(1-EXP(-LN(2)/25))/(LN(2)/25)*Calculateur!V50*Calculateur!X50*VLOOKUP('Données projet'!$B$9,Paramètres!$A$1:$I$89,3,0)*0.475*44/12</f>
        <v>24.192277845789715</v>
      </c>
      <c r="AB50" s="21">
        <f>EXP(-LN(2)/2)*AB49+(1-EXP(-LN(2)/2))/(LN(2)/2)*V50*Y50*VLOOKUP('Données projet'!$B$9,Paramètres!$A$1:$I$89,3,0)*0.475*44/12</f>
        <v>0.10074031914001418</v>
      </c>
      <c r="AC50" s="22">
        <f t="shared" si="3"/>
        <v>32.448437863350264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11.499999999999996</v>
      </c>
      <c r="AI50" s="13">
        <f>IF('Données projet'!$A$62&gt;35,AI49+AH50-AQ49,IF(A50&lt;'Données projet'!$A$62,$AF$205^A50,IF(A50='Données projet'!$A$62,'Données projet'!$B$62,AI49+AH50-AQ49)))</f>
        <v>288.69999999999987</v>
      </c>
      <c r="AJ50" s="13">
        <f>AI50*VLOOKUP('Données projet'!$B$10,Paramètres!$A$1:$I$89,3,0)*VLOOKUP('Données projet'!$B$10,Paramètres!$A$1:$I$89,5,0)</f>
        <v>135.11159999999992</v>
      </c>
      <c r="AK50" s="13">
        <f t="shared" si="35"/>
        <v>35.174835808562257</v>
      </c>
      <c r="AL50" s="20">
        <f t="shared" si="4"/>
        <v>296.58220903324576</v>
      </c>
      <c r="AM50" s="59">
        <f t="shared" si="5"/>
        <v>589.91554236657907</v>
      </c>
      <c r="AN50" s="59">
        <f ca="1">AVERAGE(OFFSET($AM$3,0,0,'Données projet'!$E$10+1,1))-AVERAGE(OFFSET($H$3,0,0,'Données projet'!$E$10+1,1))</f>
        <v>252.98248842635206</v>
      </c>
      <c r="AO50" s="59">
        <f t="shared" si="36"/>
        <v>207.11938580878308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2.2385407823372234</v>
      </c>
      <c r="AV50" s="21">
        <f>EXP(-LN(2)/25)*AV49+(1-EXP(-LN(2)/25))/(LN(2)/25)*Calculateur!AQ50*Calculateur!AS50*VLOOKUP('Données projet'!$B$10,Paramètres!$A$1:$I$89,3,0)*0.475*44/12</f>
        <v>4.9031080644487064</v>
      </c>
      <c r="AW50" s="21">
        <f>EXP(-LN(2)/2)*AW49+(1-EXP(-LN(2)/2))/(LN(2)/2)*AQ50*AT50*VLOOKUP('Données projet'!$B$10,Paramètres!$A$1:$I$89,3,0)*0.475*44/12</f>
        <v>2.7157807277500692E-2</v>
      </c>
      <c r="AX50" s="21">
        <f t="shared" si="6"/>
        <v>7.168806654063431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5.6</v>
      </c>
      <c r="BD50" s="12">
        <f>IF('Données projet'!$A$88&gt;35,BD49+BC50-BL49,IF(A50&lt;'Données projet'!$A$88,$BA$205^A50,IF(A50='Données projet'!$A$88,'Données projet'!$B$88,BD49+BC50-BL49)))</f>
        <v>118.19999999999997</v>
      </c>
      <c r="BE50" s="13">
        <f>BD50*VLOOKUP('Données projet'!$B$11,Paramètres!$A$1:$I$89,3,0)*VLOOKUP('Données projet'!$B$11,Paramètres!$A$1:$I$89,5,0)</f>
        <v>77.444639999999978</v>
      </c>
      <c r="BF50" s="13">
        <f t="shared" si="37"/>
        <v>21.511209763222862</v>
      </c>
      <c r="BG50" s="20">
        <f t="shared" si="7"/>
        <v>172.34810500427977</v>
      </c>
      <c r="BH50" s="59">
        <f t="shared" si="8"/>
        <v>465.68143833761309</v>
      </c>
      <c r="BI50" s="59">
        <f ca="1">AVERAGE(OFFSET($BH$3,0,0,'Données projet'!$E$11+1,1))-AVERAGE(OFFSET($H$3,0,0,'Données projet'!$E$11+1,1))</f>
        <v>114.23168847330004</v>
      </c>
      <c r="BJ50" s="59">
        <f t="shared" si="38"/>
        <v>42.34857998136755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5.6</v>
      </c>
      <c r="BY50" s="12">
        <f>IF('Données projet'!$A$114&gt;35,BY49+BX50-CG49,IF(A50&lt;'Données projet'!$A$114,$BV$205^A50,IF(A50='Données projet'!$A$114,'Données projet'!$B$114,BY49+BX50-CG49)))</f>
        <v>118.19999999999997</v>
      </c>
      <c r="BZ50" s="13">
        <f>BY50*VLOOKUP('Données projet'!$B$12,Paramètres!$A$1:$I$89,3,0)*VLOOKUP('Données projet'!$B$12,Paramètres!$A$1:$I$89,5,0)</f>
        <v>114.32303999999996</v>
      </c>
      <c r="CA50" s="13">
        <f t="shared" si="39"/>
        <v>30.347230203330305</v>
      </c>
      <c r="CB50" s="20">
        <f t="shared" si="10"/>
        <v>251.96738727080017</v>
      </c>
      <c r="CC50" s="59">
        <f t="shared" si="11"/>
        <v>545.30072060413352</v>
      </c>
      <c r="CD50" s="59">
        <f ca="1">AVERAGE(OFFSET($CC$3,0,0,'Données projet'!$E$12+1,1))-AVERAGE(OFFSET($H$3,0,0,'Données projet'!$E$12+1,1))</f>
        <v>201.36664523637006</v>
      </c>
      <c r="CE50" s="59">
        <f t="shared" si="40"/>
        <v>79.394119001888555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5.0917124044371294</v>
      </c>
      <c r="CM50" s="21">
        <f>EXP(-LN(2)/2)*CM49+(1-EXP(-LN(2)/2))/(LN(2)/2)*CG50*CJ50*VLOOKUP('Données projet'!$B$12,Paramètres!$A$1:$I$89,3,0)*0.475*44/12</f>
        <v>1.0889285003667011</v>
      </c>
      <c r="CN50" s="22">
        <f t="shared" si="12"/>
        <v>6.1806409048038304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8.4</v>
      </c>
      <c r="CT50" s="12">
        <f>IF('Données projet'!$A$140&gt;35,CT49+CS50-DB49,IF(A50&lt;'Données projet'!$A$140,$CQ$205^A50,IF(A50='Données projet'!$A$140,'Données projet'!$B$140,CT49+CS50-DB49)))</f>
        <v>174.8</v>
      </c>
      <c r="CU50" s="17">
        <f>CT50*VLOOKUP('Données projet'!$B$13,Paramètres!$A$1:$I$89,3,0)*VLOOKUP('Données projet'!$B$13,Paramètres!$A$1:$I$89,5,0)</f>
        <v>158.15904</v>
      </c>
      <c r="CV50" s="13">
        <f t="shared" si="41"/>
        <v>40.427002481177588</v>
      </c>
      <c r="CW50" s="20">
        <f t="shared" si="13"/>
        <v>345.87069065471763</v>
      </c>
      <c r="CX50" s="59">
        <f t="shared" si="14"/>
        <v>639.20402398805095</v>
      </c>
      <c r="CY50" s="59">
        <f ca="1">AVERAGE(OFFSET($CX$3,0,0,'Données projet'!$E$13+1,1))-AVERAGE(OFFSET($H$3,0,0,'Données projet'!$E$13+1,1))</f>
        <v>282.08542131880455</v>
      </c>
      <c r="CZ50" s="59">
        <f t="shared" si="42"/>
        <v>174.27503468762325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11.286682794763507</v>
      </c>
      <c r="DH50" s="21">
        <f>EXP(-LN(2)/2)*DH49+(1-EXP(-LN(2)/2))/(LN(2)/2)*DB50*DE50*VLOOKUP('Données projet'!$B$13,Paramètres!$A$1:$I$89,3,0)*0.475*44/12</f>
        <v>1.6187972707250944</v>
      </c>
      <c r="DI50" s="22">
        <f t="shared" si="15"/>
        <v>12.905480065488602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7.7</v>
      </c>
      <c r="DO50" s="12">
        <f>IF('Données projet'!$A$166&gt;35,DO49+DN50-DW49,IF(A50&lt;'Données projet'!$A$166,$DL$205^A50,IF(A50='Données projet'!$A$166,'Données projet'!$B$166,DO49+DN50-DW49)))</f>
        <v>217.89999999999978</v>
      </c>
      <c r="DP50" s="17">
        <f>DO50*VLOOKUP('Données projet'!$B$14,Paramètres!$A$1:$I$89,3,0)*VLOOKUP('Données projet'!$B$14,Paramètres!$A$1:$I$89,5,0)</f>
        <v>176.76047999999983</v>
      </c>
      <c r="DQ50" s="13">
        <f t="shared" si="43"/>
        <v>44.600692617848637</v>
      </c>
      <c r="DR50" s="20">
        <f t="shared" si="16"/>
        <v>385.53737564275275</v>
      </c>
      <c r="DS50" s="59">
        <f t="shared" si="17"/>
        <v>678.87070897608601</v>
      </c>
      <c r="DT50" s="59">
        <f ca="1">AVERAGE(OFFSET($DS$3,0,0,'Données projet'!$E$14+1,1))-AVERAGE(OFFSET($H$3,0,0,'Données projet'!$E$14+1,1))</f>
        <v>235.31102883830971</v>
      </c>
      <c r="DU50" s="59">
        <f t="shared" si="44"/>
        <v>271.48630853790422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15.569821805007754</v>
      </c>
      <c r="EC50" s="21">
        <f>EXP(-LN(2)/2)*EC49+(1-EXP(-LN(2)/2))/(LN(2)/2)*DW50*DZ50*VLOOKUP('Données projet'!$B$14,Paramètres!$A$1:$I$89,3,0)*0.475*44/12</f>
        <v>1.9534362524499433</v>
      </c>
      <c r="ED50" s="22">
        <f t="shared" si="18"/>
        <v>17.523258057457696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22.8</v>
      </c>
      <c r="N51" s="13">
        <f>IF('Données projet'!$A$36&gt;35,N50+M51-V50,IF(A51&lt;'Données projet'!$A$36,$K$205^A51,IF(A51='Données projet'!$A$36,'Données projet'!$B$36,N50+M51-V50)))</f>
        <v>569.4</v>
      </c>
      <c r="O51" s="13">
        <f>N51*VLOOKUP('Données projet'!$B$9,Paramètres!$A$1:$I$89,3,0)*VLOOKUP('Données projet'!$B$9,Paramètres!$A$1:$I$89,5,0)</f>
        <v>318.2946</v>
      </c>
      <c r="P51" s="13">
        <f t="shared" si="33"/>
        <v>74.998401746556283</v>
      </c>
      <c r="Q51" s="20">
        <f t="shared" si="53"/>
        <v>684.98531137525208</v>
      </c>
      <c r="R51" s="59">
        <f t="shared" si="0"/>
        <v>978.31864470858545</v>
      </c>
      <c r="S51" s="59">
        <f ca="1">AVERAGE(OFFSET($R$3,0,0,'Données projet'!$E$9+1,1))-AVERAGE(OFFSET($H$3,0,0,'Données projet'!$E$9+1,1))</f>
        <v>446.28010102877403</v>
      </c>
      <c r="T51" s="59">
        <f t="shared" si="34"/>
        <v>445.84011537290456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7.9954968924493492</v>
      </c>
      <c r="AA51" s="21">
        <f>EXP(-LN(2)/25)*AA50+(1-EXP(-LN(2)/25))/(LN(2)/25)*Calculateur!V51*Calculateur!X51*VLOOKUP('Données projet'!$B$9,Paramètres!$A$1:$I$89,3,0)*0.475*44/12</f>
        <v>23.530738735879996</v>
      </c>
      <c r="AB51" s="21">
        <f>EXP(-LN(2)/2)*AB50+(1-EXP(-LN(2)/2))/(LN(2)/2)*V51*Y51*VLOOKUP('Données projet'!$B$9,Paramètres!$A$1:$I$89,3,0)*0.475*44/12</f>
        <v>7.1234162802800968E-2</v>
      </c>
      <c r="AC51" s="22">
        <f t="shared" si="3"/>
        <v>31.597469791132145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11.499999999999996</v>
      </c>
      <c r="AI51" s="13">
        <f>IF('Données projet'!$A$62&gt;35,AI50+AH51-AQ50,IF(A51&lt;'Données projet'!$A$62,$AF$205^A51,IF(A51='Données projet'!$A$62,'Données projet'!$B$62,AI50+AH51-AQ50)))</f>
        <v>300.19999999999987</v>
      </c>
      <c r="AJ51" s="13">
        <f>AI51*VLOOKUP('Données projet'!$B$10,Paramètres!$A$1:$I$89,3,0)*VLOOKUP('Données projet'!$B$10,Paramètres!$A$1:$I$89,5,0)</f>
        <v>140.49359999999993</v>
      </c>
      <c r="AK51" s="13">
        <f t="shared" si="35"/>
        <v>36.410059151057915</v>
      </c>
      <c r="AL51" s="20">
        <f t="shared" si="4"/>
        <v>308.10720635475906</v>
      </c>
      <c r="AM51" s="59">
        <f t="shared" si="5"/>
        <v>601.44053968809237</v>
      </c>
      <c r="AN51" s="59">
        <f ca="1">AVERAGE(OFFSET($AM$3,0,0,'Données projet'!$E$10+1,1))-AVERAGE(OFFSET($H$3,0,0,'Données projet'!$E$10+1,1))</f>
        <v>252.98248842635206</v>
      </c>
      <c r="AO51" s="59">
        <f t="shared" si="36"/>
        <v>207.11938580878308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2.194644362970648</v>
      </c>
      <c r="AV51" s="21">
        <f>EXP(-LN(2)/25)*AV50+(1-EXP(-LN(2)/25))/(LN(2)/25)*Calculateur!AQ51*Calculateur!AS51*VLOOKUP('Données projet'!$B$10,Paramètres!$A$1:$I$89,3,0)*0.475*44/12</f>
        <v>4.7690323165831092</v>
      </c>
      <c r="AW51" s="21">
        <f>EXP(-LN(2)/2)*AW50+(1-EXP(-LN(2)/2))/(LN(2)/2)*AQ51*AT51*VLOOKUP('Données projet'!$B$10,Paramètres!$A$1:$I$89,3,0)*0.475*44/12</f>
        <v>1.9203469688078109E-2</v>
      </c>
      <c r="AX51" s="21">
        <f t="shared" si="6"/>
        <v>6.9828801492418346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5.6</v>
      </c>
      <c r="BD51" s="12">
        <f>IF('Données projet'!$A$88&gt;35,BD50+BC51-BL50,IF(A51&lt;'Données projet'!$A$88,$BA$205^A51,IF(A51='Données projet'!$A$88,'Données projet'!$B$88,BD50+BC51-BL50)))</f>
        <v>123.79999999999997</v>
      </c>
      <c r="BE51" s="13">
        <f>BD51*VLOOKUP('Données projet'!$B$11,Paramètres!$A$1:$I$89,3,0)*VLOOKUP('Données projet'!$B$11,Paramètres!$A$1:$I$89,5,0)</f>
        <v>81.113759999999985</v>
      </c>
      <c r="BF51" s="13">
        <f t="shared" si="37"/>
        <v>22.409284723370501</v>
      </c>
      <c r="BG51" s="20">
        <f t="shared" si="7"/>
        <v>180.30263622653692</v>
      </c>
      <c r="BH51" s="59">
        <f t="shared" si="8"/>
        <v>473.6359695598702</v>
      </c>
      <c r="BI51" s="59">
        <f ca="1">AVERAGE(OFFSET($BH$3,0,0,'Données projet'!$E$11+1,1))-AVERAGE(OFFSET($H$3,0,0,'Données projet'!$E$11+1,1))</f>
        <v>114.23168847330004</v>
      </c>
      <c r="BJ51" s="59">
        <f t="shared" si="38"/>
        <v>42.34857998136755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5.6</v>
      </c>
      <c r="BY51" s="12">
        <f>IF('Données projet'!$A$114&gt;35,BY50+BX51-CG50,IF(A51&lt;'Données projet'!$A$114,$BV$205^A51,IF(A51='Données projet'!$A$114,'Données projet'!$B$114,BY50+BX51-CG50)))</f>
        <v>123.79999999999997</v>
      </c>
      <c r="BZ51" s="13">
        <f>BY51*VLOOKUP('Données projet'!$B$12,Paramètres!$A$1:$I$89,3,0)*VLOOKUP('Données projet'!$B$12,Paramètres!$A$1:$I$89,5,0)</f>
        <v>119.73935999999998</v>
      </c>
      <c r="CA51" s="13">
        <f t="shared" si="39"/>
        <v>31.614201603611257</v>
      </c>
      <c r="CB51" s="20">
        <f t="shared" si="10"/>
        <v>263.60745312628956</v>
      </c>
      <c r="CC51" s="59">
        <f t="shared" si="11"/>
        <v>556.94078645962281</v>
      </c>
      <c r="CD51" s="59">
        <f ca="1">AVERAGE(OFFSET($CC$3,0,0,'Données projet'!$E$12+1,1))-AVERAGE(OFFSET($H$3,0,0,'Données projet'!$E$12+1,1))</f>
        <v>201.36664523637006</v>
      </c>
      <c r="CE51" s="59">
        <f t="shared" si="40"/>
        <v>79.394119001888555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4.9524792609762782</v>
      </c>
      <c r="CM51" s="21">
        <f>EXP(-LN(2)/2)*CM50+(1-EXP(-LN(2)/2))/(LN(2)/2)*CG51*CJ51*VLOOKUP('Données projet'!$B$12,Paramètres!$A$1:$I$89,3,0)*0.475*44/12</f>
        <v>0.76998872683659225</v>
      </c>
      <c r="CN51" s="22">
        <f t="shared" si="12"/>
        <v>5.7224679878128706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8.4</v>
      </c>
      <c r="CT51" s="12">
        <f>IF('Données projet'!$A$140&gt;35,CT50+CS51-DB50,IF(A51&lt;'Données projet'!$A$140,$CQ$205^A51,IF(A51='Données projet'!$A$140,'Données projet'!$B$140,CT50+CS51-DB50)))</f>
        <v>183.20000000000002</v>
      </c>
      <c r="CU51" s="17">
        <f>CT51*VLOOKUP('Données projet'!$B$13,Paramètres!$A$1:$I$89,3,0)*VLOOKUP('Données projet'!$B$13,Paramètres!$A$1:$I$89,5,0)</f>
        <v>165.75936000000002</v>
      </c>
      <c r="CV51" s="13">
        <f t="shared" si="41"/>
        <v>42.138869460894341</v>
      </c>
      <c r="CW51" s="20">
        <f t="shared" si="13"/>
        <v>362.08941631105768</v>
      </c>
      <c r="CX51" s="59">
        <f t="shared" si="14"/>
        <v>655.42274964439093</v>
      </c>
      <c r="CY51" s="59">
        <f ca="1">AVERAGE(OFFSET($CX$3,0,0,'Données projet'!$E$13+1,1))-AVERAGE(OFFSET($H$3,0,0,'Données projet'!$E$13+1,1))</f>
        <v>282.08542131880455</v>
      </c>
      <c r="CZ51" s="59">
        <f t="shared" si="42"/>
        <v>174.27503468762325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10.978047860199847</v>
      </c>
      <c r="DH51" s="21">
        <f>EXP(-LN(2)/2)*DH50+(1-EXP(-LN(2)/2))/(LN(2)/2)*DB51*DE51*VLOOKUP('Données projet'!$B$13,Paramètres!$A$1:$I$89,3,0)*0.475*44/12</f>
        <v>1.1446625274959896</v>
      </c>
      <c r="DI51" s="22">
        <f t="shared" si="15"/>
        <v>12.122710387695838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7.7</v>
      </c>
      <c r="DO51" s="12">
        <f>IF('Données projet'!$A$166&gt;35,DO50+DN51-DW50,IF(A51&lt;'Données projet'!$A$166,$DL$205^A51,IF(A51='Données projet'!$A$166,'Données projet'!$B$166,DO50+DN51-DW50)))</f>
        <v>225.59999999999977</v>
      </c>
      <c r="DP51" s="17">
        <f>DO51*VLOOKUP('Données projet'!$B$14,Paramètres!$A$1:$I$89,3,0)*VLOOKUP('Données projet'!$B$14,Paramètres!$A$1:$I$89,5,0)</f>
        <v>183.00671999999983</v>
      </c>
      <c r="DQ51" s="13">
        <f t="shared" si="43"/>
        <v>45.990479653087661</v>
      </c>
      <c r="DR51" s="20">
        <f t="shared" si="16"/>
        <v>398.83678939579403</v>
      </c>
      <c r="DS51" s="59">
        <f t="shared" si="17"/>
        <v>692.17012272912734</v>
      </c>
      <c r="DT51" s="59">
        <f ca="1">AVERAGE(OFFSET($DS$3,0,0,'Données projet'!$E$14+1,1))-AVERAGE(OFFSET($H$3,0,0,'Données projet'!$E$14+1,1))</f>
        <v>235.31102883830971</v>
      </c>
      <c r="DU51" s="59">
        <f t="shared" si="44"/>
        <v>271.48630853790422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15.144064208968473</v>
      </c>
      <c r="EC51" s="21">
        <f>EXP(-LN(2)/2)*EC50+(1-EXP(-LN(2)/2))/(LN(2)/2)*DW51*DZ51*VLOOKUP('Données projet'!$B$14,Paramètres!$A$1:$I$89,3,0)*0.475*44/12</f>
        <v>1.3812880207229916</v>
      </c>
      <c r="ED51" s="22">
        <f t="shared" si="18"/>
        <v>16.525352229691464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22.8</v>
      </c>
      <c r="N52" s="13">
        <f>IF('Données projet'!$A$36&gt;35,N51+M52-V51,IF(A52&lt;'Données projet'!$A$36,$K$205^A52,IF(A52='Données projet'!$A$36,'Données projet'!$B$36,N51+M52-V51)))</f>
        <v>592.19999999999993</v>
      </c>
      <c r="O52" s="13">
        <f>N52*VLOOKUP('Données projet'!$B$9,Paramètres!$A$1:$I$89,3,0)*VLOOKUP('Données projet'!$B$9,Paramètres!$A$1:$I$89,5,0)</f>
        <v>331.03979999999996</v>
      </c>
      <c r="P52" s="13">
        <f t="shared" si="33"/>
        <v>77.64584475376725</v>
      </c>
      <c r="Q52" s="20">
        <f t="shared" si="53"/>
        <v>711.79416461281119</v>
      </c>
      <c r="R52" s="59">
        <f t="shared" si="0"/>
        <v>1005.1274979461446</v>
      </c>
      <c r="S52" s="59">
        <f ca="1">AVERAGE(OFFSET($R$3,0,0,'Données projet'!$E$9+1,1))-AVERAGE(OFFSET($H$3,0,0,'Données projet'!$E$9+1,1))</f>
        <v>446.28010102877403</v>
      </c>
      <c r="T52" s="59">
        <f t="shared" si="34"/>
        <v>445.84011537290456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7.8387100751599803</v>
      </c>
      <c r="AA52" s="21">
        <f>EXP(-LN(2)/25)*AA51+(1-EXP(-LN(2)/25))/(LN(2)/25)*Calculateur!V52*Calculateur!X52*VLOOKUP('Données projet'!$B$9,Paramètres!$A$1:$I$89,3,0)*0.475*44/12</f>
        <v>22.887289447719589</v>
      </c>
      <c r="AB52" s="21">
        <f>EXP(-LN(2)/2)*AB51+(1-EXP(-LN(2)/2))/(LN(2)/2)*V52*Y52*VLOOKUP('Données projet'!$B$9,Paramètres!$A$1:$I$89,3,0)*0.475*44/12</f>
        <v>5.0370159570007088E-2</v>
      </c>
      <c r="AC52" s="22">
        <f t="shared" si="3"/>
        <v>30.776369682449577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11.499999999999996</v>
      </c>
      <c r="AI52" s="13">
        <f>IF('Données projet'!$A$62&gt;35,AI51+AH52-AQ51,IF(A52&lt;'Données projet'!$A$62,$AF$205^A52,IF(A52='Données projet'!$A$62,'Données projet'!$B$62,AI51+AH52-AQ51)))</f>
        <v>311.69999999999987</v>
      </c>
      <c r="AJ52" s="13">
        <f>AI52*VLOOKUP('Données projet'!$B$10,Paramètres!$A$1:$I$89,3,0)*VLOOKUP('Données projet'!$B$10,Paramètres!$A$1:$I$89,5,0)</f>
        <v>145.87559999999993</v>
      </c>
      <c r="AK52" s="13">
        <f t="shared" si="35"/>
        <v>37.639785440563628</v>
      </c>
      <c r="AL52" s="20">
        <f t="shared" si="4"/>
        <v>319.62262964231485</v>
      </c>
      <c r="AM52" s="59">
        <f t="shared" si="5"/>
        <v>612.95596297564816</v>
      </c>
      <c r="AN52" s="59">
        <f ca="1">AVERAGE(OFFSET($AM$3,0,0,'Données projet'!$E$10+1,1))-AVERAGE(OFFSET($H$3,0,0,'Données projet'!$E$10+1,1))</f>
        <v>252.98248842635206</v>
      </c>
      <c r="AO52" s="59">
        <f t="shared" si="36"/>
        <v>207.11938580878308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2.1516087256136793</v>
      </c>
      <c r="AV52" s="21">
        <f>EXP(-LN(2)/25)*AV51+(1-EXP(-LN(2)/25))/(LN(2)/25)*Calculateur!AQ52*Calculateur!AS52*VLOOKUP('Données projet'!$B$10,Paramètres!$A$1:$I$89,3,0)*0.475*44/12</f>
        <v>4.638622877093634</v>
      </c>
      <c r="AW52" s="21">
        <f>EXP(-LN(2)/2)*AW51+(1-EXP(-LN(2)/2))/(LN(2)/2)*AQ52*AT52*VLOOKUP('Données projet'!$B$10,Paramètres!$A$1:$I$89,3,0)*0.475*44/12</f>
        <v>1.3578903638750346E-2</v>
      </c>
      <c r="AX52" s="21">
        <f t="shared" si="6"/>
        <v>6.8038105063460641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5.6</v>
      </c>
      <c r="BD52" s="12">
        <f>IF('Données projet'!$A$88&gt;35,BD51+BC52-BL51,IF(A52&lt;'Données projet'!$A$88,$BA$205^A52,IF(A52='Données projet'!$A$88,'Données projet'!$B$88,BD51+BC52-BL51)))</f>
        <v>129.39999999999998</v>
      </c>
      <c r="BE52" s="13">
        <f>BD52*VLOOKUP('Données projet'!$B$11,Paramètres!$A$1:$I$89,3,0)*VLOOKUP('Données projet'!$B$11,Paramètres!$A$1:$I$89,5,0)</f>
        <v>84.782879999999992</v>
      </c>
      <c r="BF52" s="13">
        <f t="shared" si="37"/>
        <v>23.302641807417029</v>
      </c>
      <c r="BG52" s="20">
        <f t="shared" si="7"/>
        <v>188.24895048125131</v>
      </c>
      <c r="BH52" s="59">
        <f t="shared" si="8"/>
        <v>481.58228381458463</v>
      </c>
      <c r="BI52" s="59">
        <f ca="1">AVERAGE(OFFSET($BH$3,0,0,'Données projet'!$E$11+1,1))-AVERAGE(OFFSET($H$3,0,0,'Données projet'!$E$11+1,1))</f>
        <v>114.23168847330004</v>
      </c>
      <c r="BJ52" s="59">
        <f t="shared" si="38"/>
        <v>42.34857998136755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5.6</v>
      </c>
      <c r="BY52" s="12">
        <f>IF('Données projet'!$A$114&gt;35,BY51+BX52-CG51,IF(A52&lt;'Données projet'!$A$114,$BV$205^A52,IF(A52='Données projet'!$A$114,'Données projet'!$B$114,BY51+BX52-CG51)))</f>
        <v>129.39999999999998</v>
      </c>
      <c r="BZ52" s="13">
        <f>BY52*VLOOKUP('Données projet'!$B$12,Paramètres!$A$1:$I$89,3,0)*VLOOKUP('Données projet'!$B$12,Paramètres!$A$1:$I$89,5,0)</f>
        <v>125.15567999999998</v>
      </c>
      <c r="CA52" s="13">
        <f t="shared" si="39"/>
        <v>32.874517196353331</v>
      </c>
      <c r="CB52" s="20">
        <f t="shared" si="10"/>
        <v>275.23592678364861</v>
      </c>
      <c r="CC52" s="59">
        <f t="shared" si="11"/>
        <v>568.56926011698192</v>
      </c>
      <c r="CD52" s="59">
        <f ca="1">AVERAGE(OFFSET($CC$3,0,0,'Données projet'!$E$12+1,1))-AVERAGE(OFFSET($H$3,0,0,'Données projet'!$E$12+1,1))</f>
        <v>201.36664523637006</v>
      </c>
      <c r="CE52" s="59">
        <f t="shared" si="40"/>
        <v>79.394119001888555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4.8170534551453166</v>
      </c>
      <c r="CM52" s="21">
        <f>EXP(-LN(2)/2)*CM51+(1-EXP(-LN(2)/2))/(LN(2)/2)*CG52*CJ52*VLOOKUP('Données projet'!$B$12,Paramètres!$A$1:$I$89,3,0)*0.475*44/12</f>
        <v>0.54446425018335054</v>
      </c>
      <c r="CN52" s="22">
        <f t="shared" si="12"/>
        <v>5.3615177053286676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8.4</v>
      </c>
      <c r="CT52" s="12">
        <f>IF('Données projet'!$A$140&gt;35,CT51+CS52-DB51,IF(A52&lt;'Données projet'!$A$140,$CQ$205^A52,IF(A52='Données projet'!$A$140,'Données projet'!$B$140,CT51+CS52-DB51)))</f>
        <v>191.60000000000002</v>
      </c>
      <c r="CU52" s="17">
        <f>CT52*VLOOKUP('Données projet'!$B$13,Paramètres!$A$1:$I$89,3,0)*VLOOKUP('Données projet'!$B$13,Paramètres!$A$1:$I$89,5,0)</f>
        <v>173.35968</v>
      </c>
      <c r="CV52" s="13">
        <f t="shared" si="41"/>
        <v>43.841620969901953</v>
      </c>
      <c r="CW52" s="20">
        <f t="shared" si="13"/>
        <v>378.29226585591255</v>
      </c>
      <c r="CX52" s="59">
        <f t="shared" si="14"/>
        <v>671.6255991892458</v>
      </c>
      <c r="CY52" s="59">
        <f ca="1">AVERAGE(OFFSET($CX$3,0,0,'Données projet'!$E$13+1,1))-AVERAGE(OFFSET($H$3,0,0,'Données projet'!$E$13+1,1))</f>
        <v>282.08542131880455</v>
      </c>
      <c r="CZ52" s="59">
        <f t="shared" si="42"/>
        <v>174.27503468762325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10.677852564152236</v>
      </c>
      <c r="DH52" s="21">
        <f>EXP(-LN(2)/2)*DH51+(1-EXP(-LN(2)/2))/(LN(2)/2)*DB52*DE52*VLOOKUP('Données projet'!$B$13,Paramètres!$A$1:$I$89,3,0)*0.475*44/12</f>
        <v>0.80939863536254719</v>
      </c>
      <c r="DI52" s="22">
        <f t="shared" si="15"/>
        <v>11.487251199514782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7.7</v>
      </c>
      <c r="DO52" s="12">
        <f>IF('Données projet'!$A$166&gt;35,DO51+DN52-DW51,IF(A52&lt;'Données projet'!$A$166,$DL$205^A52,IF(A52='Données projet'!$A$166,'Données projet'!$B$166,DO51+DN52-DW51)))</f>
        <v>233.29999999999976</v>
      </c>
      <c r="DP52" s="17">
        <f>DO52*VLOOKUP('Données projet'!$B$14,Paramètres!$A$1:$I$89,3,0)*VLOOKUP('Données projet'!$B$14,Paramètres!$A$1:$I$89,5,0)</f>
        <v>189.2529599999998</v>
      </c>
      <c r="DQ52" s="13">
        <f t="shared" si="43"/>
        <v>47.374755064875977</v>
      </c>
      <c r="DR52" s="20">
        <f t="shared" si="16"/>
        <v>412.12660373799196</v>
      </c>
      <c r="DS52" s="59">
        <f t="shared" si="17"/>
        <v>705.45993707132527</v>
      </c>
      <c r="DT52" s="59">
        <f ca="1">AVERAGE(OFFSET($DS$3,0,0,'Données projet'!$E$14+1,1))-AVERAGE(OFFSET($H$3,0,0,'Données projet'!$E$14+1,1))</f>
        <v>235.31102883830971</v>
      </c>
      <c r="DU52" s="59">
        <f t="shared" si="44"/>
        <v>271.48630853790422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14.729948976782506</v>
      </c>
      <c r="EC52" s="21">
        <f>EXP(-LN(2)/2)*EC51+(1-EXP(-LN(2)/2))/(LN(2)/2)*DW52*DZ52*VLOOKUP('Données projet'!$B$14,Paramètres!$A$1:$I$89,3,0)*0.475*44/12</f>
        <v>0.97671812622497178</v>
      </c>
      <c r="ED52" s="22">
        <f t="shared" si="18"/>
        <v>15.706667103007478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615</v>
      </c>
      <c r="L53" s="12">
        <f>VLOOKUP(A53,'Données projet'!$A$35:$I$55,9,0)</f>
        <v>22.8</v>
      </c>
      <c r="M53" s="12">
        <f t="array" ref="M53">INDEX(L:L,MIN(IF(ISNUMBER(L53:L249),ROW(L53:L249),"")))</f>
        <v>22.8</v>
      </c>
      <c r="N53" s="13">
        <f>IF('Données projet'!$A$36&gt;35,N52+M53-V52,IF(A53&lt;'Données projet'!$A$36,$K$205^A53,IF(A53='Données projet'!$A$36,'Données projet'!$B$36,N52+M53-V52)))</f>
        <v>614.99999999999989</v>
      </c>
      <c r="O53" s="13">
        <f>N53*VLOOKUP('Données projet'!$B$9,Paramètres!$A$1:$I$89,3,0)*VLOOKUP('Données projet'!$B$9,Paramètres!$A$1:$I$89,5,0)</f>
        <v>343.78499999999991</v>
      </c>
      <c r="P53" s="13">
        <f t="shared" si="33"/>
        <v>80.281446809317075</v>
      </c>
      <c r="Q53" s="20">
        <f t="shared" si="53"/>
        <v>738.58239485956028</v>
      </c>
      <c r="R53" s="59">
        <f t="shared" si="0"/>
        <v>1031.9157281928935</v>
      </c>
      <c r="S53" s="59">
        <f ca="1">AVERAGE(OFFSET($R$3,0,0,'Données projet'!$E$9+1,1))-AVERAGE(OFFSET($H$3,0,0,'Données projet'!$E$9+1,1))</f>
        <v>446.28010102877403</v>
      </c>
      <c r="T53" s="59">
        <f t="shared" si="34"/>
        <v>445.84011537290456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129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7.6849977517271402</v>
      </c>
      <c r="AA53" s="21">
        <f>EXP(-LN(2)/25)*AA52+(1-EXP(-LN(2)/25))/(LN(2)/25)*Calculateur!V53*Calculateur!X53*VLOOKUP('Données projet'!$B$9,Paramètres!$A$1:$I$89,3,0)*0.475*44/12</f>
        <v>22.261435314181455</v>
      </c>
      <c r="AB53" s="21">
        <f>EXP(-LN(2)/2)*AB52+(1-EXP(-LN(2)/2))/(LN(2)/2)*V53*Y53*VLOOKUP('Données projet'!$B$9,Paramètres!$A$1:$I$89,3,0)*0.475*44/12</f>
        <v>3.5617081401400484E-2</v>
      </c>
      <c r="AC53" s="22">
        <f t="shared" si="3"/>
        <v>29.982050147309995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323.2</v>
      </c>
      <c r="AG53" s="12">
        <f>VLOOKUP(A53,'Données projet'!$A$61:$I$81,9,0)</f>
        <v>11.499999999999996</v>
      </c>
      <c r="AH53" s="12">
        <f t="array" ref="AH53">INDEX(AG:AG,MIN(IF(ISNUMBER(AG53:AG249),ROW(AG53:AG249),"")))</f>
        <v>11.499999999999996</v>
      </c>
      <c r="AI53" s="13">
        <f>IF('Données projet'!$A$62&gt;35,AI52+AH53-AQ52,IF(A53&lt;'Données projet'!$A$62,$AF$205^A53,IF(A53='Données projet'!$A$62,'Données projet'!$B$62,AI52+AH53-AQ52)))</f>
        <v>323.19999999999987</v>
      </c>
      <c r="AJ53" s="13">
        <f>AI53*VLOOKUP('Données projet'!$B$10,Paramètres!$A$1:$I$89,3,0)*VLOOKUP('Données projet'!$B$10,Paramètres!$A$1:$I$89,5,0)</f>
        <v>151.25759999999994</v>
      </c>
      <c r="AK53" s="13">
        <f t="shared" si="35"/>
        <v>38.864240713854024</v>
      </c>
      <c r="AL53" s="20">
        <f t="shared" si="4"/>
        <v>331.12887257662896</v>
      </c>
      <c r="AM53" s="59">
        <f t="shared" si="5"/>
        <v>624.46220590996222</v>
      </c>
      <c r="AN53" s="59">
        <f ca="1">AVERAGE(OFFSET($AM$3,0,0,'Données projet'!$E$10+1,1))-AVERAGE(OFFSET($H$3,0,0,'Données projet'!$E$10+1,1))</f>
        <v>252.98248842635206</v>
      </c>
      <c r="AO53" s="59">
        <f t="shared" si="36"/>
        <v>207.11938580878308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83.4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2.1094169908561335</v>
      </c>
      <c r="AV53" s="21">
        <f>EXP(-LN(2)/25)*AV52+(1-EXP(-LN(2)/25))/(LN(2)/25)*Calculateur!AQ53*Calculateur!AS53*VLOOKUP('Données projet'!$B$10,Paramètres!$A$1:$I$89,3,0)*0.475*44/12</f>
        <v>4.5117794905849333</v>
      </c>
      <c r="AW53" s="21">
        <f>EXP(-LN(2)/2)*AW52+(1-EXP(-LN(2)/2))/(LN(2)/2)*AQ53*AT53*VLOOKUP('Données projet'!$B$10,Paramètres!$A$1:$I$89,3,0)*0.475*44/12</f>
        <v>9.6017348440390546E-3</v>
      </c>
      <c r="AX53" s="21">
        <f t="shared" si="6"/>
        <v>6.6307982162851058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135</v>
      </c>
      <c r="BB53" s="12">
        <f>VLOOKUP(A53,'Données projet'!$A$87:$I$107,9,0)</f>
        <v>5.6</v>
      </c>
      <c r="BC53" s="12">
        <f t="array" ref="BC53">INDEX(BB:BB,MIN(IF(ISNUMBER(BB53:BB249),ROW(BB53:BB249),"")))</f>
        <v>5.6</v>
      </c>
      <c r="BD53" s="12">
        <f>IF('Données projet'!$A$88&gt;35,BD52+BC53-BL52,IF(A53&lt;'Données projet'!$A$88,$BA$205^A53,IF(A53='Données projet'!$A$88,'Données projet'!$B$88,BD52+BC53-BL52)))</f>
        <v>134.99999999999997</v>
      </c>
      <c r="BE53" s="13">
        <f>BD53*VLOOKUP('Données projet'!$B$11,Paramètres!$A$1:$I$89,3,0)*VLOOKUP('Données projet'!$B$11,Paramètres!$A$1:$I$89,5,0)</f>
        <v>88.451999999999984</v>
      </c>
      <c r="BF53" s="13">
        <f t="shared" si="37"/>
        <v>24.191508526943956</v>
      </c>
      <c r="BG53" s="20">
        <f t="shared" si="7"/>
        <v>196.18744401776067</v>
      </c>
      <c r="BH53" s="59">
        <f t="shared" si="8"/>
        <v>489.52077735109401</v>
      </c>
      <c r="BI53" s="59">
        <f ca="1">AVERAGE(OFFSET($BH$3,0,0,'Données projet'!$E$11+1,1))-AVERAGE(OFFSET($H$3,0,0,'Données projet'!$E$11+1,1))</f>
        <v>114.23168847330004</v>
      </c>
      <c r="BJ53" s="59">
        <f t="shared" si="38"/>
        <v>42.34857998136755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135</v>
      </c>
      <c r="BW53" s="12">
        <f>VLOOKUP(A53,'Données projet'!$A$113:$I$133,9,0)</f>
        <v>5.6</v>
      </c>
      <c r="BX53" s="12">
        <f t="array" ref="BX53">INDEX(BW:BW,MIN(IF(ISNUMBER(BW53:BW249),ROW(BW53:BW249),"")))</f>
        <v>5.6</v>
      </c>
      <c r="BY53" s="12">
        <f>IF('Données projet'!$A$114&gt;35,BY52+BX53-CG52,IF(A53&lt;'Données projet'!$A$114,$BV$205^A53,IF(A53='Données projet'!$A$114,'Données projet'!$B$114,BY52+BX53-CG52)))</f>
        <v>134.99999999999997</v>
      </c>
      <c r="BZ53" s="13">
        <f>BY53*VLOOKUP('Données projet'!$B$12,Paramètres!$A$1:$I$89,3,0)*VLOOKUP('Données projet'!$B$12,Paramètres!$A$1:$I$89,5,0)</f>
        <v>130.57199999999997</v>
      </c>
      <c r="CA53" s="13">
        <f t="shared" si="39"/>
        <v>34.12849794659828</v>
      </c>
      <c r="CB53" s="20">
        <f t="shared" si="10"/>
        <v>286.85336725699199</v>
      </c>
      <c r="CC53" s="59">
        <f t="shared" si="11"/>
        <v>580.18670059032524</v>
      </c>
      <c r="CD53" s="59">
        <f ca="1">AVERAGE(OFFSET($CC$3,0,0,'Données projet'!$E$12+1,1))-AVERAGE(OFFSET($H$3,0,0,'Données projet'!$E$12+1,1))</f>
        <v>201.36664523637006</v>
      </c>
      <c r="CE53" s="59">
        <f t="shared" si="40"/>
        <v>79.394119001888555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28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0.30099999999999999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13.661159810196979</v>
      </c>
      <c r="CM53" s="21">
        <f>EXP(-LN(2)/2)*CM52+(1-EXP(-LN(2)/2))/(LN(2)/2)*CG53*CJ53*VLOOKUP('Données projet'!$B$12,Paramètres!$A$1:$I$89,3,0)*0.475*44/12</f>
        <v>0.38499436341829613</v>
      </c>
      <c r="CN53" s="22">
        <f t="shared" si="12"/>
        <v>14.046154173615275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200</v>
      </c>
      <c r="CR53" s="12">
        <f>VLOOKUP(A53,'Données projet'!$A$139:$I$159,9,0)</f>
        <v>8.4</v>
      </c>
      <c r="CS53" s="12">
        <f t="array" ref="CS53">INDEX(CR:CR,MIN(IF(ISNUMBER(CR53:CR249),ROW(CR53:CR249),"")))</f>
        <v>8.4</v>
      </c>
      <c r="CT53" s="12">
        <f>IF('Données projet'!$A$140&gt;35,CT52+CS53-DB52,IF(A53&lt;'Données projet'!$A$140,$CQ$205^A53,IF(A53='Données projet'!$A$140,'Données projet'!$B$140,CT52+CS53-DB52)))</f>
        <v>200.00000000000003</v>
      </c>
      <c r="CU53" s="17">
        <f>CT53*VLOOKUP('Données projet'!$B$13,Paramètres!$A$1:$I$89,3,0)*VLOOKUP('Données projet'!$B$13,Paramètres!$A$1:$I$89,5,0)</f>
        <v>180.96000000000004</v>
      </c>
      <c r="CV53" s="13">
        <f t="shared" si="41"/>
        <v>45.535702314871763</v>
      </c>
      <c r="CW53" s="20">
        <f t="shared" si="13"/>
        <v>394.48001486506837</v>
      </c>
      <c r="CX53" s="59">
        <f t="shared" si="14"/>
        <v>687.81334819840163</v>
      </c>
      <c r="CY53" s="59">
        <f ca="1">AVERAGE(OFFSET($CX$3,0,0,'Données projet'!$E$13+1,1))-AVERAGE(OFFSET($H$3,0,0,'Données projet'!$E$13+1,1))</f>
        <v>282.08542131880455</v>
      </c>
      <c r="CZ53" s="59">
        <f t="shared" si="42"/>
        <v>174.27503468762325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42</v>
      </c>
      <c r="DC53" s="16">
        <f>IF(ISNA(VLOOKUP(A53,'Données projet'!$A$139:$I$159,5,0)),0%,VLOOKUP(A53,'Données projet'!$A$139:$I$159,5,0)*VLOOKUP('Données projet'!$B$13,Paramètres!$A$1:$I$89,7,0))</f>
        <v>0.129</v>
      </c>
      <c r="DD53" s="16">
        <f>IF(ISNA(VLOOKUP(A53,'Données projet'!$A$139:$I$159,6,0)),0%,VLOOKUP(A53,'Données projet'!$A$139:$I$159,6,0)*VLOOKUP('Données projet'!$B$13,Paramètres!$A$1:$I$89,7,0))</f>
        <v>0.30099999999999999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5.4192439695568568</v>
      </c>
      <c r="DG53" s="21">
        <f>EXP(-LN(2)/25)*DG52+(1-EXP(-LN(2)/25))/(LN(2)/25)*Calculateur!DB53*Calculateur!DD53*VLOOKUP('Données projet'!$B$13,Paramètres!$A$1:$I$89,3,0)*0.475*44/12</f>
        <v>22.980980920289667</v>
      </c>
      <c r="DH53" s="21">
        <f>EXP(-LN(2)/2)*DH52+(1-EXP(-LN(2)/2))/(LN(2)/2)*DB53*DE53*VLOOKUP('Données projet'!$B$13,Paramètres!$A$1:$I$89,3,0)*0.475*44/12</f>
        <v>0.57233126374799481</v>
      </c>
      <c r="DI53" s="22">
        <f t="shared" si="15"/>
        <v>28.972556153594518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241</v>
      </c>
      <c r="DM53" s="12">
        <f>VLOOKUP(A53,'Données projet'!$A$165:$I$185,9,0)</f>
        <v>7.7</v>
      </c>
      <c r="DN53" s="12">
        <f t="array" ref="DN53">INDEX(DM:DM,MIN(IF(ISNUMBER(DM53:DM249),ROW(DM53:DM249),"")))</f>
        <v>7.7</v>
      </c>
      <c r="DO53" s="12">
        <f>IF('Données projet'!$A$166&gt;35,DO52+DN53-DW52,IF(A53&lt;'Données projet'!$A$166,$DL$205^A53,IF(A53='Données projet'!$A$166,'Données projet'!$B$166,DO52+DN53-DW52)))</f>
        <v>240.99999999999974</v>
      </c>
      <c r="DP53" s="17">
        <f>DO53*VLOOKUP('Données projet'!$B$14,Paramètres!$A$1:$I$89,3,0)*VLOOKUP('Données projet'!$B$14,Paramètres!$A$1:$I$89,5,0)</f>
        <v>195.4991999999998</v>
      </c>
      <c r="DQ53" s="13">
        <f t="shared" si="43"/>
        <v>48.75372162220922</v>
      </c>
      <c r="DR53" s="20">
        <f t="shared" si="16"/>
        <v>425.4071718253474</v>
      </c>
      <c r="DS53" s="59">
        <f t="shared" si="17"/>
        <v>718.74050515868066</v>
      </c>
      <c r="DT53" s="59">
        <f ca="1">AVERAGE(OFFSET($DS$3,0,0,'Données projet'!$E$14+1,1))-AVERAGE(OFFSET($H$3,0,0,'Données projet'!$E$14+1,1))</f>
        <v>235.31102883830971</v>
      </c>
      <c r="DU53" s="59">
        <f t="shared" si="44"/>
        <v>271.48630853790422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39</v>
      </c>
      <c r="DX53" s="16">
        <f>IF(ISNA(VLOOKUP(A53,'Données projet'!$A$165:$I$185,5,0)),0%,VLOOKUP(A53,'Données projet'!$A$165:$I$185,5,0)*VLOOKUP('Données projet'!$B$14,Paramètres!$A$1:$I$89,7,0))</f>
        <v>0.129</v>
      </c>
      <c r="DY53" s="16">
        <f>IF(ISNA(VLOOKUP(A53,'Données projet'!$A$165:$I$185,6,0)),0%,VLOOKUP(A53,'Données projet'!$A$165:$I$185,6,0)*VLOOKUP('Données projet'!$B$14,Paramètres!$A$1:$I$89,7,0))</f>
        <v>0.30099999999999999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4.5115873441138374</v>
      </c>
      <c r="EB53" s="21">
        <f>EXP(-LN(2)/25)*EB52+(1-EXP(-LN(2)/25))/(LN(2)/25)*Calculateur!DW53*Calculateur!DY53*VLOOKUP('Données projet'!$B$14,Paramètres!$A$1:$I$89,3,0)*0.475*44/12</f>
        <v>24.812745927342565</v>
      </c>
      <c r="EC53" s="21">
        <f>EXP(-LN(2)/2)*EC52+(1-EXP(-LN(2)/2))/(LN(2)/2)*DW53*DZ53*VLOOKUP('Données projet'!$B$14,Paramètres!$A$1:$I$89,3,0)*0.475*44/12</f>
        <v>0.69064401036149592</v>
      </c>
      <c r="ED53" s="22">
        <f t="shared" si="18"/>
        <v>30.014977281817899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19.3</v>
      </c>
      <c r="N54" s="13">
        <f>IF('Données projet'!$A$36&gt;35,N53+M54-V53,IF(A54&lt;'Données projet'!$A$36,$K$205^A54,IF(A54='Données projet'!$A$36,'Données projet'!$B$36,N53+M54-V53)))</f>
        <v>505.29999999999984</v>
      </c>
      <c r="O54" s="13">
        <f>N54*VLOOKUP('Données projet'!$B$9,Paramètres!$A$1:$I$89,3,0)*VLOOKUP('Données projet'!$B$9,Paramètres!$A$1:$I$89,5,0)</f>
        <v>282.46269999999993</v>
      </c>
      <c r="P54" s="13">
        <f t="shared" si="33"/>
        <v>67.487182645718548</v>
      </c>
      <c r="Q54" s="20">
        <f t="shared" si="53"/>
        <v>609.49604560795967</v>
      </c>
      <c r="R54" s="59">
        <f t="shared" si="0"/>
        <v>902.82937894129304</v>
      </c>
      <c r="S54" s="59">
        <f ca="1">AVERAGE(OFFSET($R$3,0,0,'Données projet'!$E$9+1,1))-AVERAGE(OFFSET($H$3,0,0,'Données projet'!$E$9+1,1))</f>
        <v>446.28010102877403</v>
      </c>
      <c r="T54" s="59">
        <f t="shared" si="34"/>
        <v>445.84011537290456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7.5342996332015586</v>
      </c>
      <c r="AA54" s="21">
        <f>EXP(-LN(2)/25)*AA53+(1-EXP(-LN(2)/25))/(LN(2)/25)*Calculateur!V54*Calculateur!X54*VLOOKUP('Données projet'!$B$9,Paramètres!$A$1:$I$89,3,0)*0.475*44/12</f>
        <v>21.652695194837158</v>
      </c>
      <c r="AB54" s="21">
        <f>EXP(-LN(2)/2)*AB53+(1-EXP(-LN(2)/2))/(LN(2)/2)*V54*Y54*VLOOKUP('Données projet'!$B$9,Paramètres!$A$1:$I$89,3,0)*0.475*44/12</f>
        <v>2.5185079785003544E-2</v>
      </c>
      <c r="AC54" s="22">
        <f t="shared" si="3"/>
        <v>29.212179907823721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13.499999999999996</v>
      </c>
      <c r="AI54" s="13">
        <f>IF('Données projet'!$A$62&gt;35,AI53+AH54-AQ53,IF(A54&lt;'Données projet'!$A$62,$AF$205^A54,IF(A54='Données projet'!$A$62,'Données projet'!$B$62,AI53+AH54-AQ53)))</f>
        <v>253.29999999999987</v>
      </c>
      <c r="AJ54" s="13">
        <f>AI54*VLOOKUP('Données projet'!$B$10,Paramètres!$A$1:$I$89,3,0)*VLOOKUP('Données projet'!$B$10,Paramètres!$A$1:$I$89,5,0)</f>
        <v>118.54439999999994</v>
      </c>
      <c r="AK54" s="13">
        <f t="shared" si="35"/>
        <v>31.3352637371359</v>
      </c>
      <c r="AL54" s="20">
        <f t="shared" si="4"/>
        <v>261.04041434217822</v>
      </c>
      <c r="AM54" s="59">
        <f t="shared" si="5"/>
        <v>554.37374767551159</v>
      </c>
      <c r="AN54" s="59">
        <f ca="1">AVERAGE(OFFSET($AM$3,0,0,'Données projet'!$E$10+1,1))-AVERAGE(OFFSET($H$3,0,0,'Données projet'!$E$10+1,1))</f>
        <v>252.98248842635206</v>
      </c>
      <c r="AO54" s="59">
        <f t="shared" si="36"/>
        <v>207.11938580878308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2.0680526102827663</v>
      </c>
      <c r="AV54" s="21">
        <f>EXP(-LN(2)/25)*AV53+(1-EXP(-LN(2)/25))/(LN(2)/25)*Calculateur!AQ54*Calculateur!AS54*VLOOKUP('Données projet'!$B$10,Paramètres!$A$1:$I$89,3,0)*0.475*44/12</f>
        <v>4.3884046431507171</v>
      </c>
      <c r="AW54" s="21">
        <f>EXP(-LN(2)/2)*AW53+(1-EXP(-LN(2)/2))/(LN(2)/2)*AQ54*AT54*VLOOKUP('Données projet'!$B$10,Paramètres!$A$1:$I$89,3,0)*0.475*44/12</f>
        <v>6.7894518193751729E-3</v>
      </c>
      <c r="AX54" s="21">
        <f t="shared" si="6"/>
        <v>6.4632467052528586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5.5</v>
      </c>
      <c r="BD54" s="12">
        <f>IF('Données projet'!$A$88&gt;35,BD53+BC54-BL53,IF(A54&lt;'Données projet'!$A$88,$BA$205^A54,IF(A54='Données projet'!$A$88,'Données projet'!$B$88,BD53+BC54-BL53)))</f>
        <v>112.49999999999997</v>
      </c>
      <c r="BE54" s="13">
        <f>BD54*VLOOKUP('Données projet'!$B$11,Paramètres!$A$1:$I$89,3,0)*VLOOKUP('Données projet'!$B$11,Paramètres!$A$1:$I$89,5,0)</f>
        <v>73.70999999999998</v>
      </c>
      <c r="BF54" s="13">
        <f t="shared" si="37"/>
        <v>20.591993942534767</v>
      </c>
      <c r="BG54" s="20">
        <f t="shared" si="7"/>
        <v>164.24263944991466</v>
      </c>
      <c r="BH54" s="59">
        <f t="shared" si="8"/>
        <v>457.57597278324795</v>
      </c>
      <c r="BI54" s="59">
        <f ca="1">AVERAGE(OFFSET($BH$3,0,0,'Données projet'!$E$11+1,1))-AVERAGE(OFFSET($H$3,0,0,'Données projet'!$E$11+1,1))</f>
        <v>114.23168847330004</v>
      </c>
      <c r="BJ54" s="59">
        <f t="shared" si="38"/>
        <v>42.34857998136755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5.5</v>
      </c>
      <c r="BY54" s="12">
        <f>IF('Données projet'!$A$114&gt;35,BY53+BX54-CG53,IF(A54&lt;'Données projet'!$A$114,$BV$205^A54,IF(A54='Données projet'!$A$114,'Données projet'!$B$114,BY53+BX54-CG53)))</f>
        <v>112.49999999999997</v>
      </c>
      <c r="BZ54" s="13">
        <f>BY54*VLOOKUP('Données projet'!$B$12,Paramètres!$A$1:$I$89,3,0)*VLOOKUP('Données projet'!$B$12,Paramètres!$A$1:$I$89,5,0)</f>
        <v>108.80999999999999</v>
      </c>
      <c r="CA54" s="13">
        <f t="shared" si="39"/>
        <v>29.05043404802263</v>
      </c>
      <c r="CB54" s="20">
        <f t="shared" si="10"/>
        <v>240.10692263363936</v>
      </c>
      <c r="CC54" s="59">
        <f t="shared" si="11"/>
        <v>533.4402559669727</v>
      </c>
      <c r="CD54" s="59">
        <f ca="1">AVERAGE(OFFSET($CC$3,0,0,'Données projet'!$E$12+1,1))-AVERAGE(OFFSET($H$3,0,0,'Données projet'!$E$12+1,1))</f>
        <v>201.36664523637006</v>
      </c>
      <c r="CE54" s="59">
        <f t="shared" si="40"/>
        <v>79.394119001888555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13.287594676777971</v>
      </c>
      <c r="CM54" s="21">
        <f>EXP(-LN(2)/2)*CM53+(1-EXP(-LN(2)/2))/(LN(2)/2)*CG54*CJ54*VLOOKUP('Données projet'!$B$12,Paramètres!$A$1:$I$89,3,0)*0.475*44/12</f>
        <v>0.27223212509167527</v>
      </c>
      <c r="CN54" s="22">
        <f t="shared" si="12"/>
        <v>13.559826801869646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7.7</v>
      </c>
      <c r="CT54" s="12">
        <f>IF('Données projet'!$A$140&gt;35,CT53+CS54-DB53,IF(A54&lt;'Données projet'!$A$140,$CQ$205^A54,IF(A54='Données projet'!$A$140,'Données projet'!$B$140,CT53+CS54-DB53)))</f>
        <v>165.70000000000002</v>
      </c>
      <c r="CU54" s="17">
        <f>CT54*VLOOKUP('Données projet'!$B$13,Paramètres!$A$1:$I$89,3,0)*VLOOKUP('Données projet'!$B$13,Paramètres!$A$1:$I$89,5,0)</f>
        <v>149.92536000000001</v>
      </c>
      <c r="CV54" s="13">
        <f t="shared" si="41"/>
        <v>38.561622921696255</v>
      </c>
      <c r="CW54" s="20">
        <f t="shared" si="13"/>
        <v>328.28149525528767</v>
      </c>
      <c r="CX54" s="59">
        <f t="shared" si="14"/>
        <v>621.61482858862098</v>
      </c>
      <c r="CY54" s="59">
        <f ca="1">AVERAGE(OFFSET($CX$3,0,0,'Données projet'!$E$13+1,1))-AVERAGE(OFFSET($H$3,0,0,'Données projet'!$E$13+1,1))</f>
        <v>282.08542131880455</v>
      </c>
      <c r="CZ54" s="59">
        <f t="shared" si="42"/>
        <v>174.27503468762325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5.3129759007262862</v>
      </c>
      <c r="DG54" s="21">
        <f>EXP(-LN(2)/25)*DG53+(1-EXP(-LN(2)/25))/(LN(2)/25)*Calculateur!DB54*Calculateur!DD54*VLOOKUP('Données projet'!$B$13,Paramètres!$A$1:$I$89,3,0)*0.475*44/12</f>
        <v>22.352564788507085</v>
      </c>
      <c r="DH54" s="21">
        <f>EXP(-LN(2)/2)*DH53+(1-EXP(-LN(2)/2))/(LN(2)/2)*DB54*DE54*VLOOKUP('Données projet'!$B$13,Paramètres!$A$1:$I$89,3,0)*0.475*44/12</f>
        <v>0.4046993176812736</v>
      </c>
      <c r="DI54" s="22">
        <f t="shared" si="15"/>
        <v>28.070240006914645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5.6</v>
      </c>
      <c r="DO54" s="12">
        <f>IF('Données projet'!$A$166&gt;35,DO53+DN54-DW53,IF(A54&lt;'Données projet'!$A$166,$DL$205^A54,IF(A54='Données projet'!$A$166,'Données projet'!$B$166,DO53+DN54-DW53)))</f>
        <v>207.59999999999974</v>
      </c>
      <c r="DP54" s="17">
        <f>DO54*VLOOKUP('Données projet'!$B$14,Paramètres!$A$1:$I$89,3,0)*VLOOKUP('Données projet'!$B$14,Paramètres!$A$1:$I$89,5,0)</f>
        <v>168.40511999999981</v>
      </c>
      <c r="DQ54" s="13">
        <f t="shared" si="43"/>
        <v>42.732627800243563</v>
      </c>
      <c r="DR54" s="20">
        <f t="shared" si="16"/>
        <v>367.73157741875724</v>
      </c>
      <c r="DS54" s="59">
        <f t="shared" si="17"/>
        <v>661.06491075209055</v>
      </c>
      <c r="DT54" s="59">
        <f ca="1">AVERAGE(OFFSET($DS$3,0,0,'Données projet'!$E$14+1,1))-AVERAGE(OFFSET($H$3,0,0,'Données projet'!$E$14+1,1))</f>
        <v>235.31102883830971</v>
      </c>
      <c r="DU54" s="59">
        <f t="shared" si="44"/>
        <v>271.48630853790422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4.4231178680923273</v>
      </c>
      <c r="EB54" s="21">
        <f>EXP(-LN(2)/25)*EB53+(1-EXP(-LN(2)/25))/(LN(2)/25)*Calculateur!DW54*Calculateur!DY54*VLOOKUP('Données projet'!$B$14,Paramètres!$A$1:$I$89,3,0)*0.475*44/12</f>
        <v>24.134240085113785</v>
      </c>
      <c r="EC54" s="21">
        <f>EXP(-LN(2)/2)*EC53+(1-EXP(-LN(2)/2))/(LN(2)/2)*DW54*DZ54*VLOOKUP('Données projet'!$B$14,Paramètres!$A$1:$I$89,3,0)*0.475*44/12</f>
        <v>0.488359063112486</v>
      </c>
      <c r="ED54" s="22">
        <f t="shared" si="18"/>
        <v>29.045717016318598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19.3</v>
      </c>
      <c r="N55" s="13">
        <f>IF('Données projet'!$A$36&gt;35,N54+M55-V54,IF(A55&lt;'Données projet'!$A$36,$K$205^A55,IF(A55='Données projet'!$A$36,'Données projet'!$B$36,N54+M55-V54)))</f>
        <v>524.5999999999998</v>
      </c>
      <c r="O55" s="13">
        <f>N55*VLOOKUP('Données projet'!$B$9,Paramètres!$A$1:$I$89,3,0)*VLOOKUP('Données projet'!$B$9,Paramètres!$A$1:$I$89,5,0)</f>
        <v>293.25139999999988</v>
      </c>
      <c r="P55" s="13">
        <f t="shared" si="33"/>
        <v>69.759829754702025</v>
      </c>
      <c r="Q55" s="20">
        <f t="shared" si="53"/>
        <v>632.2445584894391</v>
      </c>
      <c r="R55" s="59">
        <f t="shared" si="0"/>
        <v>925.57789182277247</v>
      </c>
      <c r="S55" s="59">
        <f ca="1">AVERAGE(OFFSET($R$3,0,0,'Données projet'!$E$9+1,1))-AVERAGE(OFFSET($H$3,0,0,'Données projet'!$E$9+1,1))</f>
        <v>446.28010102877403</v>
      </c>
      <c r="T55" s="59">
        <f t="shared" si="34"/>
        <v>445.84011537290456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7.3865566128634876</v>
      </c>
      <c r="AA55" s="21">
        <f>EXP(-LN(2)/25)*AA54+(1-EXP(-LN(2)/25))/(LN(2)/25)*Calculateur!V55*Calculateur!X55*VLOOKUP('Données projet'!$B$9,Paramètres!$A$1:$I$89,3,0)*0.475*44/12</f>
        <v>21.060601106068582</v>
      </c>
      <c r="AB55" s="21">
        <f>EXP(-LN(2)/2)*AB54+(1-EXP(-LN(2)/2))/(LN(2)/2)*V55*Y55*VLOOKUP('Données projet'!$B$9,Paramètres!$A$1:$I$89,3,0)*0.475*44/12</f>
        <v>1.7808540700700242E-2</v>
      </c>
      <c r="AC55" s="22">
        <f t="shared" si="3"/>
        <v>28.464966259632767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13.499999999999996</v>
      </c>
      <c r="AI55" s="13">
        <f>IF('Données projet'!$A$62&gt;35,AI54+AH55-AQ54,IF(A55&lt;'Données projet'!$A$62,$AF$205^A55,IF(A55='Données projet'!$A$62,'Données projet'!$B$62,AI54+AH55-AQ54)))</f>
        <v>266.79999999999984</v>
      </c>
      <c r="AJ55" s="13">
        <f>AI55*VLOOKUP('Données projet'!$B$10,Paramètres!$A$1:$I$89,3,0)*VLOOKUP('Données projet'!$B$10,Paramètres!$A$1:$I$89,5,0)</f>
        <v>124.86239999999994</v>
      </c>
      <c r="AK55" s="13">
        <f t="shared" si="35"/>
        <v>32.80643928056157</v>
      </c>
      <c r="AL55" s="20">
        <f t="shared" si="4"/>
        <v>274.60656174697795</v>
      </c>
      <c r="AM55" s="59">
        <f t="shared" si="5"/>
        <v>567.93989508031132</v>
      </c>
      <c r="AN55" s="59">
        <f ca="1">AVERAGE(OFFSET($AM$3,0,0,'Données projet'!$E$10+1,1))-AVERAGE(OFFSET($H$3,0,0,'Données projet'!$E$10+1,1))</f>
        <v>252.98248842635206</v>
      </c>
      <c r="AO55" s="59">
        <f t="shared" si="36"/>
        <v>207.11938580878308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2.0274993599826621</v>
      </c>
      <c r="AV55" s="21">
        <f>EXP(-LN(2)/25)*AV54+(1-EXP(-LN(2)/25))/(LN(2)/25)*Calculateur!AQ55*Calculateur!AS55*VLOOKUP('Données projet'!$B$10,Paramètres!$A$1:$I$89,3,0)*0.475*44/12</f>
        <v>4.26840348740759</v>
      </c>
      <c r="AW55" s="21">
        <f>EXP(-LN(2)/2)*AW54+(1-EXP(-LN(2)/2))/(LN(2)/2)*AQ55*AT55*VLOOKUP('Données projet'!$B$10,Paramètres!$A$1:$I$89,3,0)*0.475*44/12</f>
        <v>4.8008674220195273E-3</v>
      </c>
      <c r="AX55" s="21">
        <f t="shared" si="6"/>
        <v>6.300703714812272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5.5</v>
      </c>
      <c r="BD55" s="12">
        <f>IF('Données projet'!$A$88&gt;35,BD54+BC55-BL54,IF(A55&lt;'Données projet'!$A$88,$BA$205^A55,IF(A55='Données projet'!$A$88,'Données projet'!$B$88,BD54+BC55-BL54)))</f>
        <v>117.99999999999997</v>
      </c>
      <c r="BE55" s="13">
        <f>BD55*VLOOKUP('Données projet'!$B$11,Paramètres!$A$1:$I$89,3,0)*VLOOKUP('Données projet'!$B$11,Paramètres!$A$1:$I$89,5,0)</f>
        <v>77.31359999999998</v>
      </c>
      <c r="BF55" s="13">
        <f t="shared" si="37"/>
        <v>21.479045333592058</v>
      </c>
      <c r="BG55" s="20">
        <f t="shared" si="7"/>
        <v>172.06385728933944</v>
      </c>
      <c r="BH55" s="59">
        <f t="shared" si="8"/>
        <v>465.39719062267272</v>
      </c>
      <c r="BI55" s="59">
        <f ca="1">AVERAGE(OFFSET($BH$3,0,0,'Données projet'!$E$11+1,1))-AVERAGE(OFFSET($H$3,0,0,'Données projet'!$E$11+1,1))</f>
        <v>114.23168847330004</v>
      </c>
      <c r="BJ55" s="59">
        <f t="shared" si="38"/>
        <v>42.34857998136755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5.5</v>
      </c>
      <c r="BY55" s="12">
        <f>IF('Données projet'!$A$114&gt;35,BY54+BX55-CG54,IF(A55&lt;'Données projet'!$A$114,$BV$205^A55,IF(A55='Données projet'!$A$114,'Données projet'!$B$114,BY54+BX55-CG54)))</f>
        <v>117.99999999999997</v>
      </c>
      <c r="BZ55" s="13">
        <f>BY55*VLOOKUP('Données projet'!$B$12,Paramètres!$A$1:$I$89,3,0)*VLOOKUP('Données projet'!$B$12,Paramètres!$A$1:$I$89,5,0)</f>
        <v>114.12959999999998</v>
      </c>
      <c r="CA55" s="13">
        <f t="shared" si="39"/>
        <v>30.301853799069058</v>
      </c>
      <c r="CB55" s="20">
        <f t="shared" si="10"/>
        <v>251.5514487000452</v>
      </c>
      <c r="CC55" s="59">
        <f t="shared" si="11"/>
        <v>544.88478203337854</v>
      </c>
      <c r="CD55" s="59">
        <f ca="1">AVERAGE(OFFSET($CC$3,0,0,'Données projet'!$E$12+1,1))-AVERAGE(OFFSET($H$3,0,0,'Données projet'!$E$12+1,1))</f>
        <v>201.36664523637006</v>
      </c>
      <c r="CE55" s="59">
        <f t="shared" si="40"/>
        <v>79.394119001888555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12.924244701577242</v>
      </c>
      <c r="CM55" s="21">
        <f>EXP(-LN(2)/2)*CM54+(1-EXP(-LN(2)/2))/(LN(2)/2)*CG55*CJ55*VLOOKUP('Données projet'!$B$12,Paramètres!$A$1:$I$89,3,0)*0.475*44/12</f>
        <v>0.19249718170914806</v>
      </c>
      <c r="CN55" s="22">
        <f t="shared" si="12"/>
        <v>13.116741883286391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7.7</v>
      </c>
      <c r="CT55" s="12">
        <f>IF('Données projet'!$A$140&gt;35,CT54+CS55-DB54,IF(A55&lt;'Données projet'!$A$140,$CQ$205^A55,IF(A55='Données projet'!$A$140,'Données projet'!$B$140,CT54+CS55-DB54)))</f>
        <v>173.4</v>
      </c>
      <c r="CU55" s="17">
        <f>CT55*VLOOKUP('Données projet'!$B$13,Paramètres!$A$1:$I$89,3,0)*VLOOKUP('Données projet'!$B$13,Paramètres!$A$1:$I$89,5,0)</f>
        <v>156.89232000000001</v>
      </c>
      <c r="CV55" s="13">
        <f t="shared" si="41"/>
        <v>40.140771359113288</v>
      </c>
      <c r="CW55" s="20">
        <f t="shared" si="13"/>
        <v>343.16596745045564</v>
      </c>
      <c r="CX55" s="59">
        <f t="shared" si="14"/>
        <v>636.49930078378895</v>
      </c>
      <c r="CY55" s="59">
        <f ca="1">AVERAGE(OFFSET($CX$3,0,0,'Données projet'!$E$13+1,1))-AVERAGE(OFFSET($H$3,0,0,'Données projet'!$E$13+1,1))</f>
        <v>282.08542131880455</v>
      </c>
      <c r="CZ55" s="59">
        <f t="shared" si="42"/>
        <v>174.27503468762325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5.2087916839083608</v>
      </c>
      <c r="DG55" s="21">
        <f>EXP(-LN(2)/25)*DG54+(1-EXP(-LN(2)/25))/(LN(2)/25)*Calculateur!DB55*Calculateur!DD55*VLOOKUP('Données projet'!$B$13,Paramètres!$A$1:$I$89,3,0)*0.475*44/12</f>
        <v>21.741332728895063</v>
      </c>
      <c r="DH55" s="21">
        <f>EXP(-LN(2)/2)*DH54+(1-EXP(-LN(2)/2))/(LN(2)/2)*DB55*DE55*VLOOKUP('Données projet'!$B$13,Paramètres!$A$1:$I$89,3,0)*0.475*44/12</f>
        <v>0.28616563187399741</v>
      </c>
      <c r="DI55" s="22">
        <f t="shared" si="15"/>
        <v>27.236290044677425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5.6</v>
      </c>
      <c r="DO55" s="12">
        <f>IF('Données projet'!$A$166&gt;35,DO54+DN55-DW54,IF(A55&lt;'Données projet'!$A$166,$DL$205^A55,IF(A55='Données projet'!$A$166,'Données projet'!$B$166,DO54+DN55-DW54)))</f>
        <v>213.19999999999973</v>
      </c>
      <c r="DP55" s="17">
        <f>DO55*VLOOKUP('Données projet'!$B$14,Paramètres!$A$1:$I$89,3,0)*VLOOKUP('Données projet'!$B$14,Paramètres!$A$1:$I$89,5,0)</f>
        <v>172.94783999999979</v>
      </c>
      <c r="DQ55" s="13">
        <f t="shared" si="43"/>
        <v>43.749579650767998</v>
      </c>
      <c r="DR55" s="20">
        <f t="shared" si="16"/>
        <v>377.41467255842053</v>
      </c>
      <c r="DS55" s="59">
        <f t="shared" si="17"/>
        <v>670.74800589175379</v>
      </c>
      <c r="DT55" s="59">
        <f ca="1">AVERAGE(OFFSET($DS$3,0,0,'Données projet'!$E$14+1,1))-AVERAGE(OFFSET($H$3,0,0,'Données projet'!$E$14+1,1))</f>
        <v>235.31102883830971</v>
      </c>
      <c r="DU55" s="59">
        <f t="shared" si="44"/>
        <v>271.48630853790422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4.3363832245345471</v>
      </c>
      <c r="EB55" s="21">
        <f>EXP(-LN(2)/25)*EB54+(1-EXP(-LN(2)/25))/(LN(2)/25)*Calculateur!DW55*Calculateur!DY55*VLOOKUP('Données projet'!$B$14,Paramètres!$A$1:$I$89,3,0)*0.475*44/12</f>
        <v>23.47428802082182</v>
      </c>
      <c r="EC55" s="21">
        <f>EXP(-LN(2)/2)*EC54+(1-EXP(-LN(2)/2))/(LN(2)/2)*DW55*DZ55*VLOOKUP('Données projet'!$B$14,Paramètres!$A$1:$I$89,3,0)*0.475*44/12</f>
        <v>0.34532200518074802</v>
      </c>
      <c r="ED55" s="22">
        <f t="shared" si="18"/>
        <v>28.155993250537115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19.3</v>
      </c>
      <c r="N56" s="13">
        <f>IF('Données projet'!$A$36&gt;35,N55+M56-V55,IF(A56&lt;'Données projet'!$A$36,$K$205^A56,IF(A56='Données projet'!$A$36,'Données projet'!$B$36,N55+M56-V55)))</f>
        <v>543.89999999999975</v>
      </c>
      <c r="O56" s="13">
        <f>N56*VLOOKUP('Données projet'!$B$9,Paramètres!$A$1:$I$89,3,0)*VLOOKUP('Données projet'!$B$9,Paramètres!$A$1:$I$89,5,0)</f>
        <v>304.04009999999988</v>
      </c>
      <c r="P56" s="13">
        <f t="shared" si="33"/>
        <v>72.022763091018376</v>
      </c>
      <c r="Q56" s="20">
        <f t="shared" si="53"/>
        <v>654.97615321685669</v>
      </c>
      <c r="R56" s="59">
        <f t="shared" si="0"/>
        <v>948.30948655019006</v>
      </c>
      <c r="S56" s="59">
        <f ca="1">AVERAGE(OFFSET($R$3,0,0,'Données projet'!$E$9+1,1))-AVERAGE(OFFSET($H$3,0,0,'Données projet'!$E$9+1,1))</f>
        <v>446.28010102877403</v>
      </c>
      <c r="T56" s="59">
        <f t="shared" si="34"/>
        <v>445.84011537290456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7.2417107430399019</v>
      </c>
      <c r="AA56" s="21">
        <f>EXP(-LN(2)/25)*AA55+(1-EXP(-LN(2)/25))/(LN(2)/25)*Calculateur!V56*Calculateur!X56*VLOOKUP('Données projet'!$B$9,Paramètres!$A$1:$I$89,3,0)*0.475*44/12</f>
        <v>20.484697861294258</v>
      </c>
      <c r="AB56" s="21">
        <f>EXP(-LN(2)/2)*AB55+(1-EXP(-LN(2)/2))/(LN(2)/2)*V56*Y56*VLOOKUP('Données projet'!$B$9,Paramètres!$A$1:$I$89,3,0)*0.475*44/12</f>
        <v>1.2592539892501772E-2</v>
      </c>
      <c r="AC56" s="22">
        <f t="shared" si="3"/>
        <v>27.739001144226663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13.499999999999996</v>
      </c>
      <c r="AI56" s="13">
        <f>IF('Données projet'!$A$62&gt;35,AI55+AH56-AQ55,IF(A56&lt;'Données projet'!$A$62,$AF$205^A56,IF(A56='Données projet'!$A$62,'Données projet'!$B$62,AI55+AH56-AQ55)))</f>
        <v>280.29999999999984</v>
      </c>
      <c r="AJ56" s="13">
        <f>AI56*VLOOKUP('Données projet'!$B$10,Paramètres!$A$1:$I$89,3,0)*VLOOKUP('Données projet'!$B$10,Paramètres!$A$1:$I$89,5,0)</f>
        <v>131.18039999999993</v>
      </c>
      <c r="AK56" s="13">
        <f t="shared" si="35"/>
        <v>34.268971460239172</v>
      </c>
      <c r="AL56" s="20">
        <f t="shared" si="4"/>
        <v>288.15765529324972</v>
      </c>
      <c r="AM56" s="59">
        <f t="shared" si="5"/>
        <v>581.49098862658298</v>
      </c>
      <c r="AN56" s="59">
        <f ca="1">AVERAGE(OFFSET($AM$3,0,0,'Données projet'!$E$10+1,1))-AVERAGE(OFFSET($H$3,0,0,'Données projet'!$E$10+1,1))</f>
        <v>252.98248842635206</v>
      </c>
      <c r="AO56" s="59">
        <f t="shared" si="36"/>
        <v>207.11938580878308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1.9877413341859023</v>
      </c>
      <c r="AV56" s="21">
        <f>EXP(-LN(2)/25)*AV55+(1-EXP(-LN(2)/25))/(LN(2)/25)*Calculateur!AQ56*Calculateur!AS56*VLOOKUP('Données projet'!$B$10,Paramètres!$A$1:$I$89,3,0)*0.475*44/12</f>
        <v>4.1516837695788453</v>
      </c>
      <c r="AW56" s="21">
        <f>EXP(-LN(2)/2)*AW55+(1-EXP(-LN(2)/2))/(LN(2)/2)*AQ56*AT56*VLOOKUP('Données projet'!$B$10,Paramètres!$A$1:$I$89,3,0)*0.475*44/12</f>
        <v>3.3947259096875865E-3</v>
      </c>
      <c r="AX56" s="21">
        <f t="shared" si="6"/>
        <v>6.1428198296744343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5.5</v>
      </c>
      <c r="BD56" s="12">
        <f>IF('Données projet'!$A$88&gt;35,BD55+BC56-BL55,IF(A56&lt;'Données projet'!$A$88,$BA$205^A56,IF(A56='Données projet'!$A$88,'Données projet'!$B$88,BD55+BC56-BL55)))</f>
        <v>123.49999999999997</v>
      </c>
      <c r="BE56" s="13">
        <f>BD56*VLOOKUP('Données projet'!$B$11,Paramètres!$A$1:$I$89,3,0)*VLOOKUP('Données projet'!$B$11,Paramètres!$A$1:$I$89,5,0)</f>
        <v>80.91719999999998</v>
      </c>
      <c r="BF56" s="13">
        <f t="shared" si="37"/>
        <v>22.361295290994434</v>
      </c>
      <c r="BG56" s="20">
        <f t="shared" si="7"/>
        <v>179.87671263181528</v>
      </c>
      <c r="BH56" s="59">
        <f t="shared" si="8"/>
        <v>473.21004596514859</v>
      </c>
      <c r="BI56" s="59">
        <f ca="1">AVERAGE(OFFSET($BH$3,0,0,'Données projet'!$E$11+1,1))-AVERAGE(OFFSET($H$3,0,0,'Données projet'!$E$11+1,1))</f>
        <v>114.23168847330004</v>
      </c>
      <c r="BJ56" s="59">
        <f t="shared" si="38"/>
        <v>42.34857998136755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5.5</v>
      </c>
      <c r="BY56" s="12">
        <f>IF('Données projet'!$A$114&gt;35,BY55+BX56-CG55,IF(A56&lt;'Données projet'!$A$114,$BV$205^A56,IF(A56='Données projet'!$A$114,'Données projet'!$B$114,BY55+BX56-CG55)))</f>
        <v>123.49999999999997</v>
      </c>
      <c r="BZ56" s="13">
        <f>BY56*VLOOKUP('Données projet'!$B$12,Paramètres!$A$1:$I$89,3,0)*VLOOKUP('Données projet'!$B$12,Paramètres!$A$1:$I$89,5,0)</f>
        <v>119.44919999999998</v>
      </c>
      <c r="CA56" s="13">
        <f t="shared" si="39"/>
        <v>31.546499862627162</v>
      </c>
      <c r="CB56" s="20">
        <f t="shared" si="10"/>
        <v>262.98417726074223</v>
      </c>
      <c r="CC56" s="59">
        <f t="shared" si="11"/>
        <v>556.31751059407554</v>
      </c>
      <c r="CD56" s="59">
        <f ca="1">AVERAGE(OFFSET($CC$3,0,0,'Données projet'!$E$12+1,1))-AVERAGE(OFFSET($H$3,0,0,'Données projet'!$E$12+1,1))</f>
        <v>201.36664523637006</v>
      </c>
      <c r="CE56" s="59">
        <f t="shared" si="40"/>
        <v>79.394119001888555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12.570830550556122</v>
      </c>
      <c r="CM56" s="21">
        <f>EXP(-LN(2)/2)*CM55+(1-EXP(-LN(2)/2))/(LN(2)/2)*CG56*CJ56*VLOOKUP('Données projet'!$B$12,Paramètres!$A$1:$I$89,3,0)*0.475*44/12</f>
        <v>0.13611606254583763</v>
      </c>
      <c r="CN56" s="22">
        <f t="shared" si="12"/>
        <v>12.706946613101961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7.7</v>
      </c>
      <c r="CT56" s="12">
        <f>IF('Données projet'!$A$140&gt;35,CT55+CS56-DB55,IF(A56&lt;'Données projet'!$A$140,$CQ$205^A56,IF(A56='Données projet'!$A$140,'Données projet'!$B$140,CT55+CS56-DB55)))</f>
        <v>181.1</v>
      </c>
      <c r="CU56" s="17">
        <f>CT56*VLOOKUP('Données projet'!$B$13,Paramètres!$A$1:$I$89,3,0)*VLOOKUP('Données projet'!$B$13,Paramètres!$A$1:$I$89,5,0)</f>
        <v>163.85927999999998</v>
      </c>
      <c r="CV56" s="13">
        <f t="shared" si="41"/>
        <v>41.711775634735801</v>
      </c>
      <c r="CW56" s="20">
        <f t="shared" si="13"/>
        <v>358.03625523049817</v>
      </c>
      <c r="CX56" s="59">
        <f t="shared" si="14"/>
        <v>651.36958856383148</v>
      </c>
      <c r="CY56" s="59">
        <f ca="1">AVERAGE(OFFSET($CX$3,0,0,'Données projet'!$E$13+1,1))-AVERAGE(OFFSET($H$3,0,0,'Données projet'!$E$13+1,1))</f>
        <v>282.08542131880455</v>
      </c>
      <c r="CZ56" s="59">
        <f t="shared" si="42"/>
        <v>174.27503468762325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5.1066504560361379</v>
      </c>
      <c r="DG56" s="21">
        <f>EXP(-LN(2)/25)*DG55+(1-EXP(-LN(2)/25))/(LN(2)/25)*Calculateur!DB56*Calculateur!DD56*VLOOKUP('Données projet'!$B$13,Paramètres!$A$1:$I$89,3,0)*0.475*44/12</f>
        <v>21.146814842096429</v>
      </c>
      <c r="DH56" s="21">
        <f>EXP(-LN(2)/2)*DH55+(1-EXP(-LN(2)/2))/(LN(2)/2)*DB56*DE56*VLOOKUP('Données projet'!$B$13,Paramètres!$A$1:$I$89,3,0)*0.475*44/12</f>
        <v>0.2023496588406368</v>
      </c>
      <c r="DI56" s="22">
        <f t="shared" si="15"/>
        <v>26.455814956973203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5.6</v>
      </c>
      <c r="DO56" s="12">
        <f>IF('Données projet'!$A$166&gt;35,DO55+DN56-DW55,IF(A56&lt;'Données projet'!$A$166,$DL$205^A56,IF(A56='Données projet'!$A$166,'Données projet'!$B$166,DO55+DN56-DW55)))</f>
        <v>218.79999999999973</v>
      </c>
      <c r="DP56" s="17">
        <f>DO56*VLOOKUP('Données projet'!$B$14,Paramètres!$A$1:$I$89,3,0)*VLOOKUP('Données projet'!$B$14,Paramètres!$A$1:$I$89,5,0)</f>
        <v>177.49055999999979</v>
      </c>
      <c r="DQ56" s="13">
        <f t="shared" si="43"/>
        <v>44.763426632624252</v>
      </c>
      <c r="DR56" s="20">
        <f t="shared" si="16"/>
        <v>387.09236005182021</v>
      </c>
      <c r="DS56" s="59">
        <f t="shared" si="17"/>
        <v>680.42569338515352</v>
      </c>
      <c r="DT56" s="59">
        <f ca="1">AVERAGE(OFFSET($DS$3,0,0,'Données projet'!$E$14+1,1))-AVERAGE(OFFSET($H$3,0,0,'Données projet'!$E$14+1,1))</f>
        <v>235.31102883830971</v>
      </c>
      <c r="DU56" s="59">
        <f t="shared" si="44"/>
        <v>271.48630853790422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4.2513493944340262</v>
      </c>
      <c r="EB56" s="21">
        <f>EXP(-LN(2)/25)*EB55+(1-EXP(-LN(2)/25))/(LN(2)/25)*Calculateur!DW56*Calculateur!DY56*VLOOKUP('Données projet'!$B$14,Paramètres!$A$1:$I$89,3,0)*0.475*44/12</f>
        <v>22.832382380433291</v>
      </c>
      <c r="EC56" s="21">
        <f>EXP(-LN(2)/2)*EC55+(1-EXP(-LN(2)/2))/(LN(2)/2)*DW56*DZ56*VLOOKUP('Données projet'!$B$14,Paramètres!$A$1:$I$89,3,0)*0.475*44/12</f>
        <v>0.24417953155624303</v>
      </c>
      <c r="ED56" s="22">
        <f t="shared" si="18"/>
        <v>27.327911306423559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19.3</v>
      </c>
      <c r="N57" s="13">
        <f>IF('Données projet'!$A$36&gt;35,N56+M57-V56,IF(A57&lt;'Données projet'!$A$36,$K$205^A57,IF(A57='Données projet'!$A$36,'Données projet'!$B$36,N56+M57-V56)))</f>
        <v>563.1999999999997</v>
      </c>
      <c r="O57" s="13">
        <f>N57*VLOOKUP('Données projet'!$B$9,Paramètres!$A$1:$I$89,3,0)*VLOOKUP('Données projet'!$B$9,Paramètres!$A$1:$I$89,5,0)</f>
        <v>314.82879999999983</v>
      </c>
      <c r="P57" s="13">
        <f t="shared" si="33"/>
        <v>74.276366834686527</v>
      </c>
      <c r="Q57" s="20">
        <f t="shared" si="53"/>
        <v>677.69149890374536</v>
      </c>
      <c r="R57" s="59">
        <f t="shared" si="0"/>
        <v>971.02483223707873</v>
      </c>
      <c r="S57" s="59">
        <f ca="1">AVERAGE(OFFSET($R$3,0,0,'Données projet'!$E$9+1,1))-AVERAGE(OFFSET($H$3,0,0,'Données projet'!$E$9+1,1))</f>
        <v>446.28010102877403</v>
      </c>
      <c r="T57" s="59">
        <f t="shared" si="34"/>
        <v>445.84011537290456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7.0997052123762998</v>
      </c>
      <c r="AA57" s="21">
        <f>EXP(-LN(2)/25)*AA56+(1-EXP(-LN(2)/25))/(LN(2)/25)*Calculateur!V57*Calculateur!X57*VLOOKUP('Données projet'!$B$9,Paramètres!$A$1:$I$89,3,0)*0.475*44/12</f>
        <v>19.924542721033724</v>
      </c>
      <c r="AB57" s="21">
        <f>EXP(-LN(2)/2)*AB56+(1-EXP(-LN(2)/2))/(LN(2)/2)*V57*Y57*VLOOKUP('Données projet'!$B$9,Paramètres!$A$1:$I$89,3,0)*0.475*44/12</f>
        <v>8.904270350350121E-3</v>
      </c>
      <c r="AC57" s="22">
        <f t="shared" si="3"/>
        <v>27.033152203760373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13.499999999999996</v>
      </c>
      <c r="AI57" s="13">
        <f>IF('Données projet'!$A$62&gt;35,AI56+AH57-AQ56,IF(A57&lt;'Données projet'!$A$62,$AF$205^A57,IF(A57='Données projet'!$A$62,'Données projet'!$B$62,AI56+AH57-AQ56)))</f>
        <v>293.79999999999984</v>
      </c>
      <c r="AJ57" s="13">
        <f>AI57*VLOOKUP('Données projet'!$B$10,Paramètres!$A$1:$I$89,3,0)*VLOOKUP('Données projet'!$B$10,Paramètres!$A$1:$I$89,5,0)</f>
        <v>137.49839999999992</v>
      </c>
      <c r="AK57" s="13">
        <f t="shared" si="35"/>
        <v>35.723324086274197</v>
      </c>
      <c r="AL57" s="20">
        <f t="shared" si="4"/>
        <v>301.69450278359409</v>
      </c>
      <c r="AM57" s="59">
        <f t="shared" si="5"/>
        <v>595.02783611692735</v>
      </c>
      <c r="AN57" s="59">
        <f ca="1">AVERAGE(OFFSET($AM$3,0,0,'Données projet'!$E$10+1,1))-AVERAGE(OFFSET($H$3,0,0,'Données projet'!$E$10+1,1))</f>
        <v>252.98248842635206</v>
      </c>
      <c r="AO57" s="59">
        <f t="shared" si="36"/>
        <v>207.11938580878308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1.9487629390250159</v>
      </c>
      <c r="AV57" s="21">
        <f>EXP(-LN(2)/25)*AV56+(1-EXP(-LN(2)/25))/(LN(2)/25)*Calculateur!AQ57*Calculateur!AS57*VLOOKUP('Données projet'!$B$10,Paramètres!$A$1:$I$89,3,0)*0.475*44/12</f>
        <v>4.0381557585721515</v>
      </c>
      <c r="AW57" s="21">
        <f>EXP(-LN(2)/2)*AW56+(1-EXP(-LN(2)/2))/(LN(2)/2)*AQ57*AT57*VLOOKUP('Données projet'!$B$10,Paramètres!$A$1:$I$89,3,0)*0.475*44/12</f>
        <v>2.4004337110097636E-3</v>
      </c>
      <c r="AX57" s="21">
        <f t="shared" si="6"/>
        <v>5.9893191313081768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5.5</v>
      </c>
      <c r="BD57" s="12">
        <f>IF('Données projet'!$A$88&gt;35,BD56+BC57-BL56,IF(A57&lt;'Données projet'!$A$88,$BA$205^A57,IF(A57='Données projet'!$A$88,'Données projet'!$B$88,BD56+BC57-BL56)))</f>
        <v>128.99999999999997</v>
      </c>
      <c r="BE57" s="13">
        <f>BD57*VLOOKUP('Données projet'!$B$11,Paramètres!$A$1:$I$89,3,0)*VLOOKUP('Données projet'!$B$11,Paramètres!$A$1:$I$89,5,0)</f>
        <v>84.52079999999998</v>
      </c>
      <c r="BF57" s="13">
        <f t="shared" si="37"/>
        <v>23.23898207666474</v>
      </c>
      <c r="BG57" s="20">
        <f t="shared" si="7"/>
        <v>187.68162045019108</v>
      </c>
      <c r="BH57" s="59">
        <f t="shared" si="8"/>
        <v>481.01495378352439</v>
      </c>
      <c r="BI57" s="59">
        <f ca="1">AVERAGE(OFFSET($BH$3,0,0,'Données projet'!$E$11+1,1))-AVERAGE(OFFSET($H$3,0,0,'Données projet'!$E$11+1,1))</f>
        <v>114.23168847330004</v>
      </c>
      <c r="BJ57" s="59">
        <f t="shared" si="38"/>
        <v>42.34857998136755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5.5</v>
      </c>
      <c r="BY57" s="12">
        <f>IF('Données projet'!$A$114&gt;35,BY56+BX57-CG56,IF(A57&lt;'Données projet'!$A$114,$BV$205^A57,IF(A57='Données projet'!$A$114,'Données projet'!$B$114,BY56+BX57-CG56)))</f>
        <v>128.99999999999997</v>
      </c>
      <c r="BZ57" s="13">
        <f>BY57*VLOOKUP('Données projet'!$B$12,Paramètres!$A$1:$I$89,3,0)*VLOOKUP('Données projet'!$B$12,Paramètres!$A$1:$I$89,5,0)</f>
        <v>124.76879999999997</v>
      </c>
      <c r="CA57" s="13">
        <f t="shared" si="39"/>
        <v>32.784708369928126</v>
      </c>
      <c r="CB57" s="20">
        <f t="shared" si="10"/>
        <v>274.40569374429145</v>
      </c>
      <c r="CC57" s="59">
        <f t="shared" si="11"/>
        <v>567.73902707762477</v>
      </c>
      <c r="CD57" s="59">
        <f ca="1">AVERAGE(OFFSET($CC$3,0,0,'Données projet'!$E$12+1,1))-AVERAGE(OFFSET($H$3,0,0,'Données projet'!$E$12+1,1))</f>
        <v>201.36664523637006</v>
      </c>
      <c r="CE57" s="59">
        <f t="shared" si="40"/>
        <v>79.394119001888555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12.227080528079918</v>
      </c>
      <c r="CM57" s="21">
        <f>EXP(-LN(2)/2)*CM56+(1-EXP(-LN(2)/2))/(LN(2)/2)*CG57*CJ57*VLOOKUP('Données projet'!$B$12,Paramètres!$A$1:$I$89,3,0)*0.475*44/12</f>
        <v>9.6248590854574032E-2</v>
      </c>
      <c r="CN57" s="22">
        <f t="shared" si="12"/>
        <v>12.323329118934492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7.7</v>
      </c>
      <c r="CT57" s="12">
        <f>IF('Données projet'!$A$140&gt;35,CT56+CS57-DB56,IF(A57&lt;'Données projet'!$A$140,$CQ$205^A57,IF(A57='Données projet'!$A$140,'Données projet'!$B$140,CT56+CS57-DB56)))</f>
        <v>188.79999999999998</v>
      </c>
      <c r="CU57" s="17">
        <f>CT57*VLOOKUP('Données projet'!$B$13,Paramètres!$A$1:$I$89,3,0)*VLOOKUP('Données projet'!$B$13,Paramètres!$A$1:$I$89,5,0)</f>
        <v>170.82623999999996</v>
      </c>
      <c r="CV57" s="13">
        <f t="shared" si="41"/>
        <v>43.27502160995963</v>
      </c>
      <c r="CW57" s="20">
        <f t="shared" si="13"/>
        <v>372.89303063734627</v>
      </c>
      <c r="CX57" s="59">
        <f t="shared" si="14"/>
        <v>666.22636397067959</v>
      </c>
      <c r="CY57" s="59">
        <f ca="1">AVERAGE(OFFSET($CX$3,0,0,'Données projet'!$E$13+1,1))-AVERAGE(OFFSET($H$3,0,0,'Données projet'!$E$13+1,1))</f>
        <v>282.08542131880455</v>
      </c>
      <c r="CZ57" s="59">
        <f t="shared" si="42"/>
        <v>174.27503468762325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5.0065121553424916</v>
      </c>
      <c r="DG57" s="21">
        <f>EXP(-LN(2)/25)*DG56+(1-EXP(-LN(2)/25))/(LN(2)/25)*Calculateur!DB57*Calculateur!DD57*VLOOKUP('Données projet'!$B$13,Paramètres!$A$1:$I$89,3,0)*0.475*44/12</f>
        <v>20.568554078176643</v>
      </c>
      <c r="DH57" s="21">
        <f>EXP(-LN(2)/2)*DH56+(1-EXP(-LN(2)/2))/(LN(2)/2)*DB57*DE57*VLOOKUP('Données projet'!$B$13,Paramètres!$A$1:$I$89,3,0)*0.475*44/12</f>
        <v>0.1430828159369987</v>
      </c>
      <c r="DI57" s="22">
        <f t="shared" si="15"/>
        <v>25.718149049456134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5.6</v>
      </c>
      <c r="DO57" s="12">
        <f>IF('Données projet'!$A$166&gt;35,DO56+DN57-DW56,IF(A57&lt;'Données projet'!$A$166,$DL$205^A57,IF(A57='Données projet'!$A$166,'Données projet'!$B$166,DO56+DN57-DW56)))</f>
        <v>224.39999999999972</v>
      </c>
      <c r="DP57" s="17">
        <f>DO57*VLOOKUP('Données projet'!$B$14,Paramètres!$A$1:$I$89,3,0)*VLOOKUP('Données projet'!$B$14,Paramètres!$A$1:$I$89,5,0)</f>
        <v>182.03327999999979</v>
      </c>
      <c r="DQ57" s="13">
        <f t="shared" si="43"/>
        <v>45.774257349740196</v>
      </c>
      <c r="DR57" s="20">
        <f t="shared" si="16"/>
        <v>396.76479421746376</v>
      </c>
      <c r="DS57" s="59">
        <f t="shared" si="17"/>
        <v>690.09812755079702</v>
      </c>
      <c r="DT57" s="59">
        <f ca="1">AVERAGE(OFFSET($DS$3,0,0,'Données projet'!$E$14+1,1))-AVERAGE(OFFSET($H$3,0,0,'Données projet'!$E$14+1,1))</f>
        <v>235.31102883830971</v>
      </c>
      <c r="DU57" s="59">
        <f t="shared" si="44"/>
        <v>271.48630853790422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4.1679830258762616</v>
      </c>
      <c r="EB57" s="21">
        <f>EXP(-LN(2)/25)*EB56+(1-EXP(-LN(2)/25))/(LN(2)/25)*Calculateur!DW57*Calculateur!DY57*VLOOKUP('Données projet'!$B$14,Paramètres!$A$1:$I$89,3,0)*0.475*44/12</f>
        <v>22.208029683537536</v>
      </c>
      <c r="EC57" s="21">
        <f>EXP(-LN(2)/2)*EC56+(1-EXP(-LN(2)/2))/(LN(2)/2)*DW57*DZ57*VLOOKUP('Données projet'!$B$14,Paramètres!$A$1:$I$89,3,0)*0.475*44/12</f>
        <v>0.17266100259037404</v>
      </c>
      <c r="ED57" s="22">
        <f t="shared" si="18"/>
        <v>26.54867371200417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19.3</v>
      </c>
      <c r="N58" s="13">
        <f>IF('Données projet'!$A$36&gt;35,N57+M58-V57,IF(A58&lt;'Données projet'!$A$36,$K$205^A58,IF(A58='Données projet'!$A$36,'Données projet'!$B$36,N57+M58-V57)))</f>
        <v>582.49999999999966</v>
      </c>
      <c r="O58" s="13">
        <f>N58*VLOOKUP('Données projet'!$B$9,Paramètres!$A$1:$I$89,3,0)*VLOOKUP('Données projet'!$B$9,Paramètres!$A$1:$I$89,5,0)</f>
        <v>325.61749999999984</v>
      </c>
      <c r="P58" s="13">
        <f t="shared" si="33"/>
        <v>76.520997341690872</v>
      </c>
      <c r="Q58" s="20">
        <f t="shared" si="53"/>
        <v>700.39121620344451</v>
      </c>
      <c r="R58" s="59">
        <f t="shared" si="0"/>
        <v>993.72454953677789</v>
      </c>
      <c r="S58" s="59">
        <f ca="1">AVERAGE(OFFSET($R$3,0,0,'Données projet'!$E$9+1,1))-AVERAGE(OFFSET($H$3,0,0,'Données projet'!$E$9+1,1))</f>
        <v>446.28010102877403</v>
      </c>
      <c r="T58" s="59">
        <f t="shared" si="34"/>
        <v>445.84011537290456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6.9604843235541898</v>
      </c>
      <c r="AA58" s="21">
        <f>EXP(-LN(2)/25)*AA57+(1-EXP(-LN(2)/25))/(LN(2)/25)*Calculateur!V58*Calculateur!X58*VLOOKUP('Données projet'!$B$9,Paramètres!$A$1:$I$89,3,0)*0.475*44/12</f>
        <v>19.379705052540892</v>
      </c>
      <c r="AB58" s="21">
        <f>EXP(-LN(2)/2)*AB57+(1-EXP(-LN(2)/2))/(LN(2)/2)*V58*Y58*VLOOKUP('Données projet'!$B$9,Paramètres!$A$1:$I$89,3,0)*0.475*44/12</f>
        <v>6.296269946250886E-3</v>
      </c>
      <c r="AC58" s="22">
        <f t="shared" si="3"/>
        <v>26.346485646041334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13.499999999999996</v>
      </c>
      <c r="AI58" s="13">
        <f>IF('Données projet'!$A$62&gt;35,AI57+AH58-AQ57,IF(A58&lt;'Données projet'!$A$62,$AF$205^A58,IF(A58='Données projet'!$A$62,'Données projet'!$B$62,AI57+AH58-AQ57)))</f>
        <v>307.29999999999984</v>
      </c>
      <c r="AJ58" s="13">
        <f>AI58*VLOOKUP('Données projet'!$B$10,Paramètres!$A$1:$I$89,3,0)*VLOOKUP('Données projet'!$B$10,Paramètres!$A$1:$I$89,5,0)</f>
        <v>143.81639999999993</v>
      </c>
      <c r="AK58" s="13">
        <f t="shared" si="35"/>
        <v>37.169915935828818</v>
      </c>
      <c r="AL58" s="20">
        <f t="shared" si="4"/>
        <v>315.21783358823507</v>
      </c>
      <c r="AM58" s="59">
        <f t="shared" si="5"/>
        <v>608.55116692156844</v>
      </c>
      <c r="AN58" s="59">
        <f ca="1">AVERAGE(OFFSET($AM$3,0,0,'Données projet'!$E$10+1,1))-AVERAGE(OFFSET($H$3,0,0,'Données projet'!$E$10+1,1))</f>
        <v>252.98248842635206</v>
      </c>
      <c r="AO58" s="59">
        <f t="shared" si="36"/>
        <v>207.11938580878308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1.9105488864187608</v>
      </c>
      <c r="AV58" s="21">
        <f>EXP(-LN(2)/25)*AV57+(1-EXP(-LN(2)/25))/(LN(2)/25)*Calculateur!AQ58*Calculateur!AS58*VLOOKUP('Données projet'!$B$10,Paramètres!$A$1:$I$89,3,0)*0.475*44/12</f>
        <v>3.927732176996614</v>
      </c>
      <c r="AW58" s="21">
        <f>EXP(-LN(2)/2)*AW57+(1-EXP(-LN(2)/2))/(LN(2)/2)*AQ58*AT58*VLOOKUP('Données projet'!$B$10,Paramètres!$A$1:$I$89,3,0)*0.475*44/12</f>
        <v>1.6973629548437932E-3</v>
      </c>
      <c r="AX58" s="21">
        <f t="shared" si="6"/>
        <v>5.8399784263702186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5.5</v>
      </c>
      <c r="BD58" s="12">
        <f>IF('Données projet'!$A$88&gt;35,BD57+BC58-BL57,IF(A58&lt;'Données projet'!$A$88,$BA$205^A58,IF(A58='Données projet'!$A$88,'Données projet'!$B$88,BD57+BC58-BL57)))</f>
        <v>134.49999999999997</v>
      </c>
      <c r="BE58" s="13">
        <f>BD58*VLOOKUP('Données projet'!$B$11,Paramètres!$A$1:$I$89,3,0)*VLOOKUP('Données projet'!$B$11,Paramètres!$A$1:$I$89,5,0)</f>
        <v>88.12439999999998</v>
      </c>
      <c r="BF58" s="13">
        <f t="shared" si="37"/>
        <v>24.112322486460855</v>
      </c>
      <c r="BG58" s="20">
        <f t="shared" si="7"/>
        <v>195.47895833058593</v>
      </c>
      <c r="BH58" s="59">
        <f t="shared" si="8"/>
        <v>488.81229166391927</v>
      </c>
      <c r="BI58" s="59">
        <f ca="1">AVERAGE(OFFSET($BH$3,0,0,'Données projet'!$E$11+1,1))-AVERAGE(OFFSET($H$3,0,0,'Données projet'!$E$11+1,1))</f>
        <v>114.23168847330004</v>
      </c>
      <c r="BJ58" s="59">
        <f t="shared" si="38"/>
        <v>42.34857998136755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5.5</v>
      </c>
      <c r="BY58" s="12">
        <f>IF('Données projet'!$A$114&gt;35,BY57+BX58-CG57,IF(A58&lt;'Données projet'!$A$114,$BV$205^A58,IF(A58='Données projet'!$A$114,'Données projet'!$B$114,BY57+BX58-CG57)))</f>
        <v>134.49999999999997</v>
      </c>
      <c r="BZ58" s="13">
        <f>BY58*VLOOKUP('Données projet'!$B$12,Paramètres!$A$1:$I$89,3,0)*VLOOKUP('Données projet'!$B$12,Paramètres!$A$1:$I$89,5,0)</f>
        <v>130.08839999999998</v>
      </c>
      <c r="CA58" s="13">
        <f t="shared" si="39"/>
        <v>34.016785168661507</v>
      </c>
      <c r="CB58" s="20">
        <f t="shared" si="10"/>
        <v>285.81653083541875</v>
      </c>
      <c r="CC58" s="59">
        <f t="shared" si="11"/>
        <v>579.14986416875206</v>
      </c>
      <c r="CD58" s="59">
        <f ca="1">AVERAGE(OFFSET($CC$3,0,0,'Données projet'!$E$12+1,1))-AVERAGE(OFFSET($H$3,0,0,'Données projet'!$E$12+1,1))</f>
        <v>201.36664523637006</v>
      </c>
      <c r="CE58" s="59">
        <f t="shared" si="40"/>
        <v>79.394119001888555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11.892730368045353</v>
      </c>
      <c r="CM58" s="21">
        <f>EXP(-LN(2)/2)*CM57+(1-EXP(-LN(2)/2))/(LN(2)/2)*CG58*CJ58*VLOOKUP('Données projet'!$B$12,Paramètres!$A$1:$I$89,3,0)*0.475*44/12</f>
        <v>6.8058031272918817E-2</v>
      </c>
      <c r="CN58" s="22">
        <f t="shared" si="12"/>
        <v>11.960788399318272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7.7</v>
      </c>
      <c r="CT58" s="12">
        <f>IF('Données projet'!$A$140&gt;35,CT57+CS58-DB57,IF(A58&lt;'Données projet'!$A$140,$CQ$205^A58,IF(A58='Données projet'!$A$140,'Données projet'!$B$140,CT57+CS58-DB57)))</f>
        <v>196.49999999999997</v>
      </c>
      <c r="CU58" s="17">
        <f>CT58*VLOOKUP('Données projet'!$B$13,Paramètres!$A$1:$I$89,3,0)*VLOOKUP('Données projet'!$B$13,Paramètres!$A$1:$I$89,5,0)</f>
        <v>177.79319999999996</v>
      </c>
      <c r="CV58" s="13">
        <f t="shared" si="41"/>
        <v>44.830861891212081</v>
      </c>
      <c r="CW58" s="20">
        <f t="shared" si="13"/>
        <v>387.73690779386089</v>
      </c>
      <c r="CX58" s="59">
        <f t="shared" si="14"/>
        <v>681.07024112719421</v>
      </c>
      <c r="CY58" s="59">
        <f ca="1">AVERAGE(OFFSET($CX$3,0,0,'Données projet'!$E$13+1,1))-AVERAGE(OFFSET($H$3,0,0,'Données projet'!$E$13+1,1))</f>
        <v>282.08542131880455</v>
      </c>
      <c r="CZ58" s="59">
        <f t="shared" si="42"/>
        <v>174.27503468762325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4.9083375056471148</v>
      </c>
      <c r="DG58" s="21">
        <f>EXP(-LN(2)/25)*DG57+(1-EXP(-LN(2)/25))/(LN(2)/25)*Calculateur!DB58*Calculateur!DD58*VLOOKUP('Données projet'!$B$13,Paramètres!$A$1:$I$89,3,0)*0.475*44/12</f>
        <v>20.006105885255653</v>
      </c>
      <c r="DH58" s="21">
        <f>EXP(-LN(2)/2)*DH57+(1-EXP(-LN(2)/2))/(LN(2)/2)*DB58*DE58*VLOOKUP('Données projet'!$B$13,Paramètres!$A$1:$I$89,3,0)*0.475*44/12</f>
        <v>0.1011748294203184</v>
      </c>
      <c r="DI58" s="22">
        <f t="shared" si="15"/>
        <v>25.015618220323088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5.6</v>
      </c>
      <c r="DO58" s="12">
        <f>IF('Données projet'!$A$166&gt;35,DO57+DN58-DW57,IF(A58&lt;'Données projet'!$A$166,$DL$205^A58,IF(A58='Données projet'!$A$166,'Données projet'!$B$166,DO57+DN58-DW57)))</f>
        <v>229.99999999999972</v>
      </c>
      <c r="DP58" s="17">
        <f>DO58*VLOOKUP('Données projet'!$B$14,Paramètres!$A$1:$I$89,3,0)*VLOOKUP('Données projet'!$B$14,Paramètres!$A$1:$I$89,5,0)</f>
        <v>186.57599999999977</v>
      </c>
      <c r="DQ58" s="13">
        <f t="shared" si="43"/>
        <v>46.782155731694232</v>
      </c>
      <c r="DR58" s="20">
        <f t="shared" si="16"/>
        <v>406.43212123270035</v>
      </c>
      <c r="DS58" s="59">
        <f t="shared" si="17"/>
        <v>699.76545456603367</v>
      </c>
      <c r="DT58" s="59">
        <f ca="1">AVERAGE(OFFSET($DS$3,0,0,'Données projet'!$E$14+1,1))-AVERAGE(OFFSET($H$3,0,0,'Données projet'!$E$14+1,1))</f>
        <v>235.31102883830971</v>
      </c>
      <c r="DU58" s="59">
        <f t="shared" si="44"/>
        <v>271.48630853790422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4.086251420957451</v>
      </c>
      <c r="EB58" s="21">
        <f>EXP(-LN(2)/25)*EB57+(1-EXP(-LN(2)/25))/(LN(2)/25)*Calculateur!DW58*Calculateur!DY58*VLOOKUP('Données projet'!$B$14,Paramètres!$A$1:$I$89,3,0)*0.475*44/12</f>
        <v>21.600749943971678</v>
      </c>
      <c r="EC58" s="21">
        <f>EXP(-LN(2)/2)*EC57+(1-EXP(-LN(2)/2))/(LN(2)/2)*DW58*DZ58*VLOOKUP('Données projet'!$B$14,Paramètres!$A$1:$I$89,3,0)*0.475*44/12</f>
        <v>0.12208976577812154</v>
      </c>
      <c r="ED58" s="22">
        <f t="shared" si="18"/>
        <v>25.809091130707252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19.3</v>
      </c>
      <c r="N59" s="13">
        <f>IF('Données projet'!$A$36&gt;35,N58+M59-V58,IF(A59&lt;'Données projet'!$A$36,$K$205^A59,IF(A59='Données projet'!$A$36,'Données projet'!$B$36,N58+M59-V58)))</f>
        <v>601.79999999999961</v>
      </c>
      <c r="O59" s="13">
        <f>N59*VLOOKUP('Données projet'!$B$9,Paramètres!$A$1:$I$89,3,0)*VLOOKUP('Données projet'!$B$9,Paramètres!$A$1:$I$89,5,0)</f>
        <v>336.40619999999979</v>
      </c>
      <c r="P59" s="13">
        <f t="shared" si="33"/>
        <v>78.756986013586328</v>
      </c>
      <c r="Q59" s="20">
        <f t="shared" si="53"/>
        <v>723.07588230699582</v>
      </c>
      <c r="R59" s="59">
        <f t="shared" si="0"/>
        <v>1016.4092156403292</v>
      </c>
      <c r="S59" s="59">
        <f ca="1">AVERAGE(OFFSET($R$3,0,0,'Données projet'!$E$9+1,1))-AVERAGE(OFFSET($H$3,0,0,'Données projet'!$E$9+1,1))</f>
        <v>446.28010102877403</v>
      </c>
      <c r="T59" s="59">
        <f t="shared" si="34"/>
        <v>445.84011537290456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6.8239934714455233</v>
      </c>
      <c r="AA59" s="21">
        <f>EXP(-LN(2)/25)*AA58+(1-EXP(-LN(2)/25))/(LN(2)/25)*Calculateur!V59*Calculateur!X59*VLOOKUP('Données projet'!$B$9,Paramètres!$A$1:$I$89,3,0)*0.475*44/12</f>
        <v>18.849765998744765</v>
      </c>
      <c r="AB59" s="21">
        <f>EXP(-LN(2)/2)*AB58+(1-EXP(-LN(2)/2))/(LN(2)/2)*V59*Y59*VLOOKUP('Données projet'!$B$9,Paramètres!$A$1:$I$89,3,0)*0.475*44/12</f>
        <v>4.4521351751750605E-3</v>
      </c>
      <c r="AC59" s="22">
        <f t="shared" si="3"/>
        <v>25.678211605365462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13.499999999999996</v>
      </c>
      <c r="AI59" s="13">
        <f>IF('Données projet'!$A$62&gt;35,AI58+AH59-AQ58,IF(A59&lt;'Données projet'!$A$62,$AF$205^A59,IF(A59='Données projet'!$A$62,'Données projet'!$B$62,AI58+AH59-AQ58)))</f>
        <v>320.79999999999984</v>
      </c>
      <c r="AJ59" s="13">
        <f>AI59*VLOOKUP('Données projet'!$B$10,Paramètres!$A$1:$I$89,3,0)*VLOOKUP('Données projet'!$B$10,Paramètres!$A$1:$I$89,5,0)</f>
        <v>150.13439999999994</v>
      </c>
      <c r="AK59" s="13">
        <f t="shared" si="35"/>
        <v>38.609126910934812</v>
      </c>
      <c r="AL59" s="20">
        <f t="shared" si="4"/>
        <v>328.72830936987799</v>
      </c>
      <c r="AM59" s="59">
        <f t="shared" si="5"/>
        <v>622.06164270321131</v>
      </c>
      <c r="AN59" s="59">
        <f ca="1">AVERAGE(OFFSET($AM$3,0,0,'Données projet'!$E$10+1,1))-AVERAGE(OFFSET($H$3,0,0,'Données projet'!$E$10+1,1))</f>
        <v>252.98248842635206</v>
      </c>
      <c r="AO59" s="59">
        <f t="shared" si="36"/>
        <v>207.11938580878308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1.8730841880758438</v>
      </c>
      <c r="AV59" s="21">
        <f>EXP(-LN(2)/25)*AV58+(1-EXP(-LN(2)/25))/(LN(2)/25)*Calculateur!AQ59*Calculateur!AS59*VLOOKUP('Données projet'!$B$10,Paramètres!$A$1:$I$89,3,0)*0.475*44/12</f>
        <v>3.8203281340661834</v>
      </c>
      <c r="AW59" s="21">
        <f>EXP(-LN(2)/2)*AW58+(1-EXP(-LN(2)/2))/(LN(2)/2)*AQ59*AT59*VLOOKUP('Données projet'!$B$10,Paramètres!$A$1:$I$89,3,0)*0.475*44/12</f>
        <v>1.2002168555048818E-3</v>
      </c>
      <c r="AX59" s="21">
        <f t="shared" si="6"/>
        <v>5.6946125389975322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5.5</v>
      </c>
      <c r="BD59" s="12">
        <f>IF('Données projet'!$A$88&gt;35,BD58+BC59-BL58,IF(A59&lt;'Données projet'!$A$88,$BA$205^A59,IF(A59='Données projet'!$A$88,'Données projet'!$B$88,BD58+BC59-BL58)))</f>
        <v>139.99999999999997</v>
      </c>
      <c r="BE59" s="13">
        <f>BD59*VLOOKUP('Données projet'!$B$11,Paramètres!$A$1:$I$89,3,0)*VLOOKUP('Données projet'!$B$11,Paramètres!$A$1:$I$89,5,0)</f>
        <v>91.72799999999998</v>
      </c>
      <c r="BF59" s="13">
        <f t="shared" si="37"/>
        <v>24.981514582386563</v>
      </c>
      <c r="BG59" s="20">
        <f t="shared" si="7"/>
        <v>203.26907123098988</v>
      </c>
      <c r="BH59" s="59">
        <f t="shared" si="8"/>
        <v>496.60240456432319</v>
      </c>
      <c r="BI59" s="59">
        <f ca="1">AVERAGE(OFFSET($BH$3,0,0,'Données projet'!$E$11+1,1))-AVERAGE(OFFSET($H$3,0,0,'Données projet'!$E$11+1,1))</f>
        <v>114.23168847330004</v>
      </c>
      <c r="BJ59" s="59">
        <f t="shared" si="38"/>
        <v>42.34857998136755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5.5</v>
      </c>
      <c r="BY59" s="12">
        <f>IF('Données projet'!$A$114&gt;35,BY58+BX59-CG58,IF(A59&lt;'Données projet'!$A$114,$BV$205^A59,IF(A59='Données projet'!$A$114,'Données projet'!$B$114,BY58+BX59-CG58)))</f>
        <v>139.99999999999997</v>
      </c>
      <c r="BZ59" s="13">
        <f>BY59*VLOOKUP('Données projet'!$B$12,Paramètres!$A$1:$I$89,3,0)*VLOOKUP('Données projet'!$B$12,Paramètres!$A$1:$I$89,5,0)</f>
        <v>135.40799999999999</v>
      </c>
      <c r="CA59" s="13">
        <f t="shared" si="39"/>
        <v>35.243009677478732</v>
      </c>
      <c r="CB59" s="20">
        <f t="shared" si="10"/>
        <v>297.21717518827546</v>
      </c>
      <c r="CC59" s="59">
        <f t="shared" si="11"/>
        <v>590.55050852160878</v>
      </c>
      <c r="CD59" s="59">
        <f ca="1">AVERAGE(OFFSET($CC$3,0,0,'Données projet'!$E$12+1,1))-AVERAGE(OFFSET($H$3,0,0,'Données projet'!$E$12+1,1))</f>
        <v>201.36664523637006</v>
      </c>
      <c r="CE59" s="59">
        <f t="shared" si="40"/>
        <v>79.394119001888555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11.567523030719643</v>
      </c>
      <c r="CM59" s="21">
        <f>EXP(-LN(2)/2)*CM58+(1-EXP(-LN(2)/2))/(LN(2)/2)*CG59*CJ59*VLOOKUP('Données projet'!$B$12,Paramètres!$A$1:$I$89,3,0)*0.475*44/12</f>
        <v>4.8124295427287016E-2</v>
      </c>
      <c r="CN59" s="22">
        <f t="shared" si="12"/>
        <v>11.615647326146931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7.7</v>
      </c>
      <c r="CT59" s="12">
        <f>IF('Données projet'!$A$140&gt;35,CT58+CS59-DB58,IF(A59&lt;'Données projet'!$A$140,$CQ$205^A59,IF(A59='Données projet'!$A$140,'Données projet'!$B$140,CT58+CS59-DB58)))</f>
        <v>204.19999999999996</v>
      </c>
      <c r="CU59" s="17">
        <f>CT59*VLOOKUP('Données projet'!$B$13,Paramètres!$A$1:$I$89,3,0)*VLOOKUP('Données projet'!$B$13,Paramètres!$A$1:$I$89,5,0)</f>
        <v>184.76015999999996</v>
      </c>
      <c r="CV59" s="13">
        <f t="shared" si="41"/>
        <v>46.379619886034874</v>
      </c>
      <c r="CW59" s="20">
        <f t="shared" si="13"/>
        <v>402.56844996817728</v>
      </c>
      <c r="CX59" s="59">
        <f t="shared" si="14"/>
        <v>695.90178330151059</v>
      </c>
      <c r="CY59" s="59">
        <f ca="1">AVERAGE(OFFSET($CX$3,0,0,'Données projet'!$E$13+1,1))-AVERAGE(OFFSET($H$3,0,0,'Données projet'!$E$13+1,1))</f>
        <v>282.08542131880455</v>
      </c>
      <c r="CZ59" s="59">
        <f t="shared" si="42"/>
        <v>174.27503468762325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4.8120880009516407</v>
      </c>
      <c r="DG59" s="21">
        <f>EXP(-LN(2)/25)*DG58+(1-EXP(-LN(2)/25))/(LN(2)/25)*Calculateur!DB59*Calculateur!DD59*VLOOKUP('Données projet'!$B$13,Paramètres!$A$1:$I$89,3,0)*0.475*44/12</f>
        <v>19.459037867747952</v>
      </c>
      <c r="DH59" s="21">
        <f>EXP(-LN(2)/2)*DH58+(1-EXP(-LN(2)/2))/(LN(2)/2)*DB59*DE59*VLOOKUP('Données projet'!$B$13,Paramètres!$A$1:$I$89,3,0)*0.475*44/12</f>
        <v>7.1541407968499351E-2</v>
      </c>
      <c r="DI59" s="22">
        <f t="shared" si="15"/>
        <v>24.342667276668092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5.6</v>
      </c>
      <c r="DO59" s="12">
        <f>IF('Données projet'!$A$166&gt;35,DO58+DN59-DW58,IF(A59&lt;'Données projet'!$A$166,$DL$205^A59,IF(A59='Données projet'!$A$166,'Données projet'!$B$166,DO58+DN59-DW58)))</f>
        <v>235.59999999999971</v>
      </c>
      <c r="DP59" s="17">
        <f>DO59*VLOOKUP('Données projet'!$B$14,Paramètres!$A$1:$I$89,3,0)*VLOOKUP('Données projet'!$B$14,Paramètres!$A$1:$I$89,5,0)</f>
        <v>191.1187199999998</v>
      </c>
      <c r="DQ59" s="13">
        <f t="shared" si="43"/>
        <v>47.787201388032102</v>
      </c>
      <c r="DR59" s="20">
        <f t="shared" si="16"/>
        <v>416.09447975082225</v>
      </c>
      <c r="DS59" s="59">
        <f t="shared" si="17"/>
        <v>709.42781308415556</v>
      </c>
      <c r="DT59" s="59">
        <f ca="1">AVERAGE(OFFSET($DS$3,0,0,'Données projet'!$E$14+1,1))-AVERAGE(OFFSET($H$3,0,0,'Données projet'!$E$14+1,1))</f>
        <v>235.31102883830971</v>
      </c>
      <c r="DU59" s="59">
        <f t="shared" si="44"/>
        <v>271.48630853790422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4.0061225229597417</v>
      </c>
      <c r="EB59" s="21">
        <f>EXP(-LN(2)/25)*EB58+(1-EXP(-LN(2)/25))/(LN(2)/25)*Calculateur!DW59*Calculateur!DY59*VLOOKUP('Données projet'!$B$14,Paramètres!$A$1:$I$89,3,0)*0.475*44/12</f>
        <v>21.010076300819701</v>
      </c>
      <c r="EC59" s="21">
        <f>EXP(-LN(2)/2)*EC58+(1-EXP(-LN(2)/2))/(LN(2)/2)*DW59*DZ59*VLOOKUP('Données projet'!$B$14,Paramètres!$A$1:$I$89,3,0)*0.475*44/12</f>
        <v>8.6330501295187032E-2</v>
      </c>
      <c r="ED59" s="22">
        <f t="shared" si="18"/>
        <v>25.102529325074631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19.3</v>
      </c>
      <c r="N60" s="13">
        <f>IF('Données projet'!$A$36&gt;35,N59+M60-V59,IF(A60&lt;'Données projet'!$A$36,$K$205^A60,IF(A60='Données projet'!$A$36,'Données projet'!$B$36,N59+M60-V59)))</f>
        <v>621.09999999999957</v>
      </c>
      <c r="O60" s="13">
        <f>N60*VLOOKUP('Données projet'!$B$9,Paramètres!$A$1:$I$89,3,0)*VLOOKUP('Données projet'!$B$9,Paramètres!$A$1:$I$89,5,0)</f>
        <v>347.19489999999979</v>
      </c>
      <c r="P60" s="13">
        <f t="shared" si="33"/>
        <v>80.984641788647266</v>
      </c>
      <c r="Q60" s="20">
        <f t="shared" si="53"/>
        <v>745.74603528189357</v>
      </c>
      <c r="R60" s="59">
        <f t="shared" si="0"/>
        <v>1039.0793686152269</v>
      </c>
      <c r="S60" s="59">
        <f ca="1">AVERAGE(OFFSET($R$3,0,0,'Données projet'!$E$9+1,1))-AVERAGE(OFFSET($H$3,0,0,'Données projet'!$E$9+1,1))</f>
        <v>446.28010102877403</v>
      </c>
      <c r="T60" s="59">
        <f t="shared" si="34"/>
        <v>445.84011537290456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6.6901791216955084</v>
      </c>
      <c r="AA60" s="21">
        <f>EXP(-LN(2)/25)*AA59+(1-EXP(-LN(2)/25))/(LN(2)/25)*Calculateur!V60*Calculateur!X60*VLOOKUP('Données projet'!$B$9,Paramètres!$A$1:$I$89,3,0)*0.475*44/12</f>
        <v>18.334318156242976</v>
      </c>
      <c r="AB60" s="21">
        <f>EXP(-LN(2)/2)*AB59+(1-EXP(-LN(2)/2))/(LN(2)/2)*V60*Y60*VLOOKUP('Données projet'!$B$9,Paramètres!$A$1:$I$89,3,0)*0.475*44/12</f>
        <v>3.148134973125443E-3</v>
      </c>
      <c r="AC60" s="22">
        <f t="shared" si="3"/>
        <v>25.027645412911607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13.499999999999996</v>
      </c>
      <c r="AI60" s="13">
        <f>IF('Données projet'!$A$62&gt;35,AI59+AH60-AQ59,IF(A60&lt;'Données projet'!$A$62,$AF$205^A60,IF(A60='Données projet'!$A$62,'Données projet'!$B$62,AI59+AH60-AQ59)))</f>
        <v>334.29999999999984</v>
      </c>
      <c r="AJ60" s="13">
        <f>AI60*VLOOKUP('Données projet'!$B$10,Paramètres!$A$1:$I$89,3,0)*VLOOKUP('Données projet'!$B$10,Paramètres!$A$1:$I$89,5,0)</f>
        <v>156.45239999999993</v>
      </c>
      <c r="AK60" s="13">
        <f t="shared" si="35"/>
        <v>40.041303130551007</v>
      </c>
      <c r="AL60" s="20">
        <f t="shared" si="4"/>
        <v>342.2265329523762</v>
      </c>
      <c r="AM60" s="59">
        <f t="shared" si="5"/>
        <v>635.55986628570952</v>
      </c>
      <c r="AN60" s="59">
        <f ca="1">AVERAGE(OFFSET($AM$3,0,0,'Données projet'!$E$10+1,1))-AVERAGE(OFFSET($H$3,0,0,'Données projet'!$E$10+1,1))</f>
        <v>252.98248842635206</v>
      </c>
      <c r="AO60" s="59">
        <f t="shared" si="36"/>
        <v>207.11938580878308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1.8363541496162219</v>
      </c>
      <c r="AV60" s="21">
        <f>EXP(-LN(2)/25)*AV59+(1-EXP(-LN(2)/25))/(LN(2)/25)*Calculateur!AQ60*Calculateur!AS60*VLOOKUP('Données projet'!$B$10,Paramètres!$A$1:$I$89,3,0)*0.475*44/12</f>
        <v>3.7158610603378186</v>
      </c>
      <c r="AW60" s="21">
        <f>EXP(-LN(2)/2)*AW59+(1-EXP(-LN(2)/2))/(LN(2)/2)*AQ60*AT60*VLOOKUP('Données projet'!$B$10,Paramètres!$A$1:$I$89,3,0)*0.475*44/12</f>
        <v>8.4868147742189661E-4</v>
      </c>
      <c r="AX60" s="21">
        <f t="shared" si="6"/>
        <v>5.5530638914314618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5.5</v>
      </c>
      <c r="BD60" s="12">
        <f>IF('Données projet'!$A$88&gt;35,BD59+BC60-BL59,IF(A60&lt;'Données projet'!$A$88,$BA$205^A60,IF(A60='Données projet'!$A$88,'Données projet'!$B$88,BD59+BC60-BL59)))</f>
        <v>145.49999999999997</v>
      </c>
      <c r="BE60" s="13">
        <f>BD60*VLOOKUP('Données projet'!$B$11,Paramètres!$A$1:$I$89,3,0)*VLOOKUP('Données projet'!$B$11,Paramètres!$A$1:$I$89,5,0)</f>
        <v>95.33159999999998</v>
      </c>
      <c r="BF60" s="13">
        <f t="shared" si="37"/>
        <v>25.84673998337389</v>
      </c>
      <c r="BG60" s="20">
        <f t="shared" si="7"/>
        <v>211.0522754710428</v>
      </c>
      <c r="BH60" s="59">
        <f t="shared" si="8"/>
        <v>504.38560880437615</v>
      </c>
      <c r="BI60" s="59">
        <f ca="1">AVERAGE(OFFSET($BH$3,0,0,'Données projet'!$E$11+1,1))-AVERAGE(OFFSET($H$3,0,0,'Données projet'!$E$11+1,1))</f>
        <v>114.23168847330004</v>
      </c>
      <c r="BJ60" s="59">
        <f t="shared" si="38"/>
        <v>42.34857998136755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5.5</v>
      </c>
      <c r="BY60" s="12">
        <f>IF('Données projet'!$A$114&gt;35,BY59+BX60-CG59,IF(A60&lt;'Données projet'!$A$114,$BV$205^A60,IF(A60='Données projet'!$A$114,'Données projet'!$B$114,BY59+BX60-CG59)))</f>
        <v>145.49999999999997</v>
      </c>
      <c r="BZ60" s="13">
        <f>BY60*VLOOKUP('Données projet'!$B$12,Paramètres!$A$1:$I$89,3,0)*VLOOKUP('Données projet'!$B$12,Paramètres!$A$1:$I$89,5,0)</f>
        <v>140.72759999999997</v>
      </c>
      <c r="CA60" s="13">
        <f t="shared" si="39"/>
        <v>36.463638117745354</v>
      </c>
      <c r="CB60" s="20">
        <f t="shared" si="10"/>
        <v>308.60807305507313</v>
      </c>
      <c r="CC60" s="59">
        <f t="shared" si="11"/>
        <v>601.94140638840645</v>
      </c>
      <c r="CD60" s="59">
        <f ca="1">AVERAGE(OFFSET($CC$3,0,0,'Données projet'!$E$12+1,1))-AVERAGE(OFFSET($H$3,0,0,'Données projet'!$E$12+1,1))</f>
        <v>201.36664523637006</v>
      </c>
      <c r="CE60" s="59">
        <f t="shared" si="40"/>
        <v>79.394119001888555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11.251208505135017</v>
      </c>
      <c r="CM60" s="21">
        <f>EXP(-LN(2)/2)*CM59+(1-EXP(-LN(2)/2))/(LN(2)/2)*CG60*CJ60*VLOOKUP('Données projet'!$B$12,Paramètres!$A$1:$I$89,3,0)*0.475*44/12</f>
        <v>3.4029015636459409E-2</v>
      </c>
      <c r="CN60" s="22">
        <f t="shared" si="12"/>
        <v>11.285237520771476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7.7</v>
      </c>
      <c r="CT60" s="12">
        <f>IF('Données projet'!$A$140&gt;35,CT59+CS60-DB59,IF(A60&lt;'Données projet'!$A$140,$CQ$205^A60,IF(A60='Données projet'!$A$140,'Données projet'!$B$140,CT59+CS60-DB59)))</f>
        <v>211.89999999999995</v>
      </c>
      <c r="CU60" s="17">
        <f>CT60*VLOOKUP('Données projet'!$B$13,Paramètres!$A$1:$I$89,3,0)*VLOOKUP('Données projet'!$B$13,Paramètres!$A$1:$I$89,5,0)</f>
        <v>191.72711999999993</v>
      </c>
      <c r="CV60" s="13">
        <f t="shared" si="41"/>
        <v>47.921593230176065</v>
      </c>
      <c r="CW60" s="20">
        <f t="shared" si="13"/>
        <v>417.38817554255644</v>
      </c>
      <c r="CX60" s="59">
        <f t="shared" si="14"/>
        <v>710.72150887588975</v>
      </c>
      <c r="CY60" s="59">
        <f ca="1">AVERAGE(OFFSET($CX$3,0,0,'Données projet'!$E$13+1,1))-AVERAGE(OFFSET($H$3,0,0,'Données projet'!$E$13+1,1))</f>
        <v>282.08542131880455</v>
      </c>
      <c r="CZ60" s="59">
        <f t="shared" si="42"/>
        <v>174.27503468762325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4.717725890336844</v>
      </c>
      <c r="DG60" s="21">
        <f>EXP(-LN(2)/25)*DG59+(1-EXP(-LN(2)/25))/(LN(2)/25)*Calculateur!DB60*Calculateur!DD60*VLOOKUP('Données projet'!$B$13,Paramètres!$A$1:$I$89,3,0)*0.475*44/12</f>
        <v>18.926929453948055</v>
      </c>
      <c r="DH60" s="21">
        <f>EXP(-LN(2)/2)*DH59+(1-EXP(-LN(2)/2))/(LN(2)/2)*DB60*DE60*VLOOKUP('Données projet'!$B$13,Paramètres!$A$1:$I$89,3,0)*0.475*44/12</f>
        <v>5.0587414710159199E-2</v>
      </c>
      <c r="DI60" s="22">
        <f t="shared" si="15"/>
        <v>23.695242758995057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5.6</v>
      </c>
      <c r="DO60" s="12">
        <f>IF('Données projet'!$A$166&gt;35,DO59+DN60-DW59,IF(A60&lt;'Données projet'!$A$166,$DL$205^A60,IF(A60='Données projet'!$A$166,'Données projet'!$B$166,DO59+DN60-DW59)))</f>
        <v>241.1999999999997</v>
      </c>
      <c r="DP60" s="17">
        <f>DO60*VLOOKUP('Données projet'!$B$14,Paramètres!$A$1:$I$89,3,0)*VLOOKUP('Données projet'!$B$14,Paramètres!$A$1:$I$89,5,0)</f>
        <v>195.66143999999977</v>
      </c>
      <c r="DQ60" s="13">
        <f t="shared" si="43"/>
        <v>48.789469927948474</v>
      </c>
      <c r="DR60" s="20">
        <f t="shared" si="16"/>
        <v>425.75200145784316</v>
      </c>
      <c r="DS60" s="59">
        <f t="shared" si="17"/>
        <v>719.08533479117648</v>
      </c>
      <c r="DT60" s="59">
        <f ca="1">AVERAGE(OFFSET($DS$3,0,0,'Données projet'!$E$14+1,1))-AVERAGE(OFFSET($H$3,0,0,'Données projet'!$E$14+1,1))</f>
        <v>235.31102883830971</v>
      </c>
      <c r="DU60" s="59">
        <f t="shared" si="44"/>
        <v>271.48630853790422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3.9275649037779652</v>
      </c>
      <c r="EB60" s="21">
        <f>EXP(-LN(2)/25)*EB59+(1-EXP(-LN(2)/25))/(LN(2)/25)*Calculateur!DW60*Calculateur!DY60*VLOOKUP('Données projet'!$B$14,Paramètres!$A$1:$I$89,3,0)*0.475*44/12</f>
        <v>20.435554659501893</v>
      </c>
      <c r="EC60" s="21">
        <f>EXP(-LN(2)/2)*EC59+(1-EXP(-LN(2)/2))/(LN(2)/2)*DW60*DZ60*VLOOKUP('Données projet'!$B$14,Paramètres!$A$1:$I$89,3,0)*0.475*44/12</f>
        <v>6.1044882889060778E-2</v>
      </c>
      <c r="ED60" s="22">
        <f t="shared" si="18"/>
        <v>24.42416444616892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19.3</v>
      </c>
      <c r="N61" s="13">
        <f>IF('Données projet'!$A$36&gt;35,N60+M61-V60,IF(A61&lt;'Données projet'!$A$36,$K$205^A61,IF(A61='Données projet'!$A$36,'Données projet'!$B$36,N60+M61-V60)))</f>
        <v>640.39999999999952</v>
      </c>
      <c r="O61" s="13">
        <f>N61*VLOOKUP('Données projet'!$B$9,Paramètres!$A$1:$I$89,3,0)*VLOOKUP('Données projet'!$B$9,Paramètres!$A$1:$I$89,5,0)</f>
        <v>357.98359999999974</v>
      </c>
      <c r="P61" s="13">
        <f t="shared" si="33"/>
        <v>83.204253314675796</v>
      </c>
      <c r="Q61" s="20">
        <f t="shared" si="53"/>
        <v>768.40217785639322</v>
      </c>
      <c r="R61" s="59">
        <f t="shared" si="0"/>
        <v>1061.7355111897266</v>
      </c>
      <c r="S61" s="59">
        <f ca="1">AVERAGE(OFFSET($R$3,0,0,'Données projet'!$E$9+1,1))-AVERAGE(OFFSET($H$3,0,0,'Données projet'!$E$9+1,1))</f>
        <v>446.28010102877403</v>
      </c>
      <c r="T61" s="59">
        <f t="shared" si="34"/>
        <v>445.84011537290456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6.5589887897253973</v>
      </c>
      <c r="AA61" s="21">
        <f>EXP(-LN(2)/25)*AA60+(1-EXP(-LN(2)/25))/(LN(2)/25)*Calculateur!V61*Calculateur!X61*VLOOKUP('Données projet'!$B$9,Paramètres!$A$1:$I$89,3,0)*0.475*44/12</f>
        <v>17.832965262100622</v>
      </c>
      <c r="AB61" s="21">
        <f>EXP(-LN(2)/2)*AB60+(1-EXP(-LN(2)/2))/(LN(2)/2)*V61*Y61*VLOOKUP('Données projet'!$B$9,Paramètres!$A$1:$I$89,3,0)*0.475*44/12</f>
        <v>2.2260675875875303E-3</v>
      </c>
      <c r="AC61" s="22">
        <f t="shared" si="3"/>
        <v>24.394180119413608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13.499999999999996</v>
      </c>
      <c r="AI61" s="13">
        <f>IF('Données projet'!$A$62&gt;35,AI60+AH61-AQ60,IF(A61&lt;'Données projet'!$A$62,$AF$205^A61,IF(A61='Données projet'!$A$62,'Données projet'!$B$62,AI60+AH61-AQ60)))</f>
        <v>347.79999999999984</v>
      </c>
      <c r="AJ61" s="13">
        <f>AI61*VLOOKUP('Données projet'!$B$10,Paramètres!$A$1:$I$89,3,0)*VLOOKUP('Données projet'!$B$10,Paramètres!$A$1:$I$89,5,0)</f>
        <v>162.77039999999994</v>
      </c>
      <c r="AK61" s="13">
        <f t="shared" si="35"/>
        <v>41.466761176934256</v>
      </c>
      <c r="AL61" s="20">
        <f t="shared" si="4"/>
        <v>355.71305571649367</v>
      </c>
      <c r="AM61" s="59">
        <f t="shared" si="5"/>
        <v>649.04638904982698</v>
      </c>
      <c r="AN61" s="59">
        <f ca="1">AVERAGE(OFFSET($AM$3,0,0,'Données projet'!$E$10+1,1))-AVERAGE(OFFSET($H$3,0,0,'Données projet'!$E$10+1,1))</f>
        <v>252.98248842635206</v>
      </c>
      <c r="AO61" s="59">
        <f t="shared" si="36"/>
        <v>207.11938580878308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1.8003443648076818</v>
      </c>
      <c r="AV61" s="21">
        <f>EXP(-LN(2)/25)*AV60+(1-EXP(-LN(2)/25))/(LN(2)/25)*Calculateur!AQ61*Calculateur!AS61*VLOOKUP('Données projet'!$B$10,Paramètres!$A$1:$I$89,3,0)*0.475*44/12</f>
        <v>3.6142506442342404</v>
      </c>
      <c r="AW61" s="21">
        <f>EXP(-LN(2)/2)*AW60+(1-EXP(-LN(2)/2))/(LN(2)/2)*AQ61*AT61*VLOOKUP('Données projet'!$B$10,Paramètres!$A$1:$I$89,3,0)*0.475*44/12</f>
        <v>6.0010842775244091E-4</v>
      </c>
      <c r="AX61" s="21">
        <f t="shared" si="6"/>
        <v>5.4151951174696746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5.5</v>
      </c>
      <c r="BD61" s="12">
        <f>IF('Données projet'!$A$88&gt;35,BD60+BC61-BL60,IF(A61&lt;'Données projet'!$A$88,$BA$205^A61,IF(A61='Données projet'!$A$88,'Données projet'!$B$88,BD60+BC61-BL60)))</f>
        <v>150.99999999999997</v>
      </c>
      <c r="BE61" s="13">
        <f>BD61*VLOOKUP('Données projet'!$B$11,Paramètres!$A$1:$I$89,3,0)*VLOOKUP('Données projet'!$B$11,Paramètres!$A$1:$I$89,5,0)</f>
        <v>98.93519999999998</v>
      </c>
      <c r="BF61" s="13">
        <f t="shared" si="37"/>
        <v>26.708165799953093</v>
      </c>
      <c r="BG61" s="20">
        <f t="shared" si="7"/>
        <v>218.82886210158495</v>
      </c>
      <c r="BH61" s="59">
        <f t="shared" si="8"/>
        <v>512.1621954349182</v>
      </c>
      <c r="BI61" s="59">
        <f ca="1">AVERAGE(OFFSET($BH$3,0,0,'Données projet'!$E$11+1,1))-AVERAGE(OFFSET($H$3,0,0,'Données projet'!$E$11+1,1))</f>
        <v>114.23168847330004</v>
      </c>
      <c r="BJ61" s="59">
        <f t="shared" si="38"/>
        <v>42.34857998136755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5.5</v>
      </c>
      <c r="BY61" s="12">
        <f>IF('Données projet'!$A$114&gt;35,BY60+BX61-CG60,IF(A61&lt;'Données projet'!$A$114,$BV$205^A61,IF(A61='Données projet'!$A$114,'Données projet'!$B$114,BY60+BX61-CG60)))</f>
        <v>150.99999999999997</v>
      </c>
      <c r="BZ61" s="13">
        <f>BY61*VLOOKUP('Données projet'!$B$12,Paramètres!$A$1:$I$89,3,0)*VLOOKUP('Données projet'!$B$12,Paramètres!$A$1:$I$89,5,0)</f>
        <v>146.04719999999998</v>
      </c>
      <c r="CA61" s="13">
        <f t="shared" si="39"/>
        <v>37.678906242902855</v>
      </c>
      <c r="CB61" s="20">
        <f t="shared" si="10"/>
        <v>319.98963503972237</v>
      </c>
      <c r="CC61" s="59">
        <f t="shared" si="11"/>
        <v>613.32296837305569</v>
      </c>
      <c r="CD61" s="59">
        <f ca="1">AVERAGE(OFFSET($CC$3,0,0,'Données projet'!$E$12+1,1))-AVERAGE(OFFSET($H$3,0,0,'Données projet'!$E$12+1,1))</f>
        <v>201.36664523637006</v>
      </c>
      <c r="CE61" s="59">
        <f t="shared" si="40"/>
        <v>79.394119001888555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10.943543616886759</v>
      </c>
      <c r="CM61" s="21">
        <f>EXP(-LN(2)/2)*CM60+(1-EXP(-LN(2)/2))/(LN(2)/2)*CG61*CJ61*VLOOKUP('Données projet'!$B$12,Paramètres!$A$1:$I$89,3,0)*0.475*44/12</f>
        <v>2.4062147713643508E-2</v>
      </c>
      <c r="CN61" s="22">
        <f t="shared" si="12"/>
        <v>10.967605764600401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7.7</v>
      </c>
      <c r="CT61" s="12">
        <f>IF('Données projet'!$A$140&gt;35,CT60+CS61-DB60,IF(A61&lt;'Données projet'!$A$140,$CQ$205^A61,IF(A61='Données projet'!$A$140,'Données projet'!$B$140,CT60+CS61-DB60)))</f>
        <v>219.59999999999994</v>
      </c>
      <c r="CU61" s="17">
        <f>CT61*VLOOKUP('Données projet'!$B$13,Paramètres!$A$1:$I$89,3,0)*VLOOKUP('Données projet'!$B$13,Paramètres!$A$1:$I$89,5,0)</f>
        <v>198.69407999999993</v>
      </c>
      <c r="CV61" s="13">
        <f t="shared" si="41"/>
        <v>49.457056702547348</v>
      </c>
      <c r="CW61" s="20">
        <f t="shared" si="13"/>
        <v>432.19656309026982</v>
      </c>
      <c r="CX61" s="59">
        <f t="shared" si="14"/>
        <v>725.52989642360308</v>
      </c>
      <c r="CY61" s="59">
        <f ca="1">AVERAGE(OFFSET($CX$3,0,0,'Données projet'!$E$13+1,1))-AVERAGE(OFFSET($H$3,0,0,'Données projet'!$E$13+1,1))</f>
        <v>282.08542131880455</v>
      </c>
      <c r="CZ61" s="59">
        <f t="shared" si="42"/>
        <v>174.27503468762325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4.6252141631559995</v>
      </c>
      <c r="DG61" s="21">
        <f>EXP(-LN(2)/25)*DG60+(1-EXP(-LN(2)/25))/(LN(2)/25)*Calculateur!DB61*Calculateur!DD61*VLOOKUP('Données projet'!$B$13,Paramètres!$A$1:$I$89,3,0)*0.475*44/12</f>
        <v>18.409371572705883</v>
      </c>
      <c r="DH61" s="21">
        <f>EXP(-LN(2)/2)*DH60+(1-EXP(-LN(2)/2))/(LN(2)/2)*DB61*DE61*VLOOKUP('Données projet'!$B$13,Paramètres!$A$1:$I$89,3,0)*0.475*44/12</f>
        <v>3.5770703984249676E-2</v>
      </c>
      <c r="DI61" s="22">
        <f t="shared" si="15"/>
        <v>23.07035643984613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5.6</v>
      </c>
      <c r="DO61" s="12">
        <f>IF('Données projet'!$A$166&gt;35,DO60+DN61-DW60,IF(A61&lt;'Données projet'!$A$166,$DL$205^A61,IF(A61='Données projet'!$A$166,'Données projet'!$B$166,DO60+DN61-DW60)))</f>
        <v>246.7999999999997</v>
      </c>
      <c r="DP61" s="17">
        <f>DO61*VLOOKUP('Données projet'!$B$14,Paramètres!$A$1:$I$89,3,0)*VLOOKUP('Données projet'!$B$14,Paramètres!$A$1:$I$89,5,0)</f>
        <v>200.20415999999977</v>
      </c>
      <c r="DQ61" s="13">
        <f t="shared" si="43"/>
        <v>49.789033249442454</v>
      </c>
      <c r="DR61" s="20">
        <f t="shared" si="16"/>
        <v>435.40481157611185</v>
      </c>
      <c r="DS61" s="59">
        <f t="shared" si="17"/>
        <v>728.73814490944517</v>
      </c>
      <c r="DT61" s="59">
        <f ca="1">AVERAGE(OFFSET($DS$3,0,0,'Données projet'!$E$14+1,1))-AVERAGE(OFFSET($H$3,0,0,'Données projet'!$E$14+1,1))</f>
        <v>235.31102883830971</v>
      </c>
      <c r="DU61" s="59">
        <f t="shared" si="44"/>
        <v>271.48630853790422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3.8505477515929267</v>
      </c>
      <c r="EB61" s="21">
        <f>EXP(-LN(2)/25)*EB60+(1-EXP(-LN(2)/25))/(LN(2)/25)*Calculateur!DW61*Calculateur!DY61*VLOOKUP('Données projet'!$B$14,Paramètres!$A$1:$I$89,3,0)*0.475*44/12</f>
        <v>19.876743342678701</v>
      </c>
      <c r="EC61" s="21">
        <f>EXP(-LN(2)/2)*EC60+(1-EXP(-LN(2)/2))/(LN(2)/2)*DW61*DZ61*VLOOKUP('Données projet'!$B$14,Paramètres!$A$1:$I$89,3,0)*0.475*44/12</f>
        <v>4.3165250647593523E-2</v>
      </c>
      <c r="ED61" s="22">
        <f t="shared" si="18"/>
        <v>23.770456344919221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19.3</v>
      </c>
      <c r="N62" s="13">
        <f>IF('Données projet'!$A$36&gt;35,N61+M62-V61,IF(A62&lt;'Données projet'!$A$36,$K$205^A62,IF(A62='Données projet'!$A$36,'Données projet'!$B$36,N61+M62-V61)))</f>
        <v>659.69999999999948</v>
      </c>
      <c r="O62" s="13">
        <f>N62*VLOOKUP('Données projet'!$B$9,Paramètres!$A$1:$I$89,3,0)*VLOOKUP('Données projet'!$B$9,Paramètres!$A$1:$I$89,5,0)</f>
        <v>368.77229999999969</v>
      </c>
      <c r="P62" s="13">
        <f t="shared" si="33"/>
        <v>85.416090852521961</v>
      </c>
      <c r="Q62" s="20">
        <f t="shared" si="53"/>
        <v>791.04478073480857</v>
      </c>
      <c r="R62" s="59">
        <f t="shared" si="0"/>
        <v>1084.3781140681419</v>
      </c>
      <c r="S62" s="59">
        <f ca="1">AVERAGE(OFFSET($R$3,0,0,'Données projet'!$E$9+1,1))-AVERAGE(OFFSET($H$3,0,0,'Données projet'!$E$9+1,1))</f>
        <v>446.28010102877403</v>
      </c>
      <c r="T62" s="59">
        <f t="shared" si="34"/>
        <v>445.84011537290456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6.4303710201470183</v>
      </c>
      <c r="AA62" s="21">
        <f>EXP(-LN(2)/25)*AA61+(1-EXP(-LN(2)/25))/(LN(2)/25)*Calculateur!V62*Calculateur!X62*VLOOKUP('Données projet'!$B$9,Paramètres!$A$1:$I$89,3,0)*0.475*44/12</f>
        <v>17.345321889213594</v>
      </c>
      <c r="AB62" s="21">
        <f>EXP(-LN(2)/2)*AB61+(1-EXP(-LN(2)/2))/(LN(2)/2)*V62*Y62*VLOOKUP('Données projet'!$B$9,Paramètres!$A$1:$I$89,3,0)*0.475*44/12</f>
        <v>1.5740674865627215E-3</v>
      </c>
      <c r="AC62" s="22">
        <f t="shared" si="3"/>
        <v>23.777266976847173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13.499999999999996</v>
      </c>
      <c r="AI62" s="13">
        <f>IF('Données projet'!$A$62&gt;35,AI61+AH62-AQ61,IF(A62&lt;'Données projet'!$A$62,$AF$205^A62,IF(A62='Données projet'!$A$62,'Données projet'!$B$62,AI61+AH62-AQ61)))</f>
        <v>361.29999999999984</v>
      </c>
      <c r="AJ62" s="13">
        <f>AI62*VLOOKUP('Données projet'!$B$10,Paramètres!$A$1:$I$89,3,0)*VLOOKUP('Données projet'!$B$10,Paramètres!$A$1:$I$89,5,0)</f>
        <v>169.08839999999992</v>
      </c>
      <c r="AK62" s="13">
        <f t="shared" si="35"/>
        <v>42.885791664164614</v>
      </c>
      <c r="AL62" s="20">
        <f t="shared" si="4"/>
        <v>369.18838381508658</v>
      </c>
      <c r="AM62" s="59">
        <f t="shared" si="5"/>
        <v>662.52171714841984</v>
      </c>
      <c r="AN62" s="59">
        <f ca="1">AVERAGE(OFFSET($AM$3,0,0,'Données projet'!$E$10+1,1))-AVERAGE(OFFSET($H$3,0,0,'Données projet'!$E$10+1,1))</f>
        <v>252.98248842635206</v>
      </c>
      <c r="AO62" s="59">
        <f t="shared" si="36"/>
        <v>207.11938580878308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1.765040709915437</v>
      </c>
      <c r="AV62" s="21">
        <f>EXP(-LN(2)/25)*AV61+(1-EXP(-LN(2)/25))/(LN(2)/25)*Calculateur!AQ62*Calculateur!AS62*VLOOKUP('Données projet'!$B$10,Paramètres!$A$1:$I$89,3,0)*0.475*44/12</f>
        <v>3.5154187703024742</v>
      </c>
      <c r="AW62" s="21">
        <f>EXP(-LN(2)/2)*AW61+(1-EXP(-LN(2)/2))/(LN(2)/2)*AQ62*AT62*VLOOKUP('Données projet'!$B$10,Paramètres!$A$1:$I$89,3,0)*0.475*44/12</f>
        <v>4.2434073871094831E-4</v>
      </c>
      <c r="AX62" s="21">
        <f t="shared" si="6"/>
        <v>5.280883820956622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5.5</v>
      </c>
      <c r="BD62" s="12">
        <f>IF('Données projet'!$A$88&gt;35,BD61+BC62-BL61,IF(A62&lt;'Données projet'!$A$88,$BA$205^A62,IF(A62='Données projet'!$A$88,'Données projet'!$B$88,BD61+BC62-BL61)))</f>
        <v>156.49999999999997</v>
      </c>
      <c r="BE62" s="13">
        <f>BD62*VLOOKUP('Données projet'!$B$11,Paramètres!$A$1:$I$89,3,0)*VLOOKUP('Données projet'!$B$11,Paramètres!$A$1:$I$89,5,0)</f>
        <v>102.53879999999998</v>
      </c>
      <c r="BF62" s="13">
        <f t="shared" si="37"/>
        <v>27.565946279127903</v>
      </c>
      <c r="BG62" s="20">
        <f t="shared" si="7"/>
        <v>226.59909976948106</v>
      </c>
      <c r="BH62" s="59">
        <f t="shared" si="8"/>
        <v>519.93243310281434</v>
      </c>
      <c r="BI62" s="59">
        <f ca="1">AVERAGE(OFFSET($BH$3,0,0,'Données projet'!$E$11+1,1))-AVERAGE(OFFSET($H$3,0,0,'Données projet'!$E$11+1,1))</f>
        <v>114.23168847330004</v>
      </c>
      <c r="BJ62" s="59">
        <f t="shared" si="38"/>
        <v>42.34857998136755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5.5</v>
      </c>
      <c r="BY62" s="12">
        <f>IF('Données projet'!$A$114&gt;35,BY61+BX62-CG61,IF(A62&lt;'Données projet'!$A$114,$BV$205^A62,IF(A62='Données projet'!$A$114,'Données projet'!$B$114,BY61+BX62-CG61)))</f>
        <v>156.49999999999997</v>
      </c>
      <c r="BZ62" s="13">
        <f>BY62*VLOOKUP('Données projet'!$B$12,Paramètres!$A$1:$I$89,3,0)*VLOOKUP('Données projet'!$B$12,Paramètres!$A$1:$I$89,5,0)</f>
        <v>151.36679999999998</v>
      </c>
      <c r="CA62" s="13">
        <f t="shared" si="39"/>
        <v>38.889031658998476</v>
      </c>
      <c r="CB62" s="20">
        <f t="shared" si="10"/>
        <v>331.36224013942228</v>
      </c>
      <c r="CC62" s="59">
        <f t="shared" si="11"/>
        <v>624.69557347275554</v>
      </c>
      <c r="CD62" s="59">
        <f ca="1">AVERAGE(OFFSET($CC$3,0,0,'Données projet'!$E$12+1,1))-AVERAGE(OFFSET($H$3,0,0,'Données projet'!$E$12+1,1))</f>
        <v>201.36664523637006</v>
      </c>
      <c r="CE62" s="59">
        <f t="shared" si="40"/>
        <v>79.394119001888555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10.644291841187043</v>
      </c>
      <c r="CM62" s="21">
        <f>EXP(-LN(2)/2)*CM61+(1-EXP(-LN(2)/2))/(LN(2)/2)*CG62*CJ62*VLOOKUP('Données projet'!$B$12,Paramètres!$A$1:$I$89,3,0)*0.475*44/12</f>
        <v>1.7014507818229704E-2</v>
      </c>
      <c r="CN62" s="22">
        <f t="shared" si="12"/>
        <v>10.661306349005272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7.7</v>
      </c>
      <c r="CT62" s="12">
        <f>IF('Données projet'!$A$140&gt;35,CT61+CS62-DB61,IF(A62&lt;'Données projet'!$A$140,$CQ$205^A62,IF(A62='Données projet'!$A$140,'Données projet'!$B$140,CT61+CS62-DB61)))</f>
        <v>227.29999999999993</v>
      </c>
      <c r="CU62" s="17">
        <f>CT62*VLOOKUP('Données projet'!$B$13,Paramètres!$A$1:$I$89,3,0)*VLOOKUP('Données projet'!$B$13,Paramètres!$A$1:$I$89,5,0)</f>
        <v>205.66103999999993</v>
      </c>
      <c r="CV62" s="13">
        <f t="shared" si="41"/>
        <v>50.986264719857907</v>
      </c>
      <c r="CW62" s="20">
        <f t="shared" si="13"/>
        <v>446.99405572041906</v>
      </c>
      <c r="CX62" s="59">
        <f t="shared" si="14"/>
        <v>740.32738905375231</v>
      </c>
      <c r="CY62" s="59">
        <f ca="1">AVERAGE(OFFSET($CX$3,0,0,'Données projet'!$E$13+1,1))-AVERAGE(OFFSET($H$3,0,0,'Données projet'!$E$13+1,1))</f>
        <v>282.08542131880455</v>
      </c>
      <c r="CZ62" s="59">
        <f t="shared" si="42"/>
        <v>174.27503468762325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4.5345165345185894</v>
      </c>
      <c r="DG62" s="21">
        <f>EXP(-LN(2)/25)*DG61+(1-EXP(-LN(2)/25))/(LN(2)/25)*Calculateur!DB62*Calculateur!DD62*VLOOKUP('Données projet'!$B$13,Paramètres!$A$1:$I$89,3,0)*0.475*44/12</f>
        <v>17.905966338943465</v>
      </c>
      <c r="DH62" s="21">
        <f>EXP(-LN(2)/2)*DH61+(1-EXP(-LN(2)/2))/(LN(2)/2)*DB62*DE62*VLOOKUP('Données projet'!$B$13,Paramètres!$A$1:$I$89,3,0)*0.475*44/12</f>
        <v>2.52937073550796E-2</v>
      </c>
      <c r="DI62" s="22">
        <f t="shared" si="15"/>
        <v>22.465776580817131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5.6</v>
      </c>
      <c r="DO62" s="12">
        <f>IF('Données projet'!$A$166&gt;35,DO61+DN62-DW61,IF(A62&lt;'Données projet'!$A$166,$DL$205^A62,IF(A62='Données projet'!$A$166,'Données projet'!$B$166,DO61+DN62-DW61)))</f>
        <v>252.39999999999969</v>
      </c>
      <c r="DP62" s="17">
        <f>DO62*VLOOKUP('Données projet'!$B$14,Paramètres!$A$1:$I$89,3,0)*VLOOKUP('Données projet'!$B$14,Paramètres!$A$1:$I$89,5,0)</f>
        <v>204.74687999999978</v>
      </c>
      <c r="DQ62" s="13">
        <f t="shared" si="43"/>
        <v>50.785959801489938</v>
      </c>
      <c r="DR62" s="20">
        <f t="shared" si="16"/>
        <v>445.05302932092792</v>
      </c>
      <c r="DS62" s="59">
        <f t="shared" si="17"/>
        <v>738.38636265426123</v>
      </c>
      <c r="DT62" s="59">
        <f ca="1">AVERAGE(OFFSET($DS$3,0,0,'Données projet'!$E$14+1,1))-AVERAGE(OFFSET($H$3,0,0,'Données projet'!$E$14+1,1))</f>
        <v>235.31102883830971</v>
      </c>
      <c r="DU62" s="59">
        <f t="shared" si="44"/>
        <v>271.48630853790422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3.7750408587864128</v>
      </c>
      <c r="EB62" s="21">
        <f>EXP(-LN(2)/25)*EB61+(1-EXP(-LN(2)/25))/(LN(2)/25)*Calculateur!DW62*Calculateur!DY62*VLOOKUP('Données projet'!$B$14,Paramètres!$A$1:$I$89,3,0)*0.475*44/12</f>
        <v>19.33321275070065</v>
      </c>
      <c r="EC62" s="21">
        <f>EXP(-LN(2)/2)*EC61+(1-EXP(-LN(2)/2))/(LN(2)/2)*DW62*DZ62*VLOOKUP('Données projet'!$B$14,Paramètres!$A$1:$I$89,3,0)*0.475*44/12</f>
        <v>3.0522441444530393E-2</v>
      </c>
      <c r="ED62" s="22">
        <f t="shared" si="18"/>
        <v>23.138776050931593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679</v>
      </c>
      <c r="L63" s="12">
        <f>VLOOKUP(A63,'Données projet'!$A$35:$I$55,9,0)</f>
        <v>19.3</v>
      </c>
      <c r="M63" s="12">
        <f t="array" ref="M63">INDEX(L:L,MIN(IF(ISNUMBER(L63:L259),ROW(L63:L259),"")))</f>
        <v>19.3</v>
      </c>
      <c r="N63" s="13">
        <f>IF('Données projet'!$A$36&gt;35,N62+M63-V62,IF(A63&lt;'Données projet'!$A$36,$K$205^A63,IF(A63='Données projet'!$A$36,'Données projet'!$B$36,N62+M63-V62)))</f>
        <v>678.99999999999943</v>
      </c>
      <c r="O63" s="13">
        <f>N63*VLOOKUP('Données projet'!$B$9,Paramètres!$A$1:$I$89,3,0)*VLOOKUP('Données projet'!$B$9,Paramètres!$A$1:$I$89,5,0)</f>
        <v>379.56099999999969</v>
      </c>
      <c r="P63" s="13">
        <f t="shared" si="33"/>
        <v>87.620407950587037</v>
      </c>
      <c r="Q63" s="20">
        <f t="shared" si="53"/>
        <v>813.67428551393857</v>
      </c>
      <c r="R63" s="59">
        <f t="shared" si="0"/>
        <v>1107.0076188472719</v>
      </c>
      <c r="S63" s="59">
        <f ca="1">AVERAGE(OFFSET($R$3,0,0,'Données projet'!$E$9+1,1))-AVERAGE(OFFSET($H$3,0,0,'Données projet'!$E$9+1,1))</f>
        <v>446.28010102877403</v>
      </c>
      <c r="T63" s="59">
        <f t="shared" si="34"/>
        <v>445.84011537290456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96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6.3042753665809785</v>
      </c>
      <c r="AA63" s="21">
        <f>EXP(-LN(2)/25)*AA62+(1-EXP(-LN(2)/25))/(LN(2)/25)*Calculateur!V63*Calculateur!X63*VLOOKUP('Données projet'!$B$9,Paramètres!$A$1:$I$89,3,0)*0.475*44/12</f>
        <v>16.871013150002213</v>
      </c>
      <c r="AB63" s="21">
        <f>EXP(-LN(2)/2)*AB62+(1-EXP(-LN(2)/2))/(LN(2)/2)*V63*Y63*VLOOKUP('Données projet'!$B$9,Paramètres!$A$1:$I$89,3,0)*0.475*44/12</f>
        <v>1.1130337937937651E-3</v>
      </c>
      <c r="AC63" s="22">
        <f t="shared" si="3"/>
        <v>23.176401550376983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374.79999999999995</v>
      </c>
      <c r="AG63" s="12">
        <f>VLOOKUP(A63,'Données projet'!$A$61:$I$81,9,0)</f>
        <v>13.499999999999996</v>
      </c>
      <c r="AH63" s="12">
        <f t="array" ref="AH63">INDEX(AG:AG,MIN(IF(ISNUMBER(AG63:AG259),ROW(AG63:AG259),"")))</f>
        <v>13.499999999999996</v>
      </c>
      <c r="AI63" s="13">
        <f>IF('Données projet'!$A$62&gt;35,AI62+AH63-AQ62,IF(A63&lt;'Données projet'!$A$62,$AF$205^A63,IF(A63='Données projet'!$A$62,'Données projet'!$B$62,AI62+AH63-AQ62)))</f>
        <v>374.79999999999984</v>
      </c>
      <c r="AJ63" s="13">
        <f>AI63*VLOOKUP('Données projet'!$B$10,Paramètres!$A$1:$I$89,3,0)*VLOOKUP('Données projet'!$B$10,Paramètres!$A$1:$I$89,5,0)</f>
        <v>175.40639999999993</v>
      </c>
      <c r="AK63" s="13">
        <f t="shared" si="35"/>
        <v>44.298662258322672</v>
      </c>
      <c r="AL63" s="20">
        <f t="shared" si="4"/>
        <v>382.65298343324525</v>
      </c>
      <c r="AM63" s="59">
        <f t="shared" si="5"/>
        <v>675.98631676657851</v>
      </c>
      <c r="AN63" s="59">
        <f ca="1">AVERAGE(OFFSET($AM$3,0,0,'Données projet'!$E$10+1,1))-AVERAGE(OFFSET($H$3,0,0,'Données projet'!$E$10+1,1))</f>
        <v>252.98248842635206</v>
      </c>
      <c r="AO63" s="59">
        <f t="shared" si="36"/>
        <v>207.11938580878308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83.4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1.730429338162526</v>
      </c>
      <c r="AV63" s="21">
        <f>EXP(-LN(2)/25)*AV62+(1-EXP(-LN(2)/25))/(LN(2)/25)*Calculateur!AQ63*Calculateur!AS63*VLOOKUP('Données projet'!$B$10,Paramètres!$A$1:$I$89,3,0)*0.475*44/12</f>
        <v>3.4192894591607144</v>
      </c>
      <c r="AW63" s="21">
        <f>EXP(-LN(2)/2)*AW62+(1-EXP(-LN(2)/2))/(LN(2)/2)*AQ63*AT63*VLOOKUP('Données projet'!$B$10,Paramètres!$A$1:$I$89,3,0)*0.475*44/12</f>
        <v>3.0005421387622046E-4</v>
      </c>
      <c r="AX63" s="21">
        <f t="shared" si="6"/>
        <v>5.1500188515371166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162</v>
      </c>
      <c r="BB63" s="12">
        <f>VLOOKUP(A63,'Données projet'!$A$87:$I$107,9,0)</f>
        <v>5.5</v>
      </c>
      <c r="BC63" s="12">
        <f t="array" ref="BC63">INDEX(BB:BB,MIN(IF(ISNUMBER(BB63:BB259),ROW(BB63:BB259),"")))</f>
        <v>5.5</v>
      </c>
      <c r="BD63" s="12">
        <f>IF('Données projet'!$A$88&gt;35,BD62+BC63-BL62,IF(A63&lt;'Données projet'!$A$88,$BA$205^A63,IF(A63='Données projet'!$A$88,'Données projet'!$B$88,BD62+BC63-BL62)))</f>
        <v>161.99999999999997</v>
      </c>
      <c r="BE63" s="13">
        <f>BD63*VLOOKUP('Données projet'!$B$11,Paramètres!$A$1:$I$89,3,0)*VLOOKUP('Données projet'!$B$11,Paramètres!$A$1:$I$89,5,0)</f>
        <v>106.14239999999999</v>
      </c>
      <c r="BF63" s="13">
        <f t="shared" si="37"/>
        <v>28.420224211524975</v>
      </c>
      <c r="BG63" s="20">
        <f t="shared" si="7"/>
        <v>234.36323716840596</v>
      </c>
      <c r="BH63" s="59">
        <f t="shared" si="8"/>
        <v>527.6965705017393</v>
      </c>
      <c r="BI63" s="59">
        <f ca="1">AVERAGE(OFFSET($BH$3,0,0,'Données projet'!$E$11+1,1))-AVERAGE(OFFSET($H$3,0,0,'Données projet'!$E$11+1,1))</f>
        <v>114.23168847330004</v>
      </c>
      <c r="BJ63" s="59">
        <f t="shared" si="38"/>
        <v>42.34857998136755</v>
      </c>
      <c r="BK63" s="15">
        <f>IF(ISNA(VLOOKUP(A63,'Données projet'!$A$87:$I$107,3,0)),0,VLOOKUP(A63,'Données projet'!$A$87:$I$107,3,0))</f>
        <v>3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162</v>
      </c>
      <c r="BW63" s="12">
        <f>VLOOKUP(A63,'Données projet'!$A$113:$I$133,9,0)</f>
        <v>5.5</v>
      </c>
      <c r="BX63" s="12">
        <f t="array" ref="BX63">INDEX(BW:BW,MIN(IF(ISNUMBER(BW63:BW259),ROW(BW63:BW259),"")))</f>
        <v>5.5</v>
      </c>
      <c r="BY63" s="12">
        <f>IF('Données projet'!$A$114&gt;35,BY62+BX63-CG62,IF(A63&lt;'Données projet'!$A$114,$BV$205^A63,IF(A63='Données projet'!$A$114,'Données projet'!$B$114,BY62+BX63-CG62)))</f>
        <v>161.99999999999997</v>
      </c>
      <c r="BZ63" s="13">
        <f>BY63*VLOOKUP('Données projet'!$B$12,Paramètres!$A$1:$I$89,3,0)*VLOOKUP('Données projet'!$B$12,Paramètres!$A$1:$I$89,5,0)</f>
        <v>156.68639999999999</v>
      </c>
      <c r="CA63" s="13">
        <f t="shared" si="39"/>
        <v>40.094215809840712</v>
      </c>
      <c r="CB63" s="20">
        <f t="shared" si="10"/>
        <v>342.7262392021392</v>
      </c>
      <c r="CC63" s="59">
        <f t="shared" si="11"/>
        <v>636.05957253547251</v>
      </c>
      <c r="CD63" s="59">
        <f ca="1">AVERAGE(OFFSET($CC$3,0,0,'Données projet'!$E$12+1,1))-AVERAGE(OFFSET($H$3,0,0,'Données projet'!$E$12+1,1))</f>
        <v>201.36664523637006</v>
      </c>
      <c r="CE63" s="59">
        <f t="shared" si="40"/>
        <v>79.394119001888555</v>
      </c>
      <c r="CF63" s="15">
        <f>IF(ISNA(VLOOKUP(A63,'Données projet'!$A$113:$I$133,3,0)),0,VLOOKUP(A63,'Données projet'!$A$113:$I$133,3,0))</f>
        <v>3</v>
      </c>
      <c r="CG63" s="15">
        <f>IF(ISNA(VLOOKUP(A63,'Données projet'!$A$113:$I$133,4,0)),0,VLOOKUP(A63,'Données projet'!$A$113:$I$133,4,0))</f>
        <v>28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0.27950000000000003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18.687921417909788</v>
      </c>
      <c r="CM63" s="21">
        <f>EXP(-LN(2)/2)*CM62+(1-EXP(-LN(2)/2))/(LN(2)/2)*CG63*CJ63*VLOOKUP('Données projet'!$B$12,Paramètres!$A$1:$I$89,3,0)*0.475*44/12</f>
        <v>1.2031073856821754E-2</v>
      </c>
      <c r="CN63" s="22">
        <f t="shared" si="12"/>
        <v>18.699952491766609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235</v>
      </c>
      <c r="CR63" s="12">
        <f>VLOOKUP(A63,'Données projet'!$A$139:$I$159,9,0)</f>
        <v>7.7</v>
      </c>
      <c r="CS63" s="12">
        <f t="array" ref="CS63">INDEX(CR:CR,MIN(IF(ISNUMBER(CR63:CR259),ROW(CR63:CR259),"")))</f>
        <v>7.7</v>
      </c>
      <c r="CT63" s="12">
        <f>IF('Données projet'!$A$140&gt;35,CT62+CS63-DB62,IF(A63&lt;'Données projet'!$A$140,$CQ$205^A63,IF(A63='Données projet'!$A$140,'Données projet'!$B$140,CT62+CS63-DB62)))</f>
        <v>234.99999999999991</v>
      </c>
      <c r="CU63" s="17">
        <f>CT63*VLOOKUP('Données projet'!$B$13,Paramètres!$A$1:$I$89,3,0)*VLOOKUP('Données projet'!$B$13,Paramètres!$A$1:$I$89,5,0)</f>
        <v>212.62799999999993</v>
      </c>
      <c r="CV63" s="13">
        <f t="shared" si="41"/>
        <v>52.509453483719035</v>
      </c>
      <c r="CW63" s="20">
        <f t="shared" si="13"/>
        <v>461.78106481747722</v>
      </c>
      <c r="CX63" s="59">
        <f t="shared" si="14"/>
        <v>755.11439815081053</v>
      </c>
      <c r="CY63" s="59">
        <f ca="1">AVERAGE(OFFSET($CX$3,0,0,'Données projet'!$E$13+1,1))-AVERAGE(OFFSET($H$3,0,0,'Données projet'!$E$13+1,1))</f>
        <v>282.08542131880455</v>
      </c>
      <c r="CZ63" s="59">
        <f t="shared" si="42"/>
        <v>174.27503468762325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42</v>
      </c>
      <c r="DC63" s="16">
        <f>IF(ISNA(VLOOKUP(A63,'Données projet'!$A$139:$I$159,5,0)),0%,VLOOKUP(A63,'Données projet'!$A$139:$I$159,5,0)*VLOOKUP('Données projet'!$B$13,Paramètres!$A$1:$I$89,7,0))</f>
        <v>0.15049999999999999</v>
      </c>
      <c r="DD63" s="16">
        <f>IF(ISNA(VLOOKUP(A63,'Données projet'!$A$139:$I$159,6,0)),0%,VLOOKUP(A63,'Données projet'!$A$139:$I$159,6,0)*VLOOKUP('Données projet'!$B$13,Paramètres!$A$1:$I$89,7,0))</f>
        <v>0.27950000000000003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10.768048728875002</v>
      </c>
      <c r="DG63" s="21">
        <f>EXP(-LN(2)/25)*DG62+(1-EXP(-LN(2)/25))/(LN(2)/25)*Calculateur!DB63*Calculateur!DD63*VLOOKUP('Données projet'!$B$13,Paramètres!$A$1:$I$89,3,0)*0.475*44/12</f>
        <v>29.111790486940105</v>
      </c>
      <c r="DH63" s="21">
        <f>EXP(-LN(2)/2)*DH62+(1-EXP(-LN(2)/2))/(LN(2)/2)*DB63*DE63*VLOOKUP('Données projet'!$B$13,Paramètres!$A$1:$I$89,3,0)*0.475*44/12</f>
        <v>1.7885351992124838E-2</v>
      </c>
      <c r="DI63" s="22">
        <f t="shared" si="15"/>
        <v>39.897724567807238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258</v>
      </c>
      <c r="DM63" s="12">
        <f>VLOOKUP(A63,'Données projet'!$A$165:$I$185,9,0)</f>
        <v>5.6</v>
      </c>
      <c r="DN63" s="12">
        <f t="array" ref="DN63">INDEX(DM:DM,MIN(IF(ISNUMBER(DM63:DM259),ROW(DM63:DM259),"")))</f>
        <v>5.6</v>
      </c>
      <c r="DO63" s="12">
        <f>IF('Données projet'!$A$166&gt;35,DO62+DN63-DW62,IF(A63&lt;'Données projet'!$A$166,$DL$205^A63,IF(A63='Données projet'!$A$166,'Données projet'!$B$166,DO62+DN63-DW62)))</f>
        <v>257.99999999999972</v>
      </c>
      <c r="DP63" s="17">
        <f>DO63*VLOOKUP('Données projet'!$B$14,Paramètres!$A$1:$I$89,3,0)*VLOOKUP('Données projet'!$B$14,Paramètres!$A$1:$I$89,5,0)</f>
        <v>209.28959999999978</v>
      </c>
      <c r="DQ63" s="13">
        <f t="shared" si="43"/>
        <v>51.780314822292119</v>
      </c>
      <c r="DR63" s="20">
        <f t="shared" si="16"/>
        <v>454.69676831549168</v>
      </c>
      <c r="DS63" s="59">
        <f t="shared" si="17"/>
        <v>748.03010164882494</v>
      </c>
      <c r="DT63" s="59">
        <f ca="1">AVERAGE(OFFSET($DS$3,0,0,'Données projet'!$E$14+1,1))-AVERAGE(OFFSET($H$3,0,0,'Données projet'!$E$14+1,1))</f>
        <v>235.31102883830971</v>
      </c>
      <c r="DU63" s="59">
        <f t="shared" si="44"/>
        <v>271.48630853790422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25</v>
      </c>
      <c r="DX63" s="16">
        <f>IF(ISNA(VLOOKUP(A63,'Données projet'!$A$165:$I$185,5,0)),0%,VLOOKUP(A63,'Données projet'!$A$165:$I$185,5,0)*VLOOKUP('Données projet'!$B$14,Paramètres!$A$1:$I$89,7,0))</f>
        <v>0.15049999999999999</v>
      </c>
      <c r="DY63" s="16">
        <f>IF(ISNA(VLOOKUP(A63,'Données projet'!$A$165:$I$185,6,0)),0%,VLOOKUP(A63,'Données projet'!$A$165:$I$185,6,0)*VLOOKUP('Données projet'!$B$14,Paramètres!$A$1:$I$89,7,0))</f>
        <v>0.27950000000000003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7.0750649742808758</v>
      </c>
      <c r="EB63" s="21">
        <f>EXP(-LN(2)/25)*EB62+(1-EXP(-LN(2)/25))/(LN(2)/25)*Calculateur!DW63*Calculateur!DY63*VLOOKUP('Données projet'!$B$14,Paramètres!$A$1:$I$89,3,0)*0.475*44/12</f>
        <v>25.045966567024536</v>
      </c>
      <c r="EC63" s="21">
        <f>EXP(-LN(2)/2)*EC62+(1-EXP(-LN(2)/2))/(LN(2)/2)*DW63*DZ63*VLOOKUP('Données projet'!$B$14,Paramètres!$A$1:$I$89,3,0)*0.475*44/12</f>
        <v>2.1582625323796765E-2</v>
      </c>
      <c r="ED63" s="22">
        <f t="shared" si="18"/>
        <v>32.142614166629208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15.8</v>
      </c>
      <c r="N64" s="13">
        <f>IF('Données projet'!$A$36&gt;35,N63+M64-V63,IF(A64&lt;'Données projet'!$A$36,$K$205^A64,IF(A64='Données projet'!$A$36,'Données projet'!$B$36,N63+M64-V63)))</f>
        <v>598.79999999999939</v>
      </c>
      <c r="O64" s="13">
        <f>N64*VLOOKUP('Données projet'!$B$9,Paramètres!$A$1:$I$89,3,0)*VLOOKUP('Données projet'!$B$9,Paramètres!$A$1:$I$89,5,0)</f>
        <v>334.72919999999971</v>
      </c>
      <c r="P64" s="13">
        <f t="shared" si="33"/>
        <v>78.409977536916543</v>
      </c>
      <c r="Q64" s="20">
        <f t="shared" si="53"/>
        <v>719.55073421012912</v>
      </c>
      <c r="R64" s="59">
        <f t="shared" si="0"/>
        <v>1012.8840675434624</v>
      </c>
      <c r="S64" s="59">
        <f ca="1">AVERAGE(OFFSET($R$3,0,0,'Données projet'!$E$9+1,1))-AVERAGE(OFFSET($H$3,0,0,'Données projet'!$E$9+1,1))</f>
        <v>446.28010102877403</v>
      </c>
      <c r="T64" s="59">
        <f t="shared" si="34"/>
        <v>445.84011537290456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6.1806523718706146</v>
      </c>
      <c r="AA64" s="21">
        <f>EXP(-LN(2)/25)*AA63+(1-EXP(-LN(2)/25))/(LN(2)/25)*Calculateur!V64*Calculateur!X64*VLOOKUP('Données projet'!$B$9,Paramètres!$A$1:$I$89,3,0)*0.475*44/12</f>
        <v>16.40967440820738</v>
      </c>
      <c r="AB64" s="21">
        <f>EXP(-LN(2)/2)*AB63+(1-EXP(-LN(2)/2))/(LN(2)/2)*V64*Y64*VLOOKUP('Données projet'!$B$9,Paramètres!$A$1:$I$89,3,0)*0.475*44/12</f>
        <v>7.8703374328136075E-4</v>
      </c>
      <c r="AC64" s="22">
        <f t="shared" si="3"/>
        <v>22.591113813821277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15.5</v>
      </c>
      <c r="AI64" s="13">
        <f>IF('Données projet'!$A$62&gt;35,AI63+AH64-AQ63,IF(A64&lt;'Données projet'!$A$62,$AF$205^A64,IF(A64='Données projet'!$A$62,'Données projet'!$B$62,AI63+AH64-AQ63)))</f>
        <v>306.89999999999986</v>
      </c>
      <c r="AJ64" s="13">
        <f>AI64*VLOOKUP('Données projet'!$B$10,Paramètres!$A$1:$I$89,3,0)*VLOOKUP('Données projet'!$B$10,Paramètres!$A$1:$I$89,5,0)</f>
        <v>143.62919999999994</v>
      </c>
      <c r="AK64" s="13">
        <f t="shared" si="35"/>
        <v>37.127161849234348</v>
      </c>
      <c r="AL64" s="20">
        <f t="shared" si="4"/>
        <v>314.81733022074968</v>
      </c>
      <c r="AM64" s="59">
        <f t="shared" si="5"/>
        <v>608.15066355408294</v>
      </c>
      <c r="AN64" s="59">
        <f ca="1">AVERAGE(OFFSET($AM$3,0,0,'Données projet'!$E$10+1,1))-AVERAGE(OFFSET($H$3,0,0,'Données projet'!$E$10+1,1))</f>
        <v>252.98248842635206</v>
      </c>
      <c r="AO64" s="59">
        <f t="shared" si="36"/>
        <v>207.11938580878308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1.6964966742988374</v>
      </c>
      <c r="AV64" s="21">
        <f>EXP(-LN(2)/25)*AV63+(1-EXP(-LN(2)/25))/(LN(2)/25)*Calculateur!AQ64*Calculateur!AS64*VLOOKUP('Données projet'!$B$10,Paramètres!$A$1:$I$89,3,0)*0.475*44/12</f>
        <v>3.3257888090873466</v>
      </c>
      <c r="AW64" s="21">
        <f>EXP(-LN(2)/2)*AW63+(1-EXP(-LN(2)/2))/(LN(2)/2)*AQ64*AT64*VLOOKUP('Données projet'!$B$10,Paramètres!$A$1:$I$89,3,0)*0.475*44/12</f>
        <v>2.1217036935547415E-4</v>
      </c>
      <c r="AX64" s="21">
        <f t="shared" si="6"/>
        <v>5.0224976537555399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139.19999999999996</v>
      </c>
      <c r="BE64" s="13">
        <f>BD64*VLOOKUP('Données projet'!$B$11,Paramètres!$A$1:$I$89,3,0)*VLOOKUP('Données projet'!$B$11,Paramètres!$A$1:$I$89,5,0)</f>
        <v>91.203839999999985</v>
      </c>
      <c r="BF64" s="13">
        <f t="shared" si="37"/>
        <v>24.855337308022524</v>
      </c>
      <c r="BG64" s="20">
        <f t="shared" si="7"/>
        <v>202.13640047813919</v>
      </c>
      <c r="BH64" s="59">
        <f t="shared" si="8"/>
        <v>495.46973381147251</v>
      </c>
      <c r="BI64" s="59">
        <f ca="1">AVERAGE(OFFSET($BH$3,0,0,'Données projet'!$E$11+1,1))-AVERAGE(OFFSET($H$3,0,0,'Données projet'!$E$11+1,1))</f>
        <v>114.23168847330004</v>
      </c>
      <c r="BJ64" s="59">
        <f t="shared" si="38"/>
        <v>42.34857998136755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139.19999999999996</v>
      </c>
      <c r="BZ64" s="13">
        <f>BY64*VLOOKUP('Données projet'!$B$12,Paramètres!$A$1:$I$89,3,0)*VLOOKUP('Données projet'!$B$12,Paramètres!$A$1:$I$89,5,0)</f>
        <v>134.63423999999998</v>
      </c>
      <c r="CA64" s="13">
        <f t="shared" si="39"/>
        <v>35.065003380589694</v>
      </c>
      <c r="CB64" s="20">
        <f t="shared" si="10"/>
        <v>295.55951555452697</v>
      </c>
      <c r="CC64" s="59">
        <f t="shared" si="11"/>
        <v>588.89284888786028</v>
      </c>
      <c r="CD64" s="59">
        <f ca="1">AVERAGE(OFFSET($CC$3,0,0,'Données projet'!$E$12+1,1))-AVERAGE(OFFSET($H$3,0,0,'Données projet'!$E$12+1,1))</f>
        <v>201.36664523637006</v>
      </c>
      <c r="CE64" s="59">
        <f t="shared" si="40"/>
        <v>79.394119001888555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18.17689922398197</v>
      </c>
      <c r="CM64" s="21">
        <f>EXP(-LN(2)/2)*CM63+(1-EXP(-LN(2)/2))/(LN(2)/2)*CG64*CJ64*VLOOKUP('Données projet'!$B$12,Paramètres!$A$1:$I$89,3,0)*0.475*44/12</f>
        <v>8.5072539091148522E-3</v>
      </c>
      <c r="CN64" s="22">
        <f t="shared" si="12"/>
        <v>18.185406477891085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7</v>
      </c>
      <c r="CT64" s="12">
        <f>IF('Données projet'!$A$140&gt;35,CT63+CS64-DB63,IF(A64&lt;'Données projet'!$A$140,$CQ$205^A64,IF(A64='Données projet'!$A$140,'Données projet'!$B$140,CT63+CS64-DB63)))</f>
        <v>199.99999999999991</v>
      </c>
      <c r="CU64" s="17">
        <f>CT64*VLOOKUP('Données projet'!$B$13,Paramètres!$A$1:$I$89,3,0)*VLOOKUP('Données projet'!$B$13,Paramètres!$A$1:$I$89,5,0)</f>
        <v>180.95999999999992</v>
      </c>
      <c r="CV64" s="13">
        <f t="shared" si="41"/>
        <v>45.53570231487172</v>
      </c>
      <c r="CW64" s="20">
        <f t="shared" si="13"/>
        <v>394.48001486506809</v>
      </c>
      <c r="CX64" s="59">
        <f t="shared" si="14"/>
        <v>687.8133481984014</v>
      </c>
      <c r="CY64" s="59">
        <f ca="1">AVERAGE(OFFSET($CX$3,0,0,'Données projet'!$E$13+1,1))-AVERAGE(OFFSET($H$3,0,0,'Données projet'!$E$13+1,1))</f>
        <v>282.08542131880455</v>
      </c>
      <c r="CZ64" s="59">
        <f t="shared" si="42"/>
        <v>174.27503468762325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10.556893861162965</v>
      </c>
      <c r="DG64" s="21">
        <f>EXP(-LN(2)/25)*DG63+(1-EXP(-LN(2)/25))/(LN(2)/25)*Calculateur!DB64*Calculateur!DD64*VLOOKUP('Données projet'!$B$13,Paramètres!$A$1:$I$89,3,0)*0.475*44/12</f>
        <v>28.315727045152201</v>
      </c>
      <c r="DH64" s="21">
        <f>EXP(-LN(2)/2)*DH63+(1-EXP(-LN(2)/2))/(LN(2)/2)*DB64*DE64*VLOOKUP('Données projet'!$B$13,Paramètres!$A$1:$I$89,3,0)*0.475*44/12</f>
        <v>1.26468536775398E-2</v>
      </c>
      <c r="DI64" s="22">
        <f t="shared" si="15"/>
        <v>38.885267759992701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4.0999999999999996</v>
      </c>
      <c r="DO64" s="12">
        <f>IF('Données projet'!$A$166&gt;35,DO63+DN64-DW63,IF(A64&lt;'Données projet'!$A$166,$DL$205^A64,IF(A64='Données projet'!$A$166,'Données projet'!$B$166,DO63+DN64-DW63)))</f>
        <v>237.09999999999974</v>
      </c>
      <c r="DP64" s="17">
        <f>DO64*VLOOKUP('Données projet'!$B$14,Paramètres!$A$1:$I$89,3,0)*VLOOKUP('Données projet'!$B$14,Paramètres!$A$1:$I$89,5,0)</f>
        <v>192.3355199999998</v>
      </c>
      <c r="DQ64" s="13">
        <f t="shared" si="43"/>
        <v>48.055935441424452</v>
      </c>
      <c r="DR64" s="20">
        <f t="shared" si="16"/>
        <v>418.68178489381393</v>
      </c>
      <c r="DS64" s="59">
        <f t="shared" si="17"/>
        <v>712.01511822714724</v>
      </c>
      <c r="DT64" s="59">
        <f ca="1">AVERAGE(OFFSET($DS$3,0,0,'Données projet'!$E$14+1,1))-AVERAGE(OFFSET($H$3,0,0,'Données projet'!$E$14+1,1))</f>
        <v>235.31102883830971</v>
      </c>
      <c r="DU64" s="59">
        <f t="shared" si="44"/>
        <v>271.48630853790422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6.9363272654987558</v>
      </c>
      <c r="EB64" s="21">
        <f>EXP(-LN(2)/25)*EB63+(1-EXP(-LN(2)/25))/(LN(2)/25)*Calculateur!DW64*Calculateur!DY64*VLOOKUP('Données projet'!$B$14,Paramètres!$A$1:$I$89,3,0)*0.475*44/12</f>
        <v>24.36108329413911</v>
      </c>
      <c r="EC64" s="21">
        <f>EXP(-LN(2)/2)*EC63+(1-EXP(-LN(2)/2))/(LN(2)/2)*DW64*DZ64*VLOOKUP('Données projet'!$B$14,Paramètres!$A$1:$I$89,3,0)*0.475*44/12</f>
        <v>1.52612207222652E-2</v>
      </c>
      <c r="ED64" s="22">
        <f t="shared" si="18"/>
        <v>31.312671780360134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15.8</v>
      </c>
      <c r="N65" s="13">
        <f>IF('Données projet'!$A$36&gt;35,N64+M65-V64,IF(A65&lt;'Données projet'!$A$36,$K$205^A65,IF(A65='Données projet'!$A$36,'Données projet'!$B$36,N64+M65-V64)))</f>
        <v>614.59999999999934</v>
      </c>
      <c r="O65" s="13">
        <f>N65*VLOOKUP('Données projet'!$B$9,Paramètres!$A$1:$I$89,3,0)*VLOOKUP('Données projet'!$B$9,Paramètres!$A$1:$I$89,5,0)</f>
        <v>343.56139999999965</v>
      </c>
      <c r="P65" s="13">
        <f t="shared" si="33"/>
        <v>80.235307380202258</v>
      </c>
      <c r="Q65" s="20">
        <f t="shared" si="53"/>
        <v>738.11259868718491</v>
      </c>
      <c r="R65" s="59">
        <f t="shared" si="0"/>
        <v>1031.4459320205183</v>
      </c>
      <c r="S65" s="59">
        <f ca="1">AVERAGE(OFFSET($R$3,0,0,'Données projet'!$E$9+1,1))-AVERAGE(OFFSET($H$3,0,0,'Données projet'!$E$9+1,1))</f>
        <v>446.28010102877403</v>
      </c>
      <c r="T65" s="59">
        <f t="shared" si="34"/>
        <v>445.84011537290456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6.0594535486839396</v>
      </c>
      <c r="AA65" s="21">
        <f>EXP(-LN(2)/25)*AA64+(1-EXP(-LN(2)/25))/(LN(2)/25)*Calculateur!V65*Calculateur!X65*VLOOKUP('Données projet'!$B$9,Paramètres!$A$1:$I$89,3,0)*0.475*44/12</f>
        <v>15.960950998567677</v>
      </c>
      <c r="AB65" s="21">
        <f>EXP(-LN(2)/2)*AB64+(1-EXP(-LN(2)/2))/(LN(2)/2)*V65*Y65*VLOOKUP('Données projet'!$B$9,Paramètres!$A$1:$I$89,3,0)*0.475*44/12</f>
        <v>5.5651689689688256E-4</v>
      </c>
      <c r="AC65" s="22">
        <f t="shared" si="3"/>
        <v>22.020961064148512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15.5</v>
      </c>
      <c r="AI65" s="13">
        <f>IF('Données projet'!$A$62&gt;35,AI64+AH65-AQ64,IF(A65&lt;'Données projet'!$A$62,$AF$205^A65,IF(A65='Données projet'!$A$62,'Données projet'!$B$62,AI64+AH65-AQ64)))</f>
        <v>322.39999999999986</v>
      </c>
      <c r="AJ65" s="13">
        <f>AI65*VLOOKUP('Données projet'!$B$10,Paramètres!$A$1:$I$89,3,0)*VLOOKUP('Données projet'!$B$10,Paramètres!$A$1:$I$89,5,0)</f>
        <v>150.88319999999993</v>
      </c>
      <c r="AK65" s="13">
        <f t="shared" si="35"/>
        <v>38.779227360583164</v>
      </c>
      <c r="AL65" s="20">
        <f t="shared" si="4"/>
        <v>330.32872765301551</v>
      </c>
      <c r="AM65" s="59">
        <f t="shared" si="5"/>
        <v>623.66206098634882</v>
      </c>
      <c r="AN65" s="59">
        <f ca="1">AVERAGE(OFFSET($AM$3,0,0,'Données projet'!$E$10+1,1))-AVERAGE(OFFSET($H$3,0,0,'Données projet'!$E$10+1,1))</f>
        <v>252.98248842635206</v>
      </c>
      <c r="AO65" s="59">
        <f t="shared" si="36"/>
        <v>207.11938580878308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1.6632294092766344</v>
      </c>
      <c r="AV65" s="21">
        <f>EXP(-LN(2)/25)*AV64+(1-EXP(-LN(2)/25))/(LN(2)/25)*Calculateur!AQ65*Calculateur!AS65*VLOOKUP('Données projet'!$B$10,Paramètres!$A$1:$I$89,3,0)*0.475*44/12</f>
        <v>3.2348449392072207</v>
      </c>
      <c r="AW65" s="21">
        <f>EXP(-LN(2)/2)*AW64+(1-EXP(-LN(2)/2))/(LN(2)/2)*AQ65*AT65*VLOOKUP('Données projet'!$B$10,Paramètres!$A$1:$I$89,3,0)*0.475*44/12</f>
        <v>1.5002710693811023E-4</v>
      </c>
      <c r="AX65" s="21">
        <f t="shared" si="6"/>
        <v>4.898224375590793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144.39999999999995</v>
      </c>
      <c r="BE65" s="13">
        <f>BD65*VLOOKUP('Données projet'!$B$11,Paramètres!$A$1:$I$89,3,0)*VLOOKUP('Données projet'!$B$11,Paramètres!$A$1:$I$89,5,0)</f>
        <v>94.610879999999966</v>
      </c>
      <c r="BF65" s="13">
        <f t="shared" si="37"/>
        <v>25.674004022574771</v>
      </c>
      <c r="BG65" s="20">
        <f t="shared" si="7"/>
        <v>209.49617300598433</v>
      </c>
      <c r="BH65" s="59">
        <f t="shared" si="8"/>
        <v>502.82950633931762</v>
      </c>
      <c r="BI65" s="59">
        <f ca="1">AVERAGE(OFFSET($BH$3,0,0,'Données projet'!$E$11+1,1))-AVERAGE(OFFSET($H$3,0,0,'Données projet'!$E$11+1,1))</f>
        <v>114.23168847330004</v>
      </c>
      <c r="BJ65" s="59">
        <f t="shared" si="38"/>
        <v>42.34857998136755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144.39999999999995</v>
      </c>
      <c r="BZ65" s="13">
        <f>BY65*VLOOKUP('Données projet'!$B$12,Paramètres!$A$1:$I$89,3,0)*VLOOKUP('Données projet'!$B$12,Paramètres!$A$1:$I$89,5,0)</f>
        <v>139.66367999999994</v>
      </c>
      <c r="CA65" s="13">
        <f t="shared" si="39"/>
        <v>36.219948524065416</v>
      </c>
      <c r="CB65" s="20">
        <f t="shared" si="10"/>
        <v>306.33065301274718</v>
      </c>
      <c r="CC65" s="59">
        <f t="shared" si="11"/>
        <v>599.66398634608049</v>
      </c>
      <c r="CD65" s="59">
        <f ca="1">AVERAGE(OFFSET($CC$3,0,0,'Données projet'!$E$12+1,1))-AVERAGE(OFFSET($H$3,0,0,'Données projet'!$E$12+1,1))</f>
        <v>201.36664523637006</v>
      </c>
      <c r="CE65" s="59">
        <f t="shared" si="40"/>
        <v>79.394119001888555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17.679850958820595</v>
      </c>
      <c r="CM65" s="21">
        <f>EXP(-LN(2)/2)*CM64+(1-EXP(-LN(2)/2))/(LN(2)/2)*CG65*CJ65*VLOOKUP('Données projet'!$B$12,Paramètres!$A$1:$I$89,3,0)*0.475*44/12</f>
        <v>6.015536928410877E-3</v>
      </c>
      <c r="CN65" s="22">
        <f t="shared" si="12"/>
        <v>17.685866495749007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7</v>
      </c>
      <c r="CT65" s="12">
        <f>IF('Données projet'!$A$140&gt;35,CT64+CS65-DB64,IF(A65&lt;'Données projet'!$A$140,$CQ$205^A65,IF(A65='Données projet'!$A$140,'Données projet'!$B$140,CT64+CS65-DB64)))</f>
        <v>206.99999999999991</v>
      </c>
      <c r="CU65" s="17">
        <f>CT65*VLOOKUP('Données projet'!$B$13,Paramètres!$A$1:$I$89,3,0)*VLOOKUP('Données projet'!$B$13,Paramètres!$A$1:$I$89,5,0)</f>
        <v>187.29359999999991</v>
      </c>
      <c r="CV65" s="13">
        <f t="shared" si="41"/>
        <v>46.941107550760421</v>
      </c>
      <c r="CW65" s="20">
        <f t="shared" si="13"/>
        <v>407.95878231757428</v>
      </c>
      <c r="CX65" s="59">
        <f t="shared" si="14"/>
        <v>701.29211565090759</v>
      </c>
      <c r="CY65" s="59">
        <f ca="1">AVERAGE(OFFSET($CX$3,0,0,'Données projet'!$E$13+1,1))-AVERAGE(OFFSET($H$3,0,0,'Données projet'!$E$13+1,1))</f>
        <v>282.08542131880455</v>
      </c>
      <c r="CZ65" s="59">
        <f t="shared" si="42"/>
        <v>174.27503468762325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10.349879611615009</v>
      </c>
      <c r="DG65" s="21">
        <f>EXP(-LN(2)/25)*DG64+(1-EXP(-LN(2)/25))/(LN(2)/25)*Calculateur!DB65*Calculateur!DD65*VLOOKUP('Données projet'!$B$13,Paramètres!$A$1:$I$89,3,0)*0.475*44/12</f>
        <v>27.541432000043145</v>
      </c>
      <c r="DH65" s="21">
        <f>EXP(-LN(2)/2)*DH64+(1-EXP(-LN(2)/2))/(LN(2)/2)*DB65*DE65*VLOOKUP('Données projet'!$B$13,Paramètres!$A$1:$I$89,3,0)*0.475*44/12</f>
        <v>8.9426759960624189E-3</v>
      </c>
      <c r="DI65" s="22">
        <f t="shared" si="15"/>
        <v>37.900254287654214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4.0999999999999996</v>
      </c>
      <c r="DO65" s="12">
        <f>IF('Données projet'!$A$166&gt;35,DO64+DN65-DW64,IF(A65&lt;'Données projet'!$A$166,$DL$205^A65,IF(A65='Données projet'!$A$166,'Données projet'!$B$166,DO64+DN65-DW64)))</f>
        <v>241.19999999999973</v>
      </c>
      <c r="DP65" s="17">
        <f>DO65*VLOOKUP('Données projet'!$B$14,Paramètres!$A$1:$I$89,3,0)*VLOOKUP('Données projet'!$B$14,Paramètres!$A$1:$I$89,5,0)</f>
        <v>195.6614399999998</v>
      </c>
      <c r="DQ65" s="13">
        <f t="shared" si="43"/>
        <v>48.789469927948474</v>
      </c>
      <c r="DR65" s="20">
        <f t="shared" si="16"/>
        <v>425.75200145784316</v>
      </c>
      <c r="DS65" s="59">
        <f t="shared" si="17"/>
        <v>719.08533479117648</v>
      </c>
      <c r="DT65" s="59">
        <f ca="1">AVERAGE(OFFSET($DS$3,0,0,'Données projet'!$E$14+1,1))-AVERAGE(OFFSET($H$3,0,0,'Données projet'!$E$14+1,1))</f>
        <v>235.31102883830971</v>
      </c>
      <c r="DU65" s="59">
        <f t="shared" si="44"/>
        <v>271.48630853790422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6.8003101185642061</v>
      </c>
      <c r="EB65" s="21">
        <f>EXP(-LN(2)/25)*EB64+(1-EXP(-LN(2)/25))/(LN(2)/25)*Calculateur!DW65*Calculateur!DY65*VLOOKUP('Données projet'!$B$14,Paramètres!$A$1:$I$89,3,0)*0.475*44/12</f>
        <v>23.694928190367182</v>
      </c>
      <c r="EC65" s="21">
        <f>EXP(-LN(2)/2)*EC64+(1-EXP(-LN(2)/2))/(LN(2)/2)*DW65*DZ65*VLOOKUP('Données projet'!$B$14,Paramètres!$A$1:$I$89,3,0)*0.475*44/12</f>
        <v>1.0791312661898384E-2</v>
      </c>
      <c r="ED65" s="22">
        <f t="shared" si="18"/>
        <v>30.506029621593285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15.8</v>
      </c>
      <c r="N66" s="13">
        <f>IF('Données projet'!$A$36&gt;35,N65+M66-V65,IF(A66&lt;'Données projet'!$A$36,$K$205^A66,IF(A66='Données projet'!$A$36,'Données projet'!$B$36,N65+M66-V65)))</f>
        <v>630.3999999999993</v>
      </c>
      <c r="O66" s="13">
        <f>N66*VLOOKUP('Données projet'!$B$9,Paramètres!$A$1:$I$89,3,0)*VLOOKUP('Données projet'!$B$9,Paramètres!$A$1:$I$89,5,0)</f>
        <v>352.39359999999965</v>
      </c>
      <c r="P66" s="13">
        <f t="shared" si="33"/>
        <v>82.055182662578147</v>
      </c>
      <c r="Q66" s="20">
        <f t="shared" si="53"/>
        <v>756.66496313732296</v>
      </c>
      <c r="R66" s="59">
        <f t="shared" si="0"/>
        <v>1049.9982964706562</v>
      </c>
      <c r="S66" s="59">
        <f ca="1">AVERAGE(OFFSET($R$3,0,0,'Données projet'!$E$9+1,1))-AVERAGE(OFFSET($H$3,0,0,'Données projet'!$E$9+1,1))</f>
        <v>446.28010102877403</v>
      </c>
      <c r="T66" s="59">
        <f t="shared" si="34"/>
        <v>445.84011537290456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5.9406313604959724</v>
      </c>
      <c r="AA66" s="21">
        <f>EXP(-LN(2)/25)*AA65+(1-EXP(-LN(2)/25))/(LN(2)/25)*Calculateur!V66*Calculateur!X66*VLOOKUP('Données projet'!$B$9,Paramètres!$A$1:$I$89,3,0)*0.475*44/12</f>
        <v>15.524497954161911</v>
      </c>
      <c r="AB66" s="21">
        <f>EXP(-LN(2)/2)*AB65+(1-EXP(-LN(2)/2))/(LN(2)/2)*V66*Y66*VLOOKUP('Données projet'!$B$9,Paramètres!$A$1:$I$89,3,0)*0.475*44/12</f>
        <v>3.9351687164068037E-4</v>
      </c>
      <c r="AC66" s="22">
        <f t="shared" si="3"/>
        <v>21.465522831529523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15.5</v>
      </c>
      <c r="AI66" s="13">
        <f>IF('Données projet'!$A$62&gt;35,AI65+AH66-AQ65,IF(A66&lt;'Données projet'!$A$62,$AF$205^A66,IF(A66='Données projet'!$A$62,'Données projet'!$B$62,AI65+AH66-AQ65)))</f>
        <v>337.89999999999986</v>
      </c>
      <c r="AJ66" s="13">
        <f>AI66*VLOOKUP('Données projet'!$B$10,Paramètres!$A$1:$I$89,3,0)*VLOOKUP('Données projet'!$B$10,Paramètres!$A$1:$I$89,5,0)</f>
        <v>158.13719999999995</v>
      </c>
      <c r="AK66" s="13">
        <f t="shared" si="35"/>
        <v>40.422069728367696</v>
      </c>
      <c r="AL66" s="20">
        <f t="shared" si="4"/>
        <v>345.82406144357361</v>
      </c>
      <c r="AM66" s="59">
        <f t="shared" si="5"/>
        <v>639.15739477690693</v>
      </c>
      <c r="AN66" s="59">
        <f ca="1">AVERAGE(OFFSET($AM$3,0,0,'Données projet'!$E$10+1,1))-AVERAGE(OFFSET($H$3,0,0,'Données projet'!$E$10+1,1))</f>
        <v>252.98248842635206</v>
      </c>
      <c r="AO66" s="59">
        <f t="shared" si="36"/>
        <v>207.11938580878308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1.6306144950304886</v>
      </c>
      <c r="AV66" s="21">
        <f>EXP(-LN(2)/25)*AV65+(1-EXP(-LN(2)/25))/(LN(2)/25)*Calculateur!AQ66*Calculateur!AS66*VLOOKUP('Données projet'!$B$10,Paramètres!$A$1:$I$89,3,0)*0.475*44/12</f>
        <v>3.1463879342314973</v>
      </c>
      <c r="AW66" s="21">
        <f>EXP(-LN(2)/2)*AW65+(1-EXP(-LN(2)/2))/(LN(2)/2)*AQ66*AT66*VLOOKUP('Données projet'!$B$10,Paramètres!$A$1:$I$89,3,0)*0.475*44/12</f>
        <v>1.0608518467773708E-4</v>
      </c>
      <c r="AX66" s="21">
        <f t="shared" si="6"/>
        <v>4.7771085144466632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149.59999999999994</v>
      </c>
      <c r="BE66" s="13">
        <f>BD66*VLOOKUP('Données projet'!$B$11,Paramètres!$A$1:$I$89,3,0)*VLOOKUP('Données projet'!$B$11,Paramètres!$A$1:$I$89,5,0)</f>
        <v>98.017919999999961</v>
      </c>
      <c r="BF66" s="13">
        <f t="shared" si="37"/>
        <v>26.489245540318151</v>
      </c>
      <c r="BG66" s="20">
        <f t="shared" si="7"/>
        <v>216.8499799827207</v>
      </c>
      <c r="BH66" s="59">
        <f t="shared" si="8"/>
        <v>510.18331331605401</v>
      </c>
      <c r="BI66" s="59">
        <f ca="1">AVERAGE(OFFSET($BH$3,0,0,'Données projet'!$E$11+1,1))-AVERAGE(OFFSET($H$3,0,0,'Données projet'!$E$11+1,1))</f>
        <v>114.23168847330004</v>
      </c>
      <c r="BJ66" s="59">
        <f t="shared" si="38"/>
        <v>42.34857998136755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149.59999999999994</v>
      </c>
      <c r="BZ66" s="13">
        <f>BY66*VLOOKUP('Données projet'!$B$12,Paramètres!$A$1:$I$89,3,0)*VLOOKUP('Données projet'!$B$12,Paramètres!$A$1:$I$89,5,0)</f>
        <v>144.69311999999996</v>
      </c>
      <c r="CA66" s="13">
        <f t="shared" si="39"/>
        <v>37.370061524802736</v>
      </c>
      <c r="CB66" s="20">
        <f t="shared" si="10"/>
        <v>317.09337448903136</v>
      </c>
      <c r="CC66" s="59">
        <f t="shared" si="11"/>
        <v>610.42670782236473</v>
      </c>
      <c r="CD66" s="59">
        <f ca="1">AVERAGE(OFFSET($CC$3,0,0,'Données projet'!$E$12+1,1))-AVERAGE(OFFSET($H$3,0,0,'Données projet'!$E$12+1,1))</f>
        <v>201.36664523637006</v>
      </c>
      <c r="CE66" s="59">
        <f t="shared" si="40"/>
        <v>79.394119001888555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17.196394504608691</v>
      </c>
      <c r="CM66" s="21">
        <f>EXP(-LN(2)/2)*CM65+(1-EXP(-LN(2)/2))/(LN(2)/2)*CG66*CJ66*VLOOKUP('Données projet'!$B$12,Paramètres!$A$1:$I$89,3,0)*0.475*44/12</f>
        <v>4.2536269545574261E-3</v>
      </c>
      <c r="CN66" s="22">
        <f t="shared" si="12"/>
        <v>17.200648131563248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7</v>
      </c>
      <c r="CT66" s="12">
        <f>IF('Données projet'!$A$140&gt;35,CT65+CS66-DB65,IF(A66&lt;'Données projet'!$A$140,$CQ$205^A66,IF(A66='Données projet'!$A$140,'Données projet'!$B$140,CT65+CS66-DB65)))</f>
        <v>213.99999999999991</v>
      </c>
      <c r="CU66" s="17">
        <f>CT66*VLOOKUP('Données projet'!$B$13,Paramètres!$A$1:$I$89,3,0)*VLOOKUP('Données projet'!$B$13,Paramètres!$A$1:$I$89,5,0)</f>
        <v>193.62719999999993</v>
      </c>
      <c r="CV66" s="13">
        <f t="shared" si="41"/>
        <v>48.340990547231193</v>
      </c>
      <c r="CW66" s="20">
        <f t="shared" si="13"/>
        <v>421.42793186976087</v>
      </c>
      <c r="CX66" s="59">
        <f t="shared" si="14"/>
        <v>714.76126520309413</v>
      </c>
      <c r="CY66" s="59">
        <f ca="1">AVERAGE(OFFSET($CX$3,0,0,'Données projet'!$E$13+1,1))-AVERAGE(OFFSET($H$3,0,0,'Données projet'!$E$13+1,1))</f>
        <v>282.08542131880455</v>
      </c>
      <c r="CZ66" s="59">
        <f t="shared" si="42"/>
        <v>174.27503468762325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10.146924785234464</v>
      </c>
      <c r="DG66" s="21">
        <f>EXP(-LN(2)/25)*DG65+(1-EXP(-LN(2)/25))/(LN(2)/25)*Calculateur!DB66*Calculateur!DD66*VLOOKUP('Données projet'!$B$13,Paramètres!$A$1:$I$89,3,0)*0.475*44/12</f>
        <v>26.788310093661003</v>
      </c>
      <c r="DH66" s="21">
        <f>EXP(-LN(2)/2)*DH65+(1-EXP(-LN(2)/2))/(LN(2)/2)*DB66*DE66*VLOOKUP('Données projet'!$B$13,Paramètres!$A$1:$I$89,3,0)*0.475*44/12</f>
        <v>6.3234268387698999E-3</v>
      </c>
      <c r="DI66" s="22">
        <f t="shared" si="15"/>
        <v>36.94155830573424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4.0999999999999996</v>
      </c>
      <c r="DO66" s="12">
        <f>IF('Données projet'!$A$166&gt;35,DO65+DN66-DW65,IF(A66&lt;'Données projet'!$A$166,$DL$205^A66,IF(A66='Données projet'!$A$166,'Données projet'!$B$166,DO65+DN66-DW65)))</f>
        <v>245.29999999999973</v>
      </c>
      <c r="DP66" s="17">
        <f>DO66*VLOOKUP('Données projet'!$B$14,Paramètres!$A$1:$I$89,3,0)*VLOOKUP('Données projet'!$B$14,Paramètres!$A$1:$I$89,5,0)</f>
        <v>198.9873599999998</v>
      </c>
      <c r="DQ66" s="13">
        <f t="shared" si="43"/>
        <v>49.521554399108588</v>
      </c>
      <c r="DR66" s="20">
        <f t="shared" si="16"/>
        <v>432.81969257844707</v>
      </c>
      <c r="DS66" s="59">
        <f t="shared" si="17"/>
        <v>726.15302591178033</v>
      </c>
      <c r="DT66" s="59">
        <f ca="1">AVERAGE(OFFSET($DS$3,0,0,'Données projet'!$E$14+1,1))-AVERAGE(OFFSET($H$3,0,0,'Données projet'!$E$14+1,1))</f>
        <v>235.31102883830971</v>
      </c>
      <c r="DU66" s="59">
        <f t="shared" si="44"/>
        <v>271.48630853790422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6.666960184918775</v>
      </c>
      <c r="EB66" s="21">
        <f>EXP(-LN(2)/25)*EB65+(1-EXP(-LN(2)/25))/(LN(2)/25)*Calculateur!DW66*Calculateur!DY66*VLOOKUP('Données projet'!$B$14,Paramètres!$A$1:$I$89,3,0)*0.475*44/12</f>
        <v>23.046989132939473</v>
      </c>
      <c r="EC66" s="21">
        <f>EXP(-LN(2)/2)*EC65+(1-EXP(-LN(2)/2))/(LN(2)/2)*DW66*DZ66*VLOOKUP('Données projet'!$B$14,Paramètres!$A$1:$I$89,3,0)*0.475*44/12</f>
        <v>7.6306103611326007E-3</v>
      </c>
      <c r="ED66" s="22">
        <f t="shared" si="18"/>
        <v>29.721579928219381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15.8</v>
      </c>
      <c r="N67" s="13">
        <f>IF('Données projet'!$A$36&gt;35,N66+M67-V66,IF(A67&lt;'Données projet'!$A$36,$K$205^A67,IF(A67='Données projet'!$A$36,'Données projet'!$B$36,N66+M67-V66)))</f>
        <v>646.19999999999925</v>
      </c>
      <c r="O67" s="13">
        <f>N67*VLOOKUP('Données projet'!$B$9,Paramètres!$A$1:$I$89,3,0)*VLOOKUP('Données projet'!$B$9,Paramètres!$A$1:$I$89,5,0)</f>
        <v>361.22579999999965</v>
      </c>
      <c r="P67" s="13">
        <f t="shared" si="33"/>
        <v>83.869755817099659</v>
      </c>
      <c r="Q67" s="20">
        <f t="shared" ref="Q67:Q98" si="54">(O67+P67)*0.475*44/12</f>
        <v>775.20809304811462</v>
      </c>
      <c r="R67" s="59">
        <f t="shared" ref="R67:R130" si="55">Q67+(I67+J67)*44/12</f>
        <v>1068.541426381448</v>
      </c>
      <c r="S67" s="59">
        <f ca="1">AVERAGE(OFFSET($R$3,0,0,'Données projet'!$E$9+1,1))-AVERAGE(OFFSET($H$3,0,0,'Données projet'!$E$9+1,1))</f>
        <v>446.28010102877403</v>
      </c>
      <c r="T67" s="59">
        <f t="shared" si="34"/>
        <v>445.84011537290456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5.8241392029439929</v>
      </c>
      <c r="AA67" s="21">
        <f>EXP(-LN(2)/25)*AA66+(1-EXP(-LN(2)/25))/(LN(2)/25)*Calculateur!V67*Calculateur!X67*VLOOKUP('Données projet'!$B$9,Paramètres!$A$1:$I$89,3,0)*0.475*44/12</f>
        <v>15.099979741207488</v>
      </c>
      <c r="AB67" s="21">
        <f>EXP(-LN(2)/2)*AB66+(1-EXP(-LN(2)/2))/(LN(2)/2)*V67*Y67*VLOOKUP('Données projet'!$B$9,Paramètres!$A$1:$I$89,3,0)*0.475*44/12</f>
        <v>2.7825844844844128E-4</v>
      </c>
      <c r="AC67" s="22">
        <f t="shared" si="3"/>
        <v>20.924397202599931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15.5</v>
      </c>
      <c r="AI67" s="13">
        <f>IF('Données projet'!$A$62&gt;35,AI66+AH67-AQ66,IF(A67&lt;'Données projet'!$A$62,$AF$205^A67,IF(A67='Données projet'!$A$62,'Données projet'!$B$62,AI66+AH67-AQ66)))</f>
        <v>353.39999999999986</v>
      </c>
      <c r="AJ67" s="13">
        <f>AI67*VLOOKUP('Données projet'!$B$10,Paramètres!$A$1:$I$89,3,0)*VLOOKUP('Données projet'!$B$10,Paramètres!$A$1:$I$89,5,0)</f>
        <v>165.39119999999994</v>
      </c>
      <c r="AK67" s="13">
        <f t="shared" si="35"/>
        <v>42.056160358234834</v>
      </c>
      <c r="AL67" s="20">
        <f t="shared" si="4"/>
        <v>361.30415262392557</v>
      </c>
      <c r="AM67" s="59">
        <f t="shared" si="5"/>
        <v>654.63748595725883</v>
      </c>
      <c r="AN67" s="59">
        <f ca="1">AVERAGE(OFFSET($AM$3,0,0,'Données projet'!$E$10+1,1))-AVERAGE(OFFSET($H$3,0,0,'Données projet'!$E$10+1,1))</f>
        <v>252.98248842635206</v>
      </c>
      <c r="AO67" s="59">
        <f t="shared" si="36"/>
        <v>207.11938580878308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1.5986391393595765</v>
      </c>
      <c r="AV67" s="21">
        <f>EXP(-LN(2)/25)*AV66+(1-EXP(-LN(2)/25))/(LN(2)/25)*Calculateur!AQ67*Calculateur!AS67*VLOOKUP('Données projet'!$B$10,Paramètres!$A$1:$I$89,3,0)*0.475*44/12</f>
        <v>3.0603497907085866</v>
      </c>
      <c r="AW67" s="21">
        <f>EXP(-LN(2)/2)*AW66+(1-EXP(-LN(2)/2))/(LN(2)/2)*AQ67*AT67*VLOOKUP('Données projet'!$B$10,Paramètres!$A$1:$I$89,3,0)*0.475*44/12</f>
        <v>7.5013553469055114E-5</v>
      </c>
      <c r="AX67" s="21">
        <f t="shared" si="6"/>
        <v>4.6590639436216321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154.79999999999993</v>
      </c>
      <c r="BE67" s="13">
        <f>BD67*VLOOKUP('Données projet'!$B$11,Paramètres!$A$1:$I$89,3,0)*VLOOKUP('Données projet'!$B$11,Paramètres!$A$1:$I$89,5,0)</f>
        <v>101.42495999999994</v>
      </c>
      <c r="BF67" s="13">
        <f t="shared" si="37"/>
        <v>27.301194562993881</v>
      </c>
      <c r="BG67" s="20">
        <f t="shared" si="7"/>
        <v>224.19805253054756</v>
      </c>
      <c r="BH67" s="59">
        <f t="shared" si="8"/>
        <v>517.53138586388081</v>
      </c>
      <c r="BI67" s="59">
        <f ca="1">AVERAGE(OFFSET($BH$3,0,0,'Données projet'!$E$11+1,1))-AVERAGE(OFFSET($H$3,0,0,'Données projet'!$E$11+1,1))</f>
        <v>114.23168847330004</v>
      </c>
      <c r="BJ67" s="59">
        <f t="shared" si="38"/>
        <v>42.34857998136755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154.79999999999993</v>
      </c>
      <c r="BZ67" s="13">
        <f>BY67*VLOOKUP('Données projet'!$B$12,Paramètres!$A$1:$I$89,3,0)*VLOOKUP('Données projet'!$B$12,Paramètres!$A$1:$I$89,5,0)</f>
        <v>149.72255999999993</v>
      </c>
      <c r="CA67" s="13">
        <f t="shared" si="39"/>
        <v>38.515529593578471</v>
      </c>
      <c r="CB67" s="20">
        <f t="shared" si="10"/>
        <v>327.84800604214905</v>
      </c>
      <c r="CC67" s="59">
        <f t="shared" si="11"/>
        <v>621.18133937548237</v>
      </c>
      <c r="CD67" s="59">
        <f ca="1">AVERAGE(OFFSET($CC$3,0,0,'Données projet'!$E$12+1,1))-AVERAGE(OFFSET($H$3,0,0,'Données projet'!$E$12+1,1))</f>
        <v>201.36664523637006</v>
      </c>
      <c r="CE67" s="59">
        <f t="shared" si="40"/>
        <v>79.394119001888555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16.726158192561083</v>
      </c>
      <c r="CM67" s="21">
        <f>EXP(-LN(2)/2)*CM66+(1-EXP(-LN(2)/2))/(LN(2)/2)*CG67*CJ67*VLOOKUP('Données projet'!$B$12,Paramètres!$A$1:$I$89,3,0)*0.475*44/12</f>
        <v>3.0077684642054385E-3</v>
      </c>
      <c r="CN67" s="22">
        <f t="shared" si="12"/>
        <v>16.729165961025288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7</v>
      </c>
      <c r="CT67" s="12">
        <f>IF('Données projet'!$A$140&gt;35,CT66+CS67-DB66,IF(A67&lt;'Données projet'!$A$140,$CQ$205^A67,IF(A67='Données projet'!$A$140,'Données projet'!$B$140,CT66+CS67-DB66)))</f>
        <v>220.99999999999991</v>
      </c>
      <c r="CU67" s="17">
        <f>CT67*VLOOKUP('Données projet'!$B$13,Paramètres!$A$1:$I$89,3,0)*VLOOKUP('Données projet'!$B$13,Paramètres!$A$1:$I$89,5,0)</f>
        <v>199.96079999999992</v>
      </c>
      <c r="CV67" s="13">
        <f t="shared" si="41"/>
        <v>49.735552653569222</v>
      </c>
      <c r="CW67" s="20">
        <f t="shared" si="13"/>
        <v>434.88781420496622</v>
      </c>
      <c r="CX67" s="59">
        <f t="shared" si="14"/>
        <v>728.22114753829953</v>
      </c>
      <c r="CY67" s="59">
        <f ca="1">AVERAGE(OFFSET($CX$3,0,0,'Données projet'!$E$13+1,1))-AVERAGE(OFFSET($H$3,0,0,'Données projet'!$E$13+1,1))</f>
        <v>282.08542131880455</v>
      </c>
      <c r="CZ67" s="59">
        <f t="shared" si="42"/>
        <v>174.27503468762325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9.9479497792090221</v>
      </c>
      <c r="DG67" s="21">
        <f>EXP(-LN(2)/25)*DG66+(1-EXP(-LN(2)/25))/(LN(2)/25)*Calculateur!DB67*Calculateur!DD67*VLOOKUP('Données projet'!$B$13,Paramètres!$A$1:$I$89,3,0)*0.475*44/12</f>
        <v>26.055782345413842</v>
      </c>
      <c r="DH67" s="21">
        <f>EXP(-LN(2)/2)*DH66+(1-EXP(-LN(2)/2))/(LN(2)/2)*DB67*DE67*VLOOKUP('Données projet'!$B$13,Paramètres!$A$1:$I$89,3,0)*0.475*44/12</f>
        <v>4.4713379980312095E-3</v>
      </c>
      <c r="DI67" s="22">
        <f t="shared" si="15"/>
        <v>36.008203462620898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4.0999999999999996</v>
      </c>
      <c r="DO67" s="12">
        <f>IF('Données projet'!$A$166&gt;35,DO66+DN67-DW66,IF(A67&lt;'Données projet'!$A$166,$DL$205^A67,IF(A67='Données projet'!$A$166,'Données projet'!$B$166,DO66+DN67-DW66)))</f>
        <v>249.39999999999972</v>
      </c>
      <c r="DP67" s="17">
        <f>DO67*VLOOKUP('Données projet'!$B$14,Paramètres!$A$1:$I$89,3,0)*VLOOKUP('Données projet'!$B$14,Paramètres!$A$1:$I$89,5,0)</f>
        <v>202.31327999999976</v>
      </c>
      <c r="DQ67" s="13">
        <f t="shared" si="43"/>
        <v>50.252215888082027</v>
      </c>
      <c r="DR67" s="20">
        <f t="shared" si="16"/>
        <v>439.88490533840906</v>
      </c>
      <c r="DS67" s="59">
        <f t="shared" si="17"/>
        <v>733.21823867174237</v>
      </c>
      <c r="DT67" s="59">
        <f ca="1">AVERAGE(OFFSET($DS$3,0,0,'Données projet'!$E$14+1,1))-AVERAGE(OFFSET($H$3,0,0,'Données projet'!$E$14+1,1))</f>
        <v>235.31102883830971</v>
      </c>
      <c r="DU67" s="59">
        <f t="shared" si="44"/>
        <v>271.48630853790422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6.5362251621367022</v>
      </c>
      <c r="EB67" s="21">
        <f>EXP(-LN(2)/25)*EB66+(1-EXP(-LN(2)/25))/(LN(2)/25)*Calculateur!DW67*Calculateur!DY67*VLOOKUP('Données projet'!$B$14,Paramètres!$A$1:$I$89,3,0)*0.475*44/12</f>
        <v>22.416768003110757</v>
      </c>
      <c r="EC67" s="21">
        <f>EXP(-LN(2)/2)*EC66+(1-EXP(-LN(2)/2))/(LN(2)/2)*DW67*DZ67*VLOOKUP('Données projet'!$B$14,Paramètres!$A$1:$I$89,3,0)*0.475*44/12</f>
        <v>5.3956563309491929E-3</v>
      </c>
      <c r="ED67" s="22">
        <f t="shared" si="18"/>
        <v>28.95838882157841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15.8</v>
      </c>
      <c r="N68" s="13">
        <f>IF('Données projet'!$A$36&gt;35,N67+M68-V67,IF(A68&lt;'Données projet'!$A$36,$K$205^A68,IF(A68='Données projet'!$A$36,'Données projet'!$B$36,N67+M68-V67)))</f>
        <v>661.9999999999992</v>
      </c>
      <c r="O68" s="13">
        <f>N68*VLOOKUP('Données projet'!$B$9,Paramètres!$A$1:$I$89,3,0)*VLOOKUP('Données projet'!$B$9,Paramètres!$A$1:$I$89,5,0)</f>
        <v>370.05799999999954</v>
      </c>
      <c r="P68" s="13">
        <f t="shared" si="33"/>
        <v>85.679171397668327</v>
      </c>
      <c r="Q68" s="20">
        <f t="shared" si="54"/>
        <v>793.74224018427151</v>
      </c>
      <c r="R68" s="59">
        <f t="shared" si="55"/>
        <v>1087.0755735176049</v>
      </c>
      <c r="S68" s="59">
        <f ca="1">AVERAGE(OFFSET($R$3,0,0,'Données projet'!$E$9+1,1))-AVERAGE(OFFSET($H$3,0,0,'Données projet'!$E$9+1,1))</f>
        <v>446.28010102877403</v>
      </c>
      <c r="T68" s="59">
        <f t="shared" si="34"/>
        <v>445.84011537290456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5.7099313855484075</v>
      </c>
      <c r="AA68" s="21">
        <f>EXP(-LN(2)/25)*AA67+(1-EXP(-LN(2)/25))/(LN(2)/25)*Calculateur!V68*Calculateur!X68*VLOOKUP('Données projet'!$B$9,Paramètres!$A$1:$I$89,3,0)*0.475*44/12</f>
        <v>14.687070001110746</v>
      </c>
      <c r="AB68" s="21">
        <f>EXP(-LN(2)/2)*AB67+(1-EXP(-LN(2)/2))/(LN(2)/2)*V68*Y68*VLOOKUP('Données projet'!$B$9,Paramètres!$A$1:$I$89,3,0)*0.475*44/12</f>
        <v>1.9675843582034019E-4</v>
      </c>
      <c r="AC68" s="22">
        <f t="shared" ref="AC68:AC131" si="57">SUM(Z68:AB68)</f>
        <v>20.397198145094972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15.5</v>
      </c>
      <c r="AI68" s="13">
        <f>IF('Données projet'!$A$62&gt;35,AI67+AH68-AQ67,IF(A68&lt;'Données projet'!$A$62,$AF$205^A68,IF(A68='Données projet'!$A$62,'Données projet'!$B$62,AI67+AH68-AQ67)))</f>
        <v>368.89999999999986</v>
      </c>
      <c r="AJ68" s="13">
        <f>AI68*VLOOKUP('Données projet'!$B$10,Paramètres!$A$1:$I$89,3,0)*VLOOKUP('Données projet'!$B$10,Paramètres!$A$1:$I$89,5,0)</f>
        <v>172.64519999999993</v>
      </c>
      <c r="AK68" s="13">
        <f t="shared" si="35"/>
        <v>43.681926966241704</v>
      </c>
      <c r="AL68" s="20">
        <f t="shared" ref="AL68:AL131" si="58">(AJ68+AK68)*0.475*44/12</f>
        <v>376.76974613287081</v>
      </c>
      <c r="AM68" s="59">
        <f t="shared" ref="AM68:AM131" si="59">AL68+(AD68+AE68)*44/12</f>
        <v>670.10307946620412</v>
      </c>
      <c r="AN68" s="59">
        <f ca="1">AVERAGE(OFFSET($AM$3,0,0,'Données projet'!$E$10+1,1))-AVERAGE(OFFSET($H$3,0,0,'Données projet'!$E$10+1,1))</f>
        <v>252.98248842635206</v>
      </c>
      <c r="AO68" s="59">
        <f t="shared" si="36"/>
        <v>207.11938580878308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1.5672908009103297</v>
      </c>
      <c r="AV68" s="21">
        <f>EXP(-LN(2)/25)*AV67+(1-EXP(-LN(2)/25))/(LN(2)/25)*Calculateur!AQ68*Calculateur!AS68*VLOOKUP('Données projet'!$B$10,Paramètres!$A$1:$I$89,3,0)*0.475*44/12</f>
        <v>2.9766643647448592</v>
      </c>
      <c r="AW68" s="21">
        <f>EXP(-LN(2)/2)*AW67+(1-EXP(-LN(2)/2))/(LN(2)/2)*AQ68*AT68*VLOOKUP('Données projet'!$B$10,Paramètres!$A$1:$I$89,3,0)*0.475*44/12</f>
        <v>5.3042592338868538E-5</v>
      </c>
      <c r="AX68" s="21">
        <f t="shared" ref="AX68:AX131" si="60">SUM(AU68:AW68)</f>
        <v>4.5440082082475275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159.99999999999991</v>
      </c>
      <c r="BE68" s="13">
        <f>BD68*VLOOKUP('Données projet'!$B$11,Paramètres!$A$1:$I$89,3,0)*VLOOKUP('Données projet'!$B$11,Paramètres!$A$1:$I$89,5,0)</f>
        <v>104.83199999999994</v>
      </c>
      <c r="BF68" s="13">
        <f t="shared" si="37"/>
        <v>28.109974371137692</v>
      </c>
      <c r="BG68" s="20">
        <f t="shared" ref="BG68:BG131" si="61">(BE68+BF68)*0.475*44/12</f>
        <v>231.54060536306471</v>
      </c>
      <c r="BH68" s="59">
        <f t="shared" ref="BH68:BH131" si="62">BG68+(AY68+AZ68)*44/12</f>
        <v>524.873938696398</v>
      </c>
      <c r="BI68" s="59">
        <f ca="1">AVERAGE(OFFSET($BH$3,0,0,'Données projet'!$E$11+1,1))-AVERAGE(OFFSET($H$3,0,0,'Données projet'!$E$11+1,1))</f>
        <v>114.23168847330004</v>
      </c>
      <c r="BJ68" s="59">
        <f t="shared" si="38"/>
        <v>42.34857998136755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159.99999999999991</v>
      </c>
      <c r="BZ68" s="13">
        <f>BY68*VLOOKUP('Données projet'!$B$12,Paramètres!$A$1:$I$89,3,0)*VLOOKUP('Données projet'!$B$12,Paramètres!$A$1:$I$89,5,0)</f>
        <v>154.75199999999992</v>
      </c>
      <c r="CA68" s="13">
        <f t="shared" si="39"/>
        <v>39.656526650076415</v>
      </c>
      <c r="CB68" s="20">
        <f t="shared" ref="CB68:CB131" si="64">(BZ68+CA68)*0.475*44/12</f>
        <v>338.59485058221628</v>
      </c>
      <c r="CC68" s="59">
        <f t="shared" ref="CC68:CC131" si="65">CB68+(BT68+BU68)*44/12</f>
        <v>631.92818391554965</v>
      </c>
      <c r="CD68" s="59">
        <f ca="1">AVERAGE(OFFSET($CC$3,0,0,'Données projet'!$E$12+1,1))-AVERAGE(OFFSET($H$3,0,0,'Données projet'!$E$12+1,1))</f>
        <v>201.36664523637006</v>
      </c>
      <c r="CE68" s="59">
        <f t="shared" si="40"/>
        <v>79.394119001888555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16.268780517195069</v>
      </c>
      <c r="CM68" s="21">
        <f>EXP(-LN(2)/2)*CM67+(1-EXP(-LN(2)/2))/(LN(2)/2)*CG68*CJ68*VLOOKUP('Données projet'!$B$12,Paramètres!$A$1:$I$89,3,0)*0.475*44/12</f>
        <v>2.126813477278713E-3</v>
      </c>
      <c r="CN68" s="22">
        <f t="shared" ref="CN68:CN131" si="66">SUM(CK68:CM68)</f>
        <v>16.270907330672348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7</v>
      </c>
      <c r="CT68" s="12">
        <f>IF('Données projet'!$A$140&gt;35,CT67+CS68-DB67,IF(A68&lt;'Données projet'!$A$140,$CQ$205^A68,IF(A68='Données projet'!$A$140,'Données projet'!$B$140,CT67+CS68-DB67)))</f>
        <v>227.99999999999991</v>
      </c>
      <c r="CU68" s="17">
        <f>CT68*VLOOKUP('Données projet'!$B$13,Paramètres!$A$1:$I$89,3,0)*VLOOKUP('Données projet'!$B$13,Paramètres!$A$1:$I$89,5,0)</f>
        <v>206.29439999999994</v>
      </c>
      <c r="CV68" s="13">
        <f t="shared" si="41"/>
        <v>51.124981739560724</v>
      </c>
      <c r="CW68" s="20">
        <f t="shared" ref="CW68:CW131" si="67">(CU68+CV68)*0.475*44/12</f>
        <v>448.33875652973478</v>
      </c>
      <c r="CX68" s="59">
        <f t="shared" ref="CX68:CX131" si="68">CW68+(CO68+CP68)*44/12</f>
        <v>741.67208986306809</v>
      </c>
      <c r="CY68" s="59">
        <f ca="1">AVERAGE(OFFSET($CX$3,0,0,'Données projet'!$E$13+1,1))-AVERAGE(OFFSET($H$3,0,0,'Données projet'!$E$13+1,1))</f>
        <v>282.08542131880455</v>
      </c>
      <c r="CZ68" s="59">
        <f t="shared" si="42"/>
        <v>174.27503468762325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9.7528765516889671</v>
      </c>
      <c r="DG68" s="21">
        <f>EXP(-LN(2)/25)*DG67+(1-EXP(-LN(2)/25))/(LN(2)/25)*Calculateur!DB68*Calculateur!DD68*VLOOKUP('Données projet'!$B$13,Paramètres!$A$1:$I$89,3,0)*0.475*44/12</f>
        <v>25.343285606964457</v>
      </c>
      <c r="DH68" s="21">
        <f>EXP(-LN(2)/2)*DH67+(1-EXP(-LN(2)/2))/(LN(2)/2)*DB68*DE68*VLOOKUP('Données projet'!$B$13,Paramètres!$A$1:$I$89,3,0)*0.475*44/12</f>
        <v>3.16171341938495E-3</v>
      </c>
      <c r="DI68" s="22">
        <f t="shared" ref="DI68:DI131" si="69">SUM(DF68:DH68)</f>
        <v>35.099323872072816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4.0999999999999996</v>
      </c>
      <c r="DO68" s="12">
        <f>IF('Données projet'!$A$166&gt;35,DO67+DN68-DW67,IF(A68&lt;'Données projet'!$A$166,$DL$205^A68,IF(A68='Données projet'!$A$166,'Données projet'!$B$166,DO67+DN68-DW67)))</f>
        <v>253.49999999999972</v>
      </c>
      <c r="DP68" s="17">
        <f>DO68*VLOOKUP('Données projet'!$B$14,Paramètres!$A$1:$I$89,3,0)*VLOOKUP('Données projet'!$B$14,Paramètres!$A$1:$I$89,5,0)</f>
        <v>205.63919999999976</v>
      </c>
      <c r="DQ68" s="13">
        <f t="shared" si="43"/>
        <v>50.981480488268076</v>
      </c>
      <c r="DR68" s="20">
        <f t="shared" ref="DR68:DR131" si="70">(DP68+DQ68)*0.475*44/12</f>
        <v>446.94768518373309</v>
      </c>
      <c r="DS68" s="59">
        <f t="shared" ref="DS68:DS131" si="71">DR68+(DJ68+DK68)*44/12</f>
        <v>740.2810185170664</v>
      </c>
      <c r="DT68" s="59">
        <f ca="1">AVERAGE(OFFSET($DS$3,0,0,'Données projet'!$E$14+1,1))-AVERAGE(OFFSET($H$3,0,0,'Données projet'!$E$14+1,1))</f>
        <v>235.31102883830971</v>
      </c>
      <c r="DU68" s="59">
        <f t="shared" si="44"/>
        <v>271.48630853790422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6.408053773410896</v>
      </c>
      <c r="EB68" s="21">
        <f>EXP(-LN(2)/25)*EB67+(1-EXP(-LN(2)/25))/(LN(2)/25)*Calculateur!DW68*Calculateur!DY68*VLOOKUP('Données projet'!$B$14,Paramètres!$A$1:$I$89,3,0)*0.475*44/12</f>
        <v>21.803780303219099</v>
      </c>
      <c r="EC68" s="21">
        <f>EXP(-LN(2)/2)*EC67+(1-EXP(-LN(2)/2))/(LN(2)/2)*DW68*DZ68*VLOOKUP('Données projet'!$B$14,Paramètres!$A$1:$I$89,3,0)*0.475*44/12</f>
        <v>3.8153051805663012E-3</v>
      </c>
      <c r="ED68" s="22">
        <f t="shared" ref="ED68:ED131" si="72">SUM(EA68:EC68)</f>
        <v>28.215649381810561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15.8</v>
      </c>
      <c r="N69" s="13">
        <f>IF('Données projet'!$A$36&gt;35,N68+M69-V68,IF(A69&lt;'Données projet'!$A$36,$K$205^A69,IF(A69='Données projet'!$A$36,'Données projet'!$B$36,N68+M69-V68)))</f>
        <v>677.79999999999916</v>
      </c>
      <c r="O69" s="13">
        <f>N69*VLOOKUP('Données projet'!$B$9,Paramètres!$A$1:$I$89,3,0)*VLOOKUP('Données projet'!$B$9,Paramètres!$A$1:$I$89,5,0)</f>
        <v>378.89019999999948</v>
      </c>
      <c r="P69" s="13">
        <f t="shared" ref="P69:P132" si="87">EXP(-1.0587+0.8836*LN(O69)+0.284)</f>
        <v>87.483566664488848</v>
      </c>
      <c r="Q69" s="20">
        <f t="shared" si="54"/>
        <v>812.26764360731715</v>
      </c>
      <c r="R69" s="59">
        <f t="shared" si="55"/>
        <v>1105.6009769406505</v>
      </c>
      <c r="S69" s="59">
        <f ca="1">AVERAGE(OFFSET($R$3,0,0,'Données projet'!$E$9+1,1))-AVERAGE(OFFSET($H$3,0,0,'Données projet'!$E$9+1,1))</f>
        <v>446.28010102877403</v>
      </c>
      <c r="T69" s="59">
        <f t="shared" ref="T69:T132" si="88">$T$3</f>
        <v>445.84011537290456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5.5979631137920594</v>
      </c>
      <c r="AA69" s="21">
        <f>EXP(-LN(2)/25)*AA68+(1-EXP(-LN(2)/25))/(LN(2)/25)*Calculateur!V69*Calculateur!X69*VLOOKUP('Données projet'!$B$9,Paramètres!$A$1:$I$89,3,0)*0.475*44/12</f>
        <v>14.285451299570928</v>
      </c>
      <c r="AB69" s="21">
        <f>EXP(-LN(2)/2)*AB68+(1-EXP(-LN(2)/2))/(LN(2)/2)*V69*Y69*VLOOKUP('Données projet'!$B$9,Paramètres!$A$1:$I$89,3,0)*0.475*44/12</f>
        <v>1.3912922422422064E-4</v>
      </c>
      <c r="AC69" s="22">
        <f t="shared" si="57"/>
        <v>19.883553542587212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15.5</v>
      </c>
      <c r="AI69" s="13">
        <f>IF('Données projet'!$A$62&gt;35,AI68+AH69-AQ68,IF(A69&lt;'Données projet'!$A$62,$AF$205^A69,IF(A69='Données projet'!$A$62,'Données projet'!$B$62,AI68+AH69-AQ68)))</f>
        <v>384.39999999999986</v>
      </c>
      <c r="AJ69" s="13">
        <f>AI69*VLOOKUP('Données projet'!$B$10,Paramètres!$A$1:$I$89,3,0)*VLOOKUP('Données projet'!$B$10,Paramètres!$A$1:$I$89,5,0)</f>
        <v>179.89919999999995</v>
      </c>
      <c r="AK69" s="13">
        <f t="shared" ref="AK69:AK132" si="89">EXP(-1.0587+0.8836*LN(AJ69)+0.284)</f>
        <v>45.299759292628586</v>
      </c>
      <c r="AL69" s="20">
        <f t="shared" si="58"/>
        <v>392.22152076799466</v>
      </c>
      <c r="AM69" s="59">
        <f t="shared" si="59"/>
        <v>685.55485410132792</v>
      </c>
      <c r="AN69" s="59">
        <f ca="1">AVERAGE(OFFSET($AM$3,0,0,'Données projet'!$E$10+1,1))-AVERAGE(OFFSET($H$3,0,0,'Données projet'!$E$10+1,1))</f>
        <v>252.98248842635206</v>
      </c>
      <c r="AO69" s="59">
        <f t="shared" ref="AO69:AO132" si="90">$AO$3</f>
        <v>207.11938580878308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1.5365571842574741</v>
      </c>
      <c r="AV69" s="21">
        <f>EXP(-LN(2)/25)*AV68+(1-EXP(-LN(2)/25))/(LN(2)/25)*Calculateur!AQ69*Calculateur!AS69*VLOOKUP('Données projet'!$B$10,Paramètres!$A$1:$I$89,3,0)*0.475*44/12</f>
        <v>2.8952673211549351</v>
      </c>
      <c r="AW69" s="21">
        <f>EXP(-LN(2)/2)*AW68+(1-EXP(-LN(2)/2))/(LN(2)/2)*AQ69*AT69*VLOOKUP('Données projet'!$B$10,Paramètres!$A$1:$I$89,3,0)*0.475*44/12</f>
        <v>3.7506776734527557E-5</v>
      </c>
      <c r="AX69" s="21">
        <f t="shared" si="60"/>
        <v>4.4318620121891437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5.2</v>
      </c>
      <c r="BD69" s="12">
        <f>IF('Données projet'!$A$88&gt;35,BD68+BC69-BL68,IF(A69&lt;'Données projet'!$A$88,$BA$205^A69,IF(A69='Données projet'!$A$88,'Données projet'!$B$88,BD68+BC69-BL68)))</f>
        <v>165.1999999999999</v>
      </c>
      <c r="BE69" s="13">
        <f>BD69*VLOOKUP('Données projet'!$B$11,Paramètres!$A$1:$I$89,3,0)*VLOOKUP('Données projet'!$B$11,Paramètres!$A$1:$I$89,5,0)</f>
        <v>108.23903999999993</v>
      </c>
      <c r="BF69" s="13">
        <f t="shared" ref="BF69:BF132" si="91">EXP(-1.0587+0.8836*LN(BE69)+0.284)</f>
        <v>28.915699777170222</v>
      </c>
      <c r="BG69" s="20">
        <f t="shared" si="61"/>
        <v>238.87783844523804</v>
      </c>
      <c r="BH69" s="59">
        <f t="shared" si="62"/>
        <v>532.21117177857138</v>
      </c>
      <c r="BI69" s="59">
        <f ca="1">AVERAGE(OFFSET($BH$3,0,0,'Données projet'!$E$11+1,1))-AVERAGE(OFFSET($H$3,0,0,'Données projet'!$E$11+1,1))</f>
        <v>114.23168847330004</v>
      </c>
      <c r="BJ69" s="59">
        <f t="shared" ref="BJ69:BJ132" si="92">$BJ$3</f>
        <v>42.34857998136755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5.2</v>
      </c>
      <c r="BY69" s="12">
        <f>IF('Données projet'!$A$114&gt;35,BY68+BX69-CG68,IF(A69&lt;'Données projet'!$A$114,$BV$205^A69,IF(A69='Données projet'!$A$114,'Données projet'!$B$114,BY68+BX69-CG68)))</f>
        <v>165.1999999999999</v>
      </c>
      <c r="BZ69" s="13">
        <f>BY69*VLOOKUP('Données projet'!$B$12,Paramètres!$A$1:$I$89,3,0)*VLOOKUP('Données projet'!$B$12,Paramètres!$A$1:$I$89,5,0)</f>
        <v>159.78143999999992</v>
      </c>
      <c r="CA69" s="13">
        <f t="shared" ref="CA69:CA132" si="93">EXP(-1.0587+0.8836*LN(BZ69)+0.284)</f>
        <v>40.793214667472085</v>
      </c>
      <c r="CB69" s="20">
        <f t="shared" si="64"/>
        <v>349.3341902125137</v>
      </c>
      <c r="CC69" s="59">
        <f t="shared" si="65"/>
        <v>642.66752354584696</v>
      </c>
      <c r="CD69" s="59">
        <f ca="1">AVERAGE(OFFSET($CC$3,0,0,'Données projet'!$E$12+1,1))-AVERAGE(OFFSET($H$3,0,0,'Données projet'!$E$12+1,1))</f>
        <v>201.36664523637006</v>
      </c>
      <c r="CE69" s="59">
        <f t="shared" ref="CE69:CE132" si="94">$CE$3</f>
        <v>79.394119001888555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15.823909858414385</v>
      </c>
      <c r="CM69" s="21">
        <f>EXP(-LN(2)/2)*CM68+(1-EXP(-LN(2)/2))/(LN(2)/2)*CG69*CJ69*VLOOKUP('Données projet'!$B$12,Paramètres!$A$1:$I$89,3,0)*0.475*44/12</f>
        <v>1.5038842321027192E-3</v>
      </c>
      <c r="CN69" s="22">
        <f t="shared" si="66"/>
        <v>15.825413742646488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7</v>
      </c>
      <c r="CT69" s="12">
        <f>IF('Données projet'!$A$140&gt;35,CT68+CS69-DB68,IF(A69&lt;'Données projet'!$A$140,$CQ$205^A69,IF(A69='Données projet'!$A$140,'Données projet'!$B$140,CT68+CS69-DB68)))</f>
        <v>234.99999999999991</v>
      </c>
      <c r="CU69" s="17">
        <f>CT69*VLOOKUP('Données projet'!$B$13,Paramètres!$A$1:$I$89,3,0)*VLOOKUP('Données projet'!$B$13,Paramètres!$A$1:$I$89,5,0)</f>
        <v>212.62799999999993</v>
      </c>
      <c r="CV69" s="13">
        <f t="shared" ref="CV69:CV132" si="95">EXP(-1.0587+0.8836*LN(CU69)+0.284)</f>
        <v>52.509453483719035</v>
      </c>
      <c r="CW69" s="20">
        <f t="shared" si="67"/>
        <v>461.78106481747722</v>
      </c>
      <c r="CX69" s="59">
        <f t="shared" si="68"/>
        <v>755.11439815081053</v>
      </c>
      <c r="CY69" s="59">
        <f ca="1">AVERAGE(OFFSET($CX$3,0,0,'Données projet'!$E$13+1,1))-AVERAGE(OFFSET($H$3,0,0,'Données projet'!$E$13+1,1))</f>
        <v>282.08542131880455</v>
      </c>
      <c r="CZ69" s="59">
        <f t="shared" ref="CZ69:CZ132" si="96">$CZ$3</f>
        <v>174.27503468762325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9.5616285911776604</v>
      </c>
      <c r="DG69" s="21">
        <f>EXP(-LN(2)/25)*DG68+(1-EXP(-LN(2)/25))/(LN(2)/25)*Calculateur!DB69*Calculateur!DD69*VLOOKUP('Données projet'!$B$13,Paramètres!$A$1:$I$89,3,0)*0.475*44/12</f>
        <v>24.650272129296546</v>
      </c>
      <c r="DH69" s="21">
        <f>EXP(-LN(2)/2)*DH68+(1-EXP(-LN(2)/2))/(LN(2)/2)*DB69*DE69*VLOOKUP('Données projet'!$B$13,Paramètres!$A$1:$I$89,3,0)*0.475*44/12</f>
        <v>2.2356689990156047E-3</v>
      </c>
      <c r="DI69" s="22">
        <f t="shared" si="69"/>
        <v>34.214136389473218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4.0999999999999996</v>
      </c>
      <c r="DO69" s="12">
        <f>IF('Données projet'!$A$166&gt;35,DO68+DN69-DW68,IF(A69&lt;'Données projet'!$A$166,$DL$205^A69,IF(A69='Données projet'!$A$166,'Données projet'!$B$166,DO68+DN69-DW68)))</f>
        <v>257.59999999999974</v>
      </c>
      <c r="DP69" s="17">
        <f>DO69*VLOOKUP('Données projet'!$B$14,Paramètres!$A$1:$I$89,3,0)*VLOOKUP('Données projet'!$B$14,Paramètres!$A$1:$I$89,5,0)</f>
        <v>208.96511999999979</v>
      </c>
      <c r="DQ69" s="13">
        <f t="shared" ref="DQ69:DQ132" si="97">EXP(-1.0587+0.8836*LN(DP69)+0.284)</f>
        <v>51.709373400619548</v>
      </c>
      <c r="DR69" s="20">
        <f t="shared" si="70"/>
        <v>454.00807600607862</v>
      </c>
      <c r="DS69" s="59">
        <f t="shared" si="71"/>
        <v>747.34140933941194</v>
      </c>
      <c r="DT69" s="59">
        <f ca="1">AVERAGE(OFFSET($DS$3,0,0,'Données projet'!$E$14+1,1))-AVERAGE(OFFSET($H$3,0,0,'Données projet'!$E$14+1,1))</f>
        <v>235.31102883830971</v>
      </c>
      <c r="DU69" s="59">
        <f t="shared" ref="DU69:DU132" si="98">$DU$3</f>
        <v>271.48630853790422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6.2823957474411749</v>
      </c>
      <c r="EB69" s="21">
        <f>EXP(-LN(2)/25)*EB68+(1-EXP(-LN(2)/25))/(LN(2)/25)*Calculateur!DW69*Calculateur!DY69*VLOOKUP('Données projet'!$B$14,Paramètres!$A$1:$I$89,3,0)*0.475*44/12</f>
        <v>21.207554784216601</v>
      </c>
      <c r="EC69" s="21">
        <f>EXP(-LN(2)/2)*EC68+(1-EXP(-LN(2)/2))/(LN(2)/2)*DW69*DZ69*VLOOKUP('Données projet'!$B$14,Paramètres!$A$1:$I$89,3,0)*0.475*44/12</f>
        <v>2.6978281654745969E-3</v>
      </c>
      <c r="ED69" s="22">
        <f t="shared" si="72"/>
        <v>27.492648359823249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15.8</v>
      </c>
      <c r="N70" s="13">
        <f>IF('Données projet'!$A$36&gt;35,N69+M70-V69,IF(A70&lt;'Données projet'!$A$36,$K$205^A70,IF(A70='Données projet'!$A$36,'Données projet'!$B$36,N69+M70-V69)))</f>
        <v>693.59999999999911</v>
      </c>
      <c r="O70" s="13">
        <f>N70*VLOOKUP('Données projet'!$B$9,Paramètres!$A$1:$I$89,3,0)*VLOOKUP('Données projet'!$B$9,Paramètres!$A$1:$I$89,5,0)</f>
        <v>387.72239999999948</v>
      </c>
      <c r="P70" s="13">
        <f t="shared" si="87"/>
        <v>89.283072113397623</v>
      </c>
      <c r="Q70" s="20">
        <f t="shared" si="54"/>
        <v>830.78453059749984</v>
      </c>
      <c r="R70" s="59">
        <f t="shared" si="55"/>
        <v>1124.1178639308332</v>
      </c>
      <c r="S70" s="59">
        <f ca="1">AVERAGE(OFFSET($R$3,0,0,'Données projet'!$E$9+1,1))-AVERAGE(OFFSET($H$3,0,0,'Données projet'!$E$9+1,1))</f>
        <v>446.28010102877403</v>
      </c>
      <c r="T70" s="59">
        <f t="shared" si="88"/>
        <v>445.84011537290456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5.4881904715509506</v>
      </c>
      <c r="AA70" s="21">
        <f>EXP(-LN(2)/25)*AA69+(1-EXP(-LN(2)/25))/(LN(2)/25)*Calculateur!V70*Calculateur!X70*VLOOKUP('Données projet'!$B$9,Paramètres!$A$1:$I$89,3,0)*0.475*44/12</f>
        <v>13.894814882544928</v>
      </c>
      <c r="AB70" s="21">
        <f>EXP(-LN(2)/2)*AB69+(1-EXP(-LN(2)/2))/(LN(2)/2)*V70*Y70*VLOOKUP('Données projet'!$B$9,Paramètres!$A$1:$I$89,3,0)*0.475*44/12</f>
        <v>9.8379217910170093E-5</v>
      </c>
      <c r="AC70" s="22">
        <f t="shared" si="57"/>
        <v>19.383103733313789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15.5</v>
      </c>
      <c r="AI70" s="13">
        <f>IF('Données projet'!$A$62&gt;35,AI69+AH70-AQ69,IF(A70&lt;'Données projet'!$A$62,$AF$205^A70,IF(A70='Données projet'!$A$62,'Données projet'!$B$62,AI69+AH70-AQ69)))</f>
        <v>399.89999999999986</v>
      </c>
      <c r="AJ70" s="13">
        <f>AI70*VLOOKUP('Données projet'!$B$10,Paramètres!$A$1:$I$89,3,0)*VLOOKUP('Données projet'!$B$10,Paramètres!$A$1:$I$89,5,0)</f>
        <v>187.15319999999994</v>
      </c>
      <c r="AK70" s="13">
        <f t="shared" si="89"/>
        <v>46.9100138680691</v>
      </c>
      <c r="AL70" s="20">
        <f t="shared" si="58"/>
        <v>407.66009748688685</v>
      </c>
      <c r="AM70" s="59">
        <f t="shared" si="59"/>
        <v>700.99343082022017</v>
      </c>
      <c r="AN70" s="59">
        <f ca="1">AVERAGE(OFFSET($AM$3,0,0,'Données projet'!$E$10+1,1))-AVERAGE(OFFSET($H$3,0,0,'Données projet'!$E$10+1,1))</f>
        <v>252.98248842635206</v>
      </c>
      <c r="AO70" s="59">
        <f t="shared" si="90"/>
        <v>207.11938580878308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1.5064262350815258</v>
      </c>
      <c r="AV70" s="21">
        <f>EXP(-LN(2)/25)*AV69+(1-EXP(-LN(2)/25))/(LN(2)/25)*Calculateur!AQ70*Calculateur!AS70*VLOOKUP('Données projet'!$B$10,Paramètres!$A$1:$I$89,3,0)*0.475*44/12</f>
        <v>2.8160960840024623</v>
      </c>
      <c r="AW70" s="21">
        <f>EXP(-LN(2)/2)*AW69+(1-EXP(-LN(2)/2))/(LN(2)/2)*AQ70*AT70*VLOOKUP('Données projet'!$B$10,Paramètres!$A$1:$I$89,3,0)*0.475*44/12</f>
        <v>2.6521296169434269E-5</v>
      </c>
      <c r="AX70" s="21">
        <f t="shared" si="60"/>
        <v>4.3225488403801577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5.2</v>
      </c>
      <c r="BD70" s="12">
        <f>IF('Données projet'!$A$88&gt;35,BD69+BC70-BL69,IF(A70&lt;'Données projet'!$A$88,$BA$205^A70,IF(A70='Données projet'!$A$88,'Données projet'!$B$88,BD69+BC70-BL69)))</f>
        <v>170.39999999999989</v>
      </c>
      <c r="BE70" s="13">
        <f>BD70*VLOOKUP('Données projet'!$B$11,Paramètres!$A$1:$I$89,3,0)*VLOOKUP('Données projet'!$B$11,Paramètres!$A$1:$I$89,5,0)</f>
        <v>111.64607999999994</v>
      </c>
      <c r="BF70" s="13">
        <f t="shared" si="91"/>
        <v>29.718477955114263</v>
      </c>
      <c r="BG70" s="20">
        <f t="shared" si="61"/>
        <v>246.20993843849055</v>
      </c>
      <c r="BH70" s="59">
        <f t="shared" si="62"/>
        <v>539.54327177182381</v>
      </c>
      <c r="BI70" s="59">
        <f ca="1">AVERAGE(OFFSET($BH$3,0,0,'Données projet'!$E$11+1,1))-AVERAGE(OFFSET($H$3,0,0,'Données projet'!$E$11+1,1))</f>
        <v>114.23168847330004</v>
      </c>
      <c r="BJ70" s="59">
        <f t="shared" si="92"/>
        <v>42.34857998136755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5.2</v>
      </c>
      <c r="BY70" s="12">
        <f>IF('Données projet'!$A$114&gt;35,BY69+BX70-CG69,IF(A70&lt;'Données projet'!$A$114,$BV$205^A70,IF(A70='Données projet'!$A$114,'Données projet'!$B$114,BY69+BX70-CG69)))</f>
        <v>170.39999999999989</v>
      </c>
      <c r="BZ70" s="13">
        <f>BY70*VLOOKUP('Données projet'!$B$12,Paramètres!$A$1:$I$89,3,0)*VLOOKUP('Données projet'!$B$12,Paramètres!$A$1:$I$89,5,0)</f>
        <v>164.81087999999991</v>
      </c>
      <c r="CA70" s="13">
        <f t="shared" si="93"/>
        <v>41.9257448429683</v>
      </c>
      <c r="CB70" s="20">
        <f t="shared" si="64"/>
        <v>360.06628826816967</v>
      </c>
      <c r="CC70" s="59">
        <f t="shared" si="65"/>
        <v>653.39962160150299</v>
      </c>
      <c r="CD70" s="59">
        <f ca="1">AVERAGE(OFFSET($CC$3,0,0,'Données projet'!$E$12+1,1))-AVERAGE(OFFSET($H$3,0,0,'Données projet'!$E$12+1,1))</f>
        <v>201.36664523637006</v>
      </c>
      <c r="CE70" s="59">
        <f t="shared" si="94"/>
        <v>79.394119001888555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15.391204211192791</v>
      </c>
      <c r="CM70" s="21">
        <f>EXP(-LN(2)/2)*CM69+(1-EXP(-LN(2)/2))/(LN(2)/2)*CG70*CJ70*VLOOKUP('Données projet'!$B$12,Paramètres!$A$1:$I$89,3,0)*0.475*44/12</f>
        <v>1.0634067386393565E-3</v>
      </c>
      <c r="CN70" s="22">
        <f t="shared" si="66"/>
        <v>15.392267617931431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7</v>
      </c>
      <c r="CT70" s="12">
        <f>IF('Données projet'!$A$140&gt;35,CT69+CS70-DB69,IF(A70&lt;'Données projet'!$A$140,$CQ$205^A70,IF(A70='Données projet'!$A$140,'Données projet'!$B$140,CT69+CS70-DB69)))</f>
        <v>241.99999999999991</v>
      </c>
      <c r="CU70" s="17">
        <f>CT70*VLOOKUP('Données projet'!$B$13,Paramètres!$A$1:$I$89,3,0)*VLOOKUP('Données projet'!$B$13,Paramètres!$A$1:$I$89,5,0)</f>
        <v>218.96159999999989</v>
      </c>
      <c r="CV70" s="13">
        <f t="shared" si="95"/>
        <v>53.88913250370743</v>
      </c>
      <c r="CW70" s="20">
        <f t="shared" si="67"/>
        <v>475.21502577729029</v>
      </c>
      <c r="CX70" s="59">
        <f t="shared" si="68"/>
        <v>768.54835911062355</v>
      </c>
      <c r="CY70" s="59">
        <f ca="1">AVERAGE(OFFSET($CX$3,0,0,'Données projet'!$E$13+1,1))-AVERAGE(OFFSET($H$3,0,0,'Données projet'!$E$13+1,1))</f>
        <v>282.08542131880455</v>
      </c>
      <c r="CZ70" s="59">
        <f t="shared" si="96"/>
        <v>174.27503468762325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9.3741308865222432</v>
      </c>
      <c r="DG70" s="21">
        <f>EXP(-LN(2)/25)*DG69+(1-EXP(-LN(2)/25))/(LN(2)/25)*Calculateur!DB70*Calculateur!DD70*VLOOKUP('Données projet'!$B$13,Paramètres!$A$1:$I$89,3,0)*0.475*44/12</f>
        <v>23.97620914161946</v>
      </c>
      <c r="DH70" s="21">
        <f>EXP(-LN(2)/2)*DH69+(1-EXP(-LN(2)/2))/(LN(2)/2)*DB70*DE70*VLOOKUP('Données projet'!$B$13,Paramètres!$A$1:$I$89,3,0)*0.475*44/12</f>
        <v>1.580856709692475E-3</v>
      </c>
      <c r="DI70" s="22">
        <f t="shared" si="69"/>
        <v>33.351920884851395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4.0999999999999996</v>
      </c>
      <c r="DO70" s="12">
        <f>IF('Données projet'!$A$166&gt;35,DO69+DN70-DW69,IF(A70&lt;'Données projet'!$A$166,$DL$205^A70,IF(A70='Données projet'!$A$166,'Données projet'!$B$166,DO69+DN70-DW69)))</f>
        <v>261.69999999999976</v>
      </c>
      <c r="DP70" s="17">
        <f>DO70*VLOOKUP('Données projet'!$B$14,Paramètres!$A$1:$I$89,3,0)*VLOOKUP('Données projet'!$B$14,Paramètres!$A$1:$I$89,5,0)</f>
        <v>212.29103999999984</v>
      </c>
      <c r="DQ70" s="13">
        <f t="shared" si="97"/>
        <v>52.435918977875581</v>
      </c>
      <c r="DR70" s="20">
        <f t="shared" si="70"/>
        <v>461.06612021979964</v>
      </c>
      <c r="DS70" s="59">
        <f t="shared" si="71"/>
        <v>754.39945355313296</v>
      </c>
      <c r="DT70" s="59">
        <f ca="1">AVERAGE(OFFSET($DS$3,0,0,'Données projet'!$E$14+1,1))-AVERAGE(OFFSET($H$3,0,0,'Données projet'!$E$14+1,1))</f>
        <v>235.31102883830971</v>
      </c>
      <c r="DU70" s="59">
        <f t="shared" si="98"/>
        <v>271.48630853790422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6.1592017987168921</v>
      </c>
      <c r="EB70" s="21">
        <f>EXP(-LN(2)/25)*EB69+(1-EXP(-LN(2)/25))/(LN(2)/25)*Calculateur!DW70*Calculateur!DY70*VLOOKUP('Données projet'!$B$14,Paramètres!$A$1:$I$89,3,0)*0.475*44/12</f>
        <v>20.627633083385362</v>
      </c>
      <c r="EC70" s="21">
        <f>EXP(-LN(2)/2)*EC69+(1-EXP(-LN(2)/2))/(LN(2)/2)*DW70*DZ70*VLOOKUP('Données projet'!$B$14,Paramètres!$A$1:$I$89,3,0)*0.475*44/12</f>
        <v>1.9076525902831508E-3</v>
      </c>
      <c r="ED70" s="22">
        <f t="shared" si="72"/>
        <v>26.788742534692538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15.8</v>
      </c>
      <c r="N71" s="13">
        <f>IF('Données projet'!$A$36&gt;35,N70+M71-V70,IF(A71&lt;'Données projet'!$A$36,$K$205^A71,IF(A71='Données projet'!$A$36,'Données projet'!$B$36,N70+M71-V70)))</f>
        <v>709.39999999999907</v>
      </c>
      <c r="O71" s="13">
        <f>N71*VLOOKUP('Données projet'!$B$9,Paramètres!$A$1:$I$89,3,0)*VLOOKUP('Données projet'!$B$9,Paramètres!$A$1:$I$89,5,0)</f>
        <v>396.55459999999948</v>
      </c>
      <c r="P71" s="13">
        <f t="shared" si="87"/>
        <v>91.077811955600495</v>
      </c>
      <c r="Q71" s="20">
        <f t="shared" si="54"/>
        <v>849.29311748933662</v>
      </c>
      <c r="R71" s="59">
        <f t="shared" si="55"/>
        <v>1142.62645082267</v>
      </c>
      <c r="S71" s="59">
        <f ca="1">AVERAGE(OFFSET($R$3,0,0,'Données projet'!$E$9+1,1))-AVERAGE(OFFSET($H$3,0,0,'Données projet'!$E$9+1,1))</f>
        <v>446.28010102877403</v>
      </c>
      <c r="T71" s="59">
        <f t="shared" si="88"/>
        <v>445.84011537290456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5.3805704038694895</v>
      </c>
      <c r="AA71" s="21">
        <f>EXP(-LN(2)/25)*AA70+(1-EXP(-LN(2)/25))/(LN(2)/25)*Calculateur!V71*Calculateur!X71*VLOOKUP('Données projet'!$B$9,Paramètres!$A$1:$I$89,3,0)*0.475*44/12</f>
        <v>13.514860438885179</v>
      </c>
      <c r="AB71" s="21">
        <f>EXP(-LN(2)/2)*AB70+(1-EXP(-LN(2)/2))/(LN(2)/2)*V71*Y71*VLOOKUP('Données projet'!$B$9,Paramètres!$A$1:$I$89,3,0)*0.475*44/12</f>
        <v>6.9564612112110321E-5</v>
      </c>
      <c r="AC71" s="22">
        <f t="shared" si="57"/>
        <v>18.895500407366782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15.5</v>
      </c>
      <c r="AI71" s="13">
        <f>IF('Données projet'!$A$62&gt;35,AI70+AH71-AQ70,IF(A71&lt;'Données projet'!$A$62,$AF$205^A71,IF(A71='Données projet'!$A$62,'Données projet'!$B$62,AI70+AH71-AQ70)))</f>
        <v>415.39999999999986</v>
      </c>
      <c r="AJ71" s="13">
        <f>AI71*VLOOKUP('Données projet'!$B$10,Paramètres!$A$1:$I$89,3,0)*VLOOKUP('Données projet'!$B$10,Paramètres!$A$1:$I$89,5,0)</f>
        <v>194.40719999999996</v>
      </c>
      <c r="AK71" s="13">
        <f t="shared" si="89"/>
        <v>48.513018020179601</v>
      </c>
      <c r="AL71" s="20">
        <f t="shared" si="58"/>
        <v>423.08604638514606</v>
      </c>
      <c r="AM71" s="59">
        <f t="shared" si="59"/>
        <v>716.41937971847938</v>
      </c>
      <c r="AN71" s="59">
        <f ca="1">AVERAGE(OFFSET($AM$3,0,0,'Données projet'!$E$10+1,1))-AVERAGE(OFFSET($H$3,0,0,'Données projet'!$E$10+1,1))</f>
        <v>252.98248842635206</v>
      </c>
      <c r="AO71" s="59">
        <f t="shared" si="90"/>
        <v>207.11938580878308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1.4768861354408536</v>
      </c>
      <c r="AV71" s="21">
        <f>EXP(-LN(2)/25)*AV70+(1-EXP(-LN(2)/25))/(LN(2)/25)*Calculateur!AQ71*Calculateur!AS71*VLOOKUP('Données projet'!$B$10,Paramètres!$A$1:$I$89,3,0)*0.475*44/12</f>
        <v>2.739089788493358</v>
      </c>
      <c r="AW71" s="21">
        <f>EXP(-LN(2)/2)*AW70+(1-EXP(-LN(2)/2))/(LN(2)/2)*AQ71*AT71*VLOOKUP('Données projet'!$B$10,Paramètres!$A$1:$I$89,3,0)*0.475*44/12</f>
        <v>1.8753388367263778E-5</v>
      </c>
      <c r="AX71" s="21">
        <f t="shared" si="60"/>
        <v>4.2159946773225787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5.2</v>
      </c>
      <c r="BD71" s="12">
        <f>IF('Données projet'!$A$88&gt;35,BD70+BC71-BL70,IF(A71&lt;'Données projet'!$A$88,$BA$205^A71,IF(A71='Données projet'!$A$88,'Données projet'!$B$88,BD70+BC71-BL70)))</f>
        <v>175.59999999999988</v>
      </c>
      <c r="BE71" s="13">
        <f>BD71*VLOOKUP('Données projet'!$B$11,Paramètres!$A$1:$I$89,3,0)*VLOOKUP('Données projet'!$B$11,Paramètres!$A$1:$I$89,5,0)</f>
        <v>115.05311999999994</v>
      </c>
      <c r="BF71" s="13">
        <f t="shared" si="91"/>
        <v>30.518409166186991</v>
      </c>
      <c r="BG71" s="20">
        <f t="shared" si="61"/>
        <v>253.53707996444223</v>
      </c>
      <c r="BH71" s="59">
        <f t="shared" si="62"/>
        <v>546.87041329777549</v>
      </c>
      <c r="BI71" s="59">
        <f ca="1">AVERAGE(OFFSET($BH$3,0,0,'Données projet'!$E$11+1,1))-AVERAGE(OFFSET($H$3,0,0,'Données projet'!$E$11+1,1))</f>
        <v>114.23168847330004</v>
      </c>
      <c r="BJ71" s="59">
        <f t="shared" si="92"/>
        <v>42.34857998136755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5.2</v>
      </c>
      <c r="BY71" s="12">
        <f>IF('Données projet'!$A$114&gt;35,BY70+BX71-CG70,IF(A71&lt;'Données projet'!$A$114,$BV$205^A71,IF(A71='Données projet'!$A$114,'Données projet'!$B$114,BY70+BX71-CG70)))</f>
        <v>175.59999999999988</v>
      </c>
      <c r="BZ71" s="13">
        <f>BY71*VLOOKUP('Données projet'!$B$12,Paramètres!$A$1:$I$89,3,0)*VLOOKUP('Données projet'!$B$12,Paramètres!$A$1:$I$89,5,0)</f>
        <v>169.84031999999991</v>
      </c>
      <c r="CA71" s="13">
        <f t="shared" si="93"/>
        <v>43.054258621433497</v>
      </c>
      <c r="CB71" s="20">
        <f t="shared" si="64"/>
        <v>370.79139109899648</v>
      </c>
      <c r="CC71" s="59">
        <f t="shared" si="65"/>
        <v>664.1247244323298</v>
      </c>
      <c r="CD71" s="59">
        <f ca="1">AVERAGE(OFFSET($CC$3,0,0,'Données projet'!$E$12+1,1))-AVERAGE(OFFSET($H$3,0,0,'Données projet'!$E$12+1,1))</f>
        <v>201.36664523637006</v>
      </c>
      <c r="CE71" s="59">
        <f t="shared" si="94"/>
        <v>79.394119001888555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14.970330922649472</v>
      </c>
      <c r="CM71" s="21">
        <f>EXP(-LN(2)/2)*CM70+(1-EXP(-LN(2)/2))/(LN(2)/2)*CG71*CJ71*VLOOKUP('Données projet'!$B$12,Paramètres!$A$1:$I$89,3,0)*0.475*44/12</f>
        <v>7.5194211605135962E-4</v>
      </c>
      <c r="CN71" s="22">
        <f t="shared" si="66"/>
        <v>14.971082864765524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7</v>
      </c>
      <c r="CT71" s="12">
        <f>IF('Données projet'!$A$140&gt;35,CT70+CS71-DB70,IF(A71&lt;'Données projet'!$A$140,$CQ$205^A71,IF(A71='Données projet'!$A$140,'Données projet'!$B$140,CT70+CS71-DB70)))</f>
        <v>248.99999999999991</v>
      </c>
      <c r="CU71" s="17">
        <f>CT71*VLOOKUP('Données projet'!$B$13,Paramètres!$A$1:$I$89,3,0)*VLOOKUP('Données projet'!$B$13,Paramètres!$A$1:$I$89,5,0)</f>
        <v>225.29519999999991</v>
      </c>
      <c r="CV71" s="13">
        <f t="shared" si="95"/>
        <v>55.264173352293078</v>
      </c>
      <c r="CW71" s="20">
        <f t="shared" si="67"/>
        <v>488.64090858857691</v>
      </c>
      <c r="CX71" s="59">
        <f t="shared" si="68"/>
        <v>781.97424192191022</v>
      </c>
      <c r="CY71" s="59">
        <f ca="1">AVERAGE(OFFSET($CX$3,0,0,'Données projet'!$E$13+1,1))-AVERAGE(OFFSET($H$3,0,0,'Données projet'!$E$13+1,1))</f>
        <v>282.08542131880455</v>
      </c>
      <c r="CZ71" s="59">
        <f t="shared" si="96"/>
        <v>174.27503468762325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9.1903098974928117</v>
      </c>
      <c r="DG71" s="21">
        <f>EXP(-LN(2)/25)*DG70+(1-EXP(-LN(2)/25))/(LN(2)/25)*Calculateur!DB71*Calculateur!DD71*VLOOKUP('Données projet'!$B$13,Paramètres!$A$1:$I$89,3,0)*0.475*44/12</f>
        <v>23.320578441787834</v>
      </c>
      <c r="DH71" s="21">
        <f>EXP(-LN(2)/2)*DH70+(1-EXP(-LN(2)/2))/(LN(2)/2)*DB71*DE71*VLOOKUP('Données projet'!$B$13,Paramètres!$A$1:$I$89,3,0)*0.475*44/12</f>
        <v>1.1178344995078024E-3</v>
      </c>
      <c r="DI71" s="22">
        <f t="shared" si="69"/>
        <v>32.512006173780158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4.0999999999999996</v>
      </c>
      <c r="DO71" s="12">
        <f>IF('Données projet'!$A$166&gt;35,DO70+DN71-DW70,IF(A71&lt;'Données projet'!$A$166,$DL$205^A71,IF(A71='Données projet'!$A$166,'Données projet'!$B$166,DO70+DN71-DW70)))</f>
        <v>265.79999999999978</v>
      </c>
      <c r="DP71" s="17">
        <f>DO71*VLOOKUP('Données projet'!$B$14,Paramètres!$A$1:$I$89,3,0)*VLOOKUP('Données projet'!$B$14,Paramètres!$A$1:$I$89,5,0)</f>
        <v>215.61695999999984</v>
      </c>
      <c r="DQ71" s="13">
        <f t="shared" si="97"/>
        <v>53.161140765943969</v>
      </c>
      <c r="DR71" s="20">
        <f t="shared" si="70"/>
        <v>468.12185883401872</v>
      </c>
      <c r="DS71" s="59">
        <f t="shared" si="71"/>
        <v>761.45519216735204</v>
      </c>
      <c r="DT71" s="59">
        <f ca="1">AVERAGE(OFFSET($DS$3,0,0,'Données projet'!$E$14+1,1))-AVERAGE(OFFSET($H$3,0,0,'Données projet'!$E$14+1,1))</f>
        <v>235.31102883830971</v>
      </c>
      <c r="DU71" s="59">
        <f t="shared" si="98"/>
        <v>271.48630853790422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6.0384236081862035</v>
      </c>
      <c r="EB71" s="21">
        <f>EXP(-LN(2)/25)*EB70+(1-EXP(-LN(2)/25))/(LN(2)/25)*Calculateur!DW71*Calculateur!DY71*VLOOKUP('Données projet'!$B$14,Paramètres!$A$1:$I$89,3,0)*0.475*44/12</f>
        <v>20.06356937196011</v>
      </c>
      <c r="EC71" s="21">
        <f>EXP(-LN(2)/2)*EC70+(1-EXP(-LN(2)/2))/(LN(2)/2)*DW71*DZ71*VLOOKUP('Données projet'!$B$14,Paramètres!$A$1:$I$89,3,0)*0.475*44/12</f>
        <v>1.3489140827372987E-3</v>
      </c>
      <c r="ED71" s="22">
        <f t="shared" si="72"/>
        <v>26.10334189422905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15.8</v>
      </c>
      <c r="N72" s="13">
        <f>IF('Données projet'!$A$36&gt;35,N71+M72-V71,IF(A72&lt;'Données projet'!$A$36,$K$205^A72,IF(A72='Données projet'!$A$36,'Données projet'!$B$36,N71+M72-V71)))</f>
        <v>725.19999999999902</v>
      </c>
      <c r="O72" s="13">
        <f>N72*VLOOKUP('Données projet'!$B$9,Paramètres!$A$1:$I$89,3,0)*VLOOKUP('Données projet'!$B$9,Paramètres!$A$1:$I$89,5,0)</f>
        <v>405.38679999999943</v>
      </c>
      <c r="P72" s="13">
        <f t="shared" si="87"/>
        <v>92.867904553465792</v>
      </c>
      <c r="Q72" s="20">
        <f t="shared" si="54"/>
        <v>867.79361043061851</v>
      </c>
      <c r="R72" s="59">
        <f t="shared" si="55"/>
        <v>1161.1269437639519</v>
      </c>
      <c r="S72" s="59">
        <f ca="1">AVERAGE(OFFSET($R$3,0,0,'Données projet'!$E$9+1,1))-AVERAGE(OFFSET($H$3,0,0,'Données projet'!$E$9+1,1))</f>
        <v>446.28010102877403</v>
      </c>
      <c r="T72" s="59">
        <f t="shared" si="88"/>
        <v>445.84011537290456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5.2750607000735021</v>
      </c>
      <c r="AA72" s="21">
        <f>EXP(-LN(2)/25)*AA71+(1-EXP(-LN(2)/25))/(LN(2)/25)*Calculateur!V72*Calculateur!X72*VLOOKUP('Données projet'!$B$9,Paramètres!$A$1:$I$89,3,0)*0.475*44/12</f>
        <v>13.145295869468242</v>
      </c>
      <c r="AB72" s="21">
        <f>EXP(-LN(2)/2)*AB71+(1-EXP(-LN(2)/2))/(LN(2)/2)*V72*Y72*VLOOKUP('Données projet'!$B$9,Paramètres!$A$1:$I$89,3,0)*0.475*44/12</f>
        <v>4.9189608955085047E-5</v>
      </c>
      <c r="AC72" s="22">
        <f t="shared" si="57"/>
        <v>18.4204057591507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15.5</v>
      </c>
      <c r="AI72" s="13">
        <f>IF('Données projet'!$A$62&gt;35,AI71+AH72-AQ71,IF(A72&lt;'Données projet'!$A$62,$AF$205^A72,IF(A72='Données projet'!$A$62,'Données projet'!$B$62,AI71+AH72-AQ71)))</f>
        <v>430.89999999999986</v>
      </c>
      <c r="AJ72" s="13">
        <f>AI72*VLOOKUP('Données projet'!$B$10,Paramètres!$A$1:$I$89,3,0)*VLOOKUP('Données projet'!$B$10,Paramètres!$A$1:$I$89,5,0)</f>
        <v>201.66119999999992</v>
      </c>
      <c r="AK72" s="13">
        <f t="shared" si="89"/>
        <v>50.109073265229782</v>
      </c>
      <c r="AL72" s="20">
        <f t="shared" si="58"/>
        <v>438.49989260360843</v>
      </c>
      <c r="AM72" s="59">
        <f t="shared" si="59"/>
        <v>731.83322593694174</v>
      </c>
      <c r="AN72" s="59">
        <f ca="1">AVERAGE(OFFSET($AM$3,0,0,'Données projet'!$E$10+1,1))-AVERAGE(OFFSET($H$3,0,0,'Données projet'!$E$10+1,1))</f>
        <v>252.98248842635206</v>
      </c>
      <c r="AO72" s="59">
        <f t="shared" si="90"/>
        <v>207.11938580878308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1.4479252991364533</v>
      </c>
      <c r="AV72" s="21">
        <f>EXP(-LN(2)/25)*AV71+(1-EXP(-LN(2)/25))/(LN(2)/25)*Calculateur!AQ72*Calculateur!AS72*VLOOKUP('Données projet'!$B$10,Paramètres!$A$1:$I$89,3,0)*0.475*44/12</f>
        <v>2.6641892341845357</v>
      </c>
      <c r="AW72" s="21">
        <f>EXP(-LN(2)/2)*AW71+(1-EXP(-LN(2)/2))/(LN(2)/2)*AQ72*AT72*VLOOKUP('Données projet'!$B$10,Paramètres!$A$1:$I$89,3,0)*0.475*44/12</f>
        <v>1.3260648084717135E-5</v>
      </c>
      <c r="AX72" s="21">
        <f t="shared" si="60"/>
        <v>4.1121277939690737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5.2</v>
      </c>
      <c r="BD72" s="12">
        <f>IF('Données projet'!$A$88&gt;35,BD71+BC72-BL71,IF(A72&lt;'Données projet'!$A$88,$BA$205^A72,IF(A72='Données projet'!$A$88,'Données projet'!$B$88,BD71+BC72-BL71)))</f>
        <v>180.79999999999987</v>
      </c>
      <c r="BE72" s="13">
        <f>BD72*VLOOKUP('Données projet'!$B$11,Paramètres!$A$1:$I$89,3,0)*VLOOKUP('Données projet'!$B$11,Paramètres!$A$1:$I$89,5,0)</f>
        <v>118.4601599999999</v>
      </c>
      <c r="BF72" s="13">
        <f t="shared" si="91"/>
        <v>31.315587396029649</v>
      </c>
      <c r="BG72" s="20">
        <f t="shared" si="61"/>
        <v>260.85942671475146</v>
      </c>
      <c r="BH72" s="59">
        <f t="shared" si="62"/>
        <v>554.19276004808478</v>
      </c>
      <c r="BI72" s="59">
        <f ca="1">AVERAGE(OFFSET($BH$3,0,0,'Données projet'!$E$11+1,1))-AVERAGE(OFFSET($H$3,0,0,'Données projet'!$E$11+1,1))</f>
        <v>114.23168847330004</v>
      </c>
      <c r="BJ72" s="59">
        <f t="shared" si="92"/>
        <v>42.34857998136755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5.2</v>
      </c>
      <c r="BY72" s="12">
        <f>IF('Données projet'!$A$114&gt;35,BY71+BX72-CG71,IF(A72&lt;'Données projet'!$A$114,$BV$205^A72,IF(A72='Données projet'!$A$114,'Données projet'!$B$114,BY71+BX72-CG71)))</f>
        <v>180.79999999999987</v>
      </c>
      <c r="BZ72" s="13">
        <f>BY72*VLOOKUP('Données projet'!$B$12,Paramètres!$A$1:$I$89,3,0)*VLOOKUP('Données projet'!$B$12,Paramètres!$A$1:$I$89,5,0)</f>
        <v>174.86975999999987</v>
      </c>
      <c r="CA72" s="13">
        <f t="shared" si="93"/>
        <v>44.178888594382762</v>
      </c>
      <c r="CB72" s="20">
        <f t="shared" si="64"/>
        <v>381.50972963521639</v>
      </c>
      <c r="CC72" s="59">
        <f t="shared" si="65"/>
        <v>674.8430629685497</v>
      </c>
      <c r="CD72" s="59">
        <f ca="1">AVERAGE(OFFSET($CC$3,0,0,'Données projet'!$E$12+1,1))-AVERAGE(OFFSET($H$3,0,0,'Données projet'!$E$12+1,1))</f>
        <v>201.36664523637006</v>
      </c>
      <c r="CE72" s="59">
        <f t="shared" si="94"/>
        <v>79.394119001888555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14.560966436314134</v>
      </c>
      <c r="CM72" s="21">
        <f>EXP(-LN(2)/2)*CM71+(1-EXP(-LN(2)/2))/(LN(2)/2)*CG72*CJ72*VLOOKUP('Données projet'!$B$12,Paramètres!$A$1:$I$89,3,0)*0.475*44/12</f>
        <v>5.3170336931967826E-4</v>
      </c>
      <c r="CN72" s="22">
        <f t="shared" si="66"/>
        <v>14.561498139683453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7</v>
      </c>
      <c r="CT72" s="12">
        <f>IF('Données projet'!$A$140&gt;35,CT71+CS72-DB71,IF(A72&lt;'Données projet'!$A$140,$CQ$205^A72,IF(A72='Données projet'!$A$140,'Données projet'!$B$140,CT71+CS72-DB71)))</f>
        <v>255.99999999999991</v>
      </c>
      <c r="CU72" s="17">
        <f>CT72*VLOOKUP('Données projet'!$B$13,Paramètres!$A$1:$I$89,3,0)*VLOOKUP('Données projet'!$B$13,Paramètres!$A$1:$I$89,5,0)</f>
        <v>231.6287999999999</v>
      </c>
      <c r="CV72" s="13">
        <f t="shared" si="95"/>
        <v>56.63472139815822</v>
      </c>
      <c r="CW72" s="20">
        <f t="shared" si="67"/>
        <v>502.05896643512528</v>
      </c>
      <c r="CX72" s="59">
        <f t="shared" si="68"/>
        <v>795.39229976845854</v>
      </c>
      <c r="CY72" s="59">
        <f ca="1">AVERAGE(OFFSET($CX$3,0,0,'Données projet'!$E$13+1,1))-AVERAGE(OFFSET($H$3,0,0,'Données projet'!$E$13+1,1))</f>
        <v>282.08542131880455</v>
      </c>
      <c r="CZ72" s="59">
        <f t="shared" si="96"/>
        <v>174.27503468762325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9.0100935259385153</v>
      </c>
      <c r="DG72" s="21">
        <f>EXP(-LN(2)/25)*DG71+(1-EXP(-LN(2)/25))/(LN(2)/25)*Calculateur!DB72*Calculateur!DD72*VLOOKUP('Données projet'!$B$13,Paramètres!$A$1:$I$89,3,0)*0.475*44/12</f>
        <v>22.682875997921226</v>
      </c>
      <c r="DH72" s="21">
        <f>EXP(-LN(2)/2)*DH71+(1-EXP(-LN(2)/2))/(LN(2)/2)*DB72*DE72*VLOOKUP('Données projet'!$B$13,Paramètres!$A$1:$I$89,3,0)*0.475*44/12</f>
        <v>7.9042835484623749E-4</v>
      </c>
      <c r="DI72" s="22">
        <f t="shared" si="69"/>
        <v>31.693759952214588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4.0999999999999996</v>
      </c>
      <c r="DO72" s="12">
        <f>IF('Données projet'!$A$166&gt;35,DO71+DN72-DW71,IF(A72&lt;'Données projet'!$A$166,$DL$205^A72,IF(A72='Données projet'!$A$166,'Données projet'!$B$166,DO71+DN72-DW71)))</f>
        <v>269.89999999999981</v>
      </c>
      <c r="DP72" s="17">
        <f>DO72*VLOOKUP('Données projet'!$B$14,Paramètres!$A$1:$I$89,3,0)*VLOOKUP('Données projet'!$B$14,Paramètres!$A$1:$I$89,5,0)</f>
        <v>218.94287999999986</v>
      </c>
      <c r="DQ72" s="13">
        <f t="shared" si="97"/>
        <v>53.885061542657262</v>
      </c>
      <c r="DR72" s="20">
        <f t="shared" si="70"/>
        <v>475.17533152012783</v>
      </c>
      <c r="DS72" s="59">
        <f t="shared" si="71"/>
        <v>768.50866485346114</v>
      </c>
      <c r="DT72" s="59">
        <f ca="1">AVERAGE(OFFSET($DS$3,0,0,'Données projet'!$E$14+1,1))-AVERAGE(OFFSET($H$3,0,0,'Données projet'!$E$14+1,1))</f>
        <v>235.31102883830971</v>
      </c>
      <c r="DU72" s="59">
        <f t="shared" si="98"/>
        <v>271.48630853790422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5.9200138043043999</v>
      </c>
      <c r="EB72" s="21">
        <f>EXP(-LN(2)/25)*EB71+(1-EXP(-LN(2)/25))/(LN(2)/25)*Calculateur!DW72*Calculateur!DY72*VLOOKUP('Données projet'!$B$14,Paramètres!$A$1:$I$89,3,0)*0.475*44/12</f>
        <v>19.514930012386603</v>
      </c>
      <c r="EC72" s="21">
        <f>EXP(-LN(2)/2)*EC71+(1-EXP(-LN(2)/2))/(LN(2)/2)*DW72*DZ72*VLOOKUP('Données projet'!$B$14,Paramètres!$A$1:$I$89,3,0)*0.475*44/12</f>
        <v>9.5382629514157552E-4</v>
      </c>
      <c r="ED72" s="22">
        <f t="shared" si="72"/>
        <v>25.435897642986145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741</v>
      </c>
      <c r="L73" s="12">
        <f>VLOOKUP(A73,'Données projet'!$A$35:$I$55,9,0)</f>
        <v>15.8</v>
      </c>
      <c r="M73" s="12">
        <f t="array" ref="M73">INDEX(L:L,MIN(IF(ISNUMBER(L73:L269),ROW(L73:L269),"")))</f>
        <v>15.8</v>
      </c>
      <c r="N73" s="13">
        <f>IF('Données projet'!$A$36&gt;35,N72+M73-V72,IF(A73&lt;'Données projet'!$A$36,$K$205^A73,IF(A73='Données projet'!$A$36,'Données projet'!$B$36,N72+M73-V72)))</f>
        <v>740.99999999999898</v>
      </c>
      <c r="O73" s="13">
        <f>N73*VLOOKUP('Données projet'!$B$9,Paramètres!$A$1:$I$89,3,0)*VLOOKUP('Données projet'!$B$9,Paramètres!$A$1:$I$89,5,0)</f>
        <v>414.21899999999943</v>
      </c>
      <c r="P73" s="13">
        <f t="shared" si="87"/>
        <v>94.653462817267581</v>
      </c>
      <c r="Q73" s="20">
        <f t="shared" si="54"/>
        <v>886.28620607340656</v>
      </c>
      <c r="R73" s="59">
        <f t="shared" si="55"/>
        <v>1179.6195394067399</v>
      </c>
      <c r="S73" s="59">
        <f ca="1">AVERAGE(OFFSET($R$3,0,0,'Données projet'!$E$9+1,1))-AVERAGE(OFFSET($H$3,0,0,'Données projet'!$E$9+1,1))</f>
        <v>446.28010102877403</v>
      </c>
      <c r="T73" s="59">
        <f t="shared" si="88"/>
        <v>445.84011537290456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5.1716199772143892</v>
      </c>
      <c r="AA73" s="21">
        <f>EXP(-LN(2)/25)*AA72+(1-EXP(-LN(2)/25))/(LN(2)/25)*Calculateur!V73*Calculateur!X73*VLOOKUP('Données projet'!$B$9,Paramètres!$A$1:$I$89,3,0)*0.475*44/12</f>
        <v>12.785837062636567</v>
      </c>
      <c r="AB73" s="21">
        <f>EXP(-LN(2)/2)*AB72+(1-EXP(-LN(2)/2))/(LN(2)/2)*V73*Y73*VLOOKUP('Données projet'!$B$9,Paramètres!$A$1:$I$89,3,0)*0.475*44/12</f>
        <v>3.478230605605516E-5</v>
      </c>
      <c r="AC73" s="22">
        <f t="shared" si="57"/>
        <v>17.957491822157014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446.4</v>
      </c>
      <c r="AG73" s="12">
        <f>VLOOKUP(A73,'Données projet'!$A$61:$I$81,9,0)</f>
        <v>15.5</v>
      </c>
      <c r="AH73" s="12">
        <f t="array" ref="AH73">INDEX(AG:AG,MIN(IF(ISNUMBER(AG73:AG269),ROW(AG73:AG269),"")))</f>
        <v>15.5</v>
      </c>
      <c r="AI73" s="13">
        <f>IF('Données projet'!$A$62&gt;35,AI72+AH73-AQ72,IF(A73&lt;'Données projet'!$A$62,$AF$205^A73,IF(A73='Données projet'!$A$62,'Données projet'!$B$62,AI72+AH73-AQ72)))</f>
        <v>446.39999999999986</v>
      </c>
      <c r="AJ73" s="13">
        <f>AI73*VLOOKUP('Données projet'!$B$10,Paramètres!$A$1:$I$89,3,0)*VLOOKUP('Données projet'!$B$10,Paramètres!$A$1:$I$89,5,0)</f>
        <v>208.91519999999994</v>
      </c>
      <c r="AK73" s="13">
        <f t="shared" si="89"/>
        <v>51.698458198123326</v>
      </c>
      <c r="AL73" s="20">
        <f t="shared" si="58"/>
        <v>453.90212136173136</v>
      </c>
      <c r="AM73" s="59">
        <f t="shared" si="59"/>
        <v>747.23545469506462</v>
      </c>
      <c r="AN73" s="59">
        <f ca="1">AVERAGE(OFFSET($AM$3,0,0,'Données projet'!$E$10+1,1))-AVERAGE(OFFSET($H$3,0,0,'Données projet'!$E$10+1,1))</f>
        <v>252.98248842635206</v>
      </c>
      <c r="AO73" s="59">
        <f t="shared" si="90"/>
        <v>207.11938580878308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83.4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1.4195323671676163</v>
      </c>
      <c r="AV73" s="21">
        <f>EXP(-LN(2)/25)*AV72+(1-EXP(-LN(2)/25))/(LN(2)/25)*Calculateur!AQ73*Calculateur!AS73*VLOOKUP('Données projet'!$B$10,Paramètres!$A$1:$I$89,3,0)*0.475*44/12</f>
        <v>2.5913368394721368</v>
      </c>
      <c r="AW73" s="21">
        <f>EXP(-LN(2)/2)*AW72+(1-EXP(-LN(2)/2))/(LN(2)/2)*AQ73*AT73*VLOOKUP('Données projet'!$B$10,Paramètres!$A$1:$I$89,3,0)*0.475*44/12</f>
        <v>9.3766941836318892E-6</v>
      </c>
      <c r="AX73" s="21">
        <f t="shared" si="60"/>
        <v>4.0108785833339367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186</v>
      </c>
      <c r="BB73" s="12">
        <f>VLOOKUP(A73,'Données projet'!$A$87:$I$107,9,0)</f>
        <v>5.2</v>
      </c>
      <c r="BC73" s="12">
        <f t="array" ref="BC73">INDEX(BB:BB,MIN(IF(ISNUMBER(BB73:BB269),ROW(BB73:BB269),"")))</f>
        <v>5.2</v>
      </c>
      <c r="BD73" s="12">
        <f>IF('Données projet'!$A$88&gt;35,BD72+BC73-BL72,IF(A73&lt;'Données projet'!$A$88,$BA$205^A73,IF(A73='Données projet'!$A$88,'Données projet'!$B$88,BD72+BC73-BL72)))</f>
        <v>185.99999999999986</v>
      </c>
      <c r="BE73" s="13">
        <f>BD73*VLOOKUP('Données projet'!$B$11,Paramètres!$A$1:$I$89,3,0)*VLOOKUP('Données projet'!$B$11,Paramètres!$A$1:$I$89,5,0)</f>
        <v>121.8671999999999</v>
      </c>
      <c r="BF73" s="13">
        <f t="shared" si="91"/>
        <v>32.110100916567376</v>
      </c>
      <c r="BG73" s="20">
        <f t="shared" si="61"/>
        <v>268.17713242968802</v>
      </c>
      <c r="BH73" s="59">
        <f t="shared" si="62"/>
        <v>561.51046576302133</v>
      </c>
      <c r="BI73" s="59">
        <f ca="1">AVERAGE(OFFSET($BH$3,0,0,'Données projet'!$E$11+1,1))-AVERAGE(OFFSET($H$3,0,0,'Données projet'!$E$11+1,1))</f>
        <v>114.23168847330004</v>
      </c>
      <c r="BJ73" s="59">
        <f t="shared" si="92"/>
        <v>42.34857998136755</v>
      </c>
      <c r="BK73" s="15">
        <f>IF(ISNA(VLOOKUP(A73,'Données projet'!$A$87:$I$107,3,0)),0,VLOOKUP(A73,'Données projet'!$A$87:$I$107,3,0))</f>
        <v>4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186</v>
      </c>
      <c r="BW73" s="12">
        <f>VLOOKUP(A73,'Données projet'!$A$113:$I$133,9,0)</f>
        <v>5.2</v>
      </c>
      <c r="BX73" s="12">
        <f t="array" ref="BX73">INDEX(BW:BW,MIN(IF(ISNUMBER(BW73:BW269),ROW(BW73:BW269),"")))</f>
        <v>5.2</v>
      </c>
      <c r="BY73" s="12">
        <f>IF('Données projet'!$A$114&gt;35,BY72+BX73-CG72,IF(A73&lt;'Données projet'!$A$114,$BV$205^A73,IF(A73='Données projet'!$A$114,'Données projet'!$B$114,BY72+BX73-CG72)))</f>
        <v>185.99999999999986</v>
      </c>
      <c r="BZ73" s="13">
        <f>BY73*VLOOKUP('Données projet'!$B$12,Paramètres!$A$1:$I$89,3,0)*VLOOKUP('Données projet'!$B$12,Paramètres!$A$1:$I$89,5,0)</f>
        <v>179.89919999999987</v>
      </c>
      <c r="CA73" s="13">
        <f t="shared" si="93"/>
        <v>45.299759292628544</v>
      </c>
      <c r="CB73" s="20">
        <f t="shared" si="64"/>
        <v>392.22152076799443</v>
      </c>
      <c r="CC73" s="59">
        <f t="shared" si="65"/>
        <v>685.55485410132769</v>
      </c>
      <c r="CD73" s="59">
        <f ca="1">AVERAGE(OFFSET($CC$3,0,0,'Données projet'!$E$12+1,1))-AVERAGE(OFFSET($H$3,0,0,'Données projet'!$E$12+1,1))</f>
        <v>201.36664523637006</v>
      </c>
      <c r="CE73" s="59">
        <f t="shared" si="94"/>
        <v>79.394119001888555</v>
      </c>
      <c r="CF73" s="15">
        <f>IF(ISNA(VLOOKUP(A73,'Données projet'!$A$113:$I$133,3,0)),0,VLOOKUP(A73,'Données projet'!$A$113:$I$133,3,0))</f>
        <v>4</v>
      </c>
      <c r="CG73" s="15">
        <f>IF(ISNA(VLOOKUP(A73,'Données projet'!$A$113:$I$133,4,0)),0,VLOOKUP(A73,'Données projet'!$A$113:$I$133,4,0))</f>
        <v>28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0.25800000000000001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21.856363702042703</v>
      </c>
      <c r="CM73" s="21">
        <f>EXP(-LN(2)/2)*CM72+(1-EXP(-LN(2)/2))/(LN(2)/2)*CG73*CJ73*VLOOKUP('Données projet'!$B$12,Paramètres!$A$1:$I$89,3,0)*0.475*44/12</f>
        <v>3.7597105802567981E-4</v>
      </c>
      <c r="CN73" s="22">
        <f t="shared" si="66"/>
        <v>21.85673967310073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263</v>
      </c>
      <c r="CR73" s="12">
        <f>VLOOKUP(A73,'Données projet'!$A$139:$I$159,9,0)</f>
        <v>7</v>
      </c>
      <c r="CS73" s="12">
        <f t="array" ref="CS73">INDEX(CR:CR,MIN(IF(ISNUMBER(CR73:CR269),ROW(CR73:CR269),"")))</f>
        <v>7</v>
      </c>
      <c r="CT73" s="12">
        <f>IF('Données projet'!$A$140&gt;35,CT72+CS73-DB72,IF(A73&lt;'Données projet'!$A$140,$CQ$205^A73,IF(A73='Données projet'!$A$140,'Données projet'!$B$140,CT72+CS73-DB72)))</f>
        <v>262.99999999999989</v>
      </c>
      <c r="CU73" s="17">
        <f>CT73*VLOOKUP('Données projet'!$B$13,Paramètres!$A$1:$I$89,3,0)*VLOOKUP('Données projet'!$B$13,Paramètres!$A$1:$I$89,5,0)</f>
        <v>237.96239999999992</v>
      </c>
      <c r="CV73" s="13">
        <f t="shared" si="95"/>
        <v>58.00091360766335</v>
      </c>
      <c r="CW73" s="20">
        <f t="shared" si="67"/>
        <v>515.4694378666801</v>
      </c>
      <c r="CX73" s="59">
        <f t="shared" si="68"/>
        <v>808.80277120001347</v>
      </c>
      <c r="CY73" s="59">
        <f ca="1">AVERAGE(OFFSET($CX$3,0,0,'Données projet'!$E$13+1,1))-AVERAGE(OFFSET($H$3,0,0,'Données projet'!$E$13+1,1))</f>
        <v>282.08542131880455</v>
      </c>
      <c r="CZ73" s="59">
        <f t="shared" si="96"/>
        <v>174.27503468762325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42</v>
      </c>
      <c r="DC73" s="16">
        <f>IF(ISNA(VLOOKUP(A73,'Données projet'!$A$139:$I$159,5,0)),0%,VLOOKUP(A73,'Données projet'!$A$139:$I$159,5,0)*VLOOKUP('Données projet'!$B$13,Paramètres!$A$1:$I$89,7,0))</f>
        <v>0.17200000000000001</v>
      </c>
      <c r="DD73" s="16">
        <f>IF(ISNA(VLOOKUP(A73,'Données projet'!$A$139:$I$159,6,0)),0%,VLOOKUP(A73,'Données projet'!$A$139:$I$159,6,0)*VLOOKUP('Données projet'!$B$13,Paramètres!$A$1:$I$89,7,0))</f>
        <v>0.25800000000000001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16.059069713585075</v>
      </c>
      <c r="DG73" s="21">
        <f>EXP(-LN(2)/25)*DG72+(1-EXP(-LN(2)/25))/(LN(2)/25)*Calculateur!DB73*Calculateur!DD73*VLOOKUP('Données projet'!$B$13,Paramètres!$A$1:$I$89,3,0)*0.475*44/12</f>
        <v>32.858424243227212</v>
      </c>
      <c r="DH73" s="21">
        <f>EXP(-LN(2)/2)*DH72+(1-EXP(-LN(2)/2))/(LN(2)/2)*DB73*DE73*VLOOKUP('Données projet'!$B$13,Paramètres!$A$1:$I$89,3,0)*0.475*44/12</f>
        <v>5.5891724975390118E-4</v>
      </c>
      <c r="DI73" s="22">
        <f t="shared" si="69"/>
        <v>48.918052874062042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274</v>
      </c>
      <c r="DM73" s="12">
        <f>VLOOKUP(A73,'Données projet'!$A$165:$I$185,9,0)</f>
        <v>4.0999999999999996</v>
      </c>
      <c r="DN73" s="12">
        <f t="array" ref="DN73">INDEX(DM:DM,MIN(IF(ISNUMBER(DM73:DM269),ROW(DM73:DM269),"")))</f>
        <v>4.0999999999999996</v>
      </c>
      <c r="DO73" s="12">
        <f>IF('Données projet'!$A$166&gt;35,DO72+DN73-DW72,IF(A73&lt;'Données projet'!$A$166,$DL$205^A73,IF(A73='Données projet'!$A$166,'Données projet'!$B$166,DO72+DN73-DW72)))</f>
        <v>273.99999999999983</v>
      </c>
      <c r="DP73" s="17">
        <f>DO73*VLOOKUP('Données projet'!$B$14,Paramètres!$A$1:$I$89,3,0)*VLOOKUP('Données projet'!$B$14,Paramètres!$A$1:$I$89,5,0)</f>
        <v>222.26879999999986</v>
      </c>
      <c r="DQ73" s="13">
        <f t="shared" si="97"/>
        <v>54.607703354107656</v>
      </c>
      <c r="DR73" s="20">
        <f t="shared" si="70"/>
        <v>482.22657667507048</v>
      </c>
      <c r="DS73" s="59">
        <f t="shared" si="71"/>
        <v>775.55991000840379</v>
      </c>
      <c r="DT73" s="59">
        <f ca="1">AVERAGE(OFFSET($DS$3,0,0,'Données projet'!$E$14+1,1))-AVERAGE(OFFSET($H$3,0,0,'Données projet'!$E$14+1,1))</f>
        <v>235.31102883830971</v>
      </c>
      <c r="DU73" s="59">
        <f t="shared" si="98"/>
        <v>271.48630853790422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21</v>
      </c>
      <c r="DX73" s="16">
        <f>IF(ISNA(VLOOKUP(A73,'Données projet'!$A$165:$I$185,5,0)),0%,VLOOKUP(A73,'Données projet'!$A$165:$I$185,5,0)*VLOOKUP('Données projet'!$B$14,Paramètres!$A$1:$I$89,7,0))</f>
        <v>0.17200000000000001</v>
      </c>
      <c r="DY73" s="16">
        <f>IF(ISNA(VLOOKUP(A73,'Données projet'!$A$165:$I$185,6,0)),0%,VLOOKUP(A73,'Données projet'!$A$165:$I$185,6,0)*VLOOKUP('Données projet'!$B$14,Paramètres!$A$1:$I$89,7,0))</f>
        <v>0.25800000000000001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9.0430142940740605</v>
      </c>
      <c r="EB73" s="21">
        <f>EXP(-LN(2)/25)*EB72+(1-EXP(-LN(2)/25))/(LN(2)/25)*Calculateur!DW73*Calculateur!DY73*VLOOKUP('Données projet'!$B$14,Paramètres!$A$1:$I$89,3,0)*0.475*44/12</f>
        <v>23.820795461849798</v>
      </c>
      <c r="EC73" s="21">
        <f>EXP(-LN(2)/2)*EC72+(1-EXP(-LN(2)/2))/(LN(2)/2)*DW73*DZ73*VLOOKUP('Données projet'!$B$14,Paramètres!$A$1:$I$89,3,0)*0.475*44/12</f>
        <v>6.7445704136864944E-4</v>
      </c>
      <c r="ED73" s="22">
        <f t="shared" si="72"/>
        <v>32.86448421296523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12.9</v>
      </c>
      <c r="N74" s="13">
        <f>IF('Données projet'!$A$36&gt;35,N73+M74-V73,IF(A74&lt;'Données projet'!$A$36,$K$205^A74,IF(A74='Données projet'!$A$36,'Données projet'!$B$36,N73+M74-V73)))</f>
        <v>673.89999999999895</v>
      </c>
      <c r="O74" s="13">
        <f>N74*VLOOKUP('Données projet'!$B$9,Paramètres!$A$1:$I$89,3,0)*VLOOKUP('Données projet'!$B$9,Paramètres!$A$1:$I$89,5,0)</f>
        <v>376.71009999999939</v>
      </c>
      <c r="P74" s="13">
        <f t="shared" si="87"/>
        <v>87.038637418312646</v>
      </c>
      <c r="Q74" s="20">
        <f t="shared" si="54"/>
        <v>807.69571767022671</v>
      </c>
      <c r="R74" s="59">
        <f t="shared" si="55"/>
        <v>1101.02905100356</v>
      </c>
      <c r="S74" s="59">
        <f ca="1">AVERAGE(OFFSET($R$3,0,0,'Données projet'!$E$9+1,1))-AVERAGE(OFFSET($H$3,0,0,'Données projet'!$E$9+1,1))</f>
        <v>446.28010102877403</v>
      </c>
      <c r="T74" s="59">
        <f t="shared" si="88"/>
        <v>445.84011537290456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5.0702076638379321</v>
      </c>
      <c r="AA74" s="21">
        <f>EXP(-LN(2)/25)*AA73+(1-EXP(-LN(2)/25))/(LN(2)/25)*Calculateur!V74*Calculateur!X74*VLOOKUP('Données projet'!$B$9,Paramètres!$A$1:$I$89,3,0)*0.475*44/12</f>
        <v>12.436207675780821</v>
      </c>
      <c r="AB74" s="21">
        <f>EXP(-LN(2)/2)*AB73+(1-EXP(-LN(2)/2))/(LN(2)/2)*V74*Y74*VLOOKUP('Données projet'!$B$9,Paramètres!$A$1:$I$89,3,0)*0.475*44/12</f>
        <v>2.4594804477542523E-5</v>
      </c>
      <c r="AC74" s="22">
        <f t="shared" si="57"/>
        <v>17.506439934423234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17</v>
      </c>
      <c r="AI74" s="13">
        <f>IF('Données projet'!$A$62&gt;35,AI73+AH74-AQ73,IF(A74&lt;'Données projet'!$A$62,$AF$205^A74,IF(A74='Données projet'!$A$62,'Données projet'!$B$62,AI73+AH74-AQ73)))</f>
        <v>379.99999999999989</v>
      </c>
      <c r="AJ74" s="13">
        <f>AI74*VLOOKUP('Données projet'!$B$10,Paramètres!$A$1:$I$89,3,0)*VLOOKUP('Données projet'!$B$10,Paramètres!$A$1:$I$89,5,0)</f>
        <v>177.83999999999995</v>
      </c>
      <c r="AK74" s="13">
        <f t="shared" si="89"/>
        <v>44.841288830609102</v>
      </c>
      <c r="AL74" s="20">
        <f t="shared" si="58"/>
        <v>387.83657804664409</v>
      </c>
      <c r="AM74" s="59">
        <f t="shared" si="59"/>
        <v>681.16991137997741</v>
      </c>
      <c r="AN74" s="59">
        <f ca="1">AVERAGE(OFFSET($AM$3,0,0,'Données projet'!$E$10+1,1))-AVERAGE(OFFSET($H$3,0,0,'Données projet'!$E$10+1,1))</f>
        <v>252.98248842635206</v>
      </c>
      <c r="AO74" s="59">
        <f t="shared" si="90"/>
        <v>207.11938580878308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1.3916962032767097</v>
      </c>
      <c r="AV74" s="21">
        <f>EXP(-LN(2)/25)*AV73+(1-EXP(-LN(2)/25))/(LN(2)/25)*Calculateur!AQ74*Calculateur!AS74*VLOOKUP('Données projet'!$B$10,Paramètres!$A$1:$I$89,3,0)*0.475*44/12</f>
        <v>2.5204765973242895</v>
      </c>
      <c r="AW74" s="21">
        <f>EXP(-LN(2)/2)*AW73+(1-EXP(-LN(2)/2))/(LN(2)/2)*AQ74*AT74*VLOOKUP('Données projet'!$B$10,Paramètres!$A$1:$I$89,3,0)*0.475*44/12</f>
        <v>6.6303240423585673E-6</v>
      </c>
      <c r="AX74" s="21">
        <f t="shared" si="60"/>
        <v>3.9121794309250415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4.8</v>
      </c>
      <c r="BD74" s="12">
        <f>IF('Données projet'!$A$88&gt;35,BD73+BC74-BL73,IF(A74&lt;'Données projet'!$A$88,$BA$205^A74,IF(A74='Données projet'!$A$88,'Données projet'!$B$88,BD73+BC74-BL73)))</f>
        <v>162.79999999999987</v>
      </c>
      <c r="BE74" s="13">
        <f>BD74*VLOOKUP('Données projet'!$B$11,Paramètres!$A$1:$I$89,3,0)*VLOOKUP('Données projet'!$B$11,Paramètres!$A$1:$I$89,5,0)</f>
        <v>106.66655999999992</v>
      </c>
      <c r="BF74" s="13">
        <f t="shared" si="91"/>
        <v>28.544199055651799</v>
      </c>
      <c r="BG74" s="20">
        <f t="shared" si="61"/>
        <v>235.49207202192676</v>
      </c>
      <c r="BH74" s="59">
        <f t="shared" si="62"/>
        <v>528.82540535526005</v>
      </c>
      <c r="BI74" s="59">
        <f ca="1">AVERAGE(OFFSET($BH$3,0,0,'Données projet'!$E$11+1,1))-AVERAGE(OFFSET($H$3,0,0,'Données projet'!$E$11+1,1))</f>
        <v>114.23168847330004</v>
      </c>
      <c r="BJ74" s="59">
        <f t="shared" si="92"/>
        <v>42.34857998136755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4.8</v>
      </c>
      <c r="BY74" s="12">
        <f>IF('Données projet'!$A$114&gt;35,BY73+BX74-CG73,IF(A74&lt;'Données projet'!$A$114,$BV$205^A74,IF(A74='Données projet'!$A$114,'Données projet'!$B$114,BY73+BX74-CG73)))</f>
        <v>162.79999999999987</v>
      </c>
      <c r="BZ74" s="13">
        <f>BY74*VLOOKUP('Données projet'!$B$12,Paramètres!$A$1:$I$89,3,0)*VLOOKUP('Données projet'!$B$12,Paramètres!$A$1:$I$89,5,0)</f>
        <v>157.46015999999989</v>
      </c>
      <c r="CA74" s="13">
        <f t="shared" si="93"/>
        <v>40.269114998475459</v>
      </c>
      <c r="CB74" s="20">
        <f t="shared" si="64"/>
        <v>344.37848728901122</v>
      </c>
      <c r="CC74" s="59">
        <f t="shared" si="65"/>
        <v>637.71182062234448</v>
      </c>
      <c r="CD74" s="59">
        <f ca="1">AVERAGE(OFFSET($CC$3,0,0,'Données projet'!$E$12+1,1))-AVERAGE(OFFSET($H$3,0,0,'Données projet'!$E$12+1,1))</f>
        <v>201.36664523637006</v>
      </c>
      <c r="CE74" s="59">
        <f t="shared" si="94"/>
        <v>79.394119001888555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21.258700287234131</v>
      </c>
      <c r="CM74" s="21">
        <f>EXP(-LN(2)/2)*CM73+(1-EXP(-LN(2)/2))/(LN(2)/2)*CG74*CJ74*VLOOKUP('Données projet'!$B$12,Paramètres!$A$1:$I$89,3,0)*0.475*44/12</f>
        <v>2.6585168465983913E-4</v>
      </c>
      <c r="CN74" s="22">
        <f t="shared" si="66"/>
        <v>21.25896613891879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6.2</v>
      </c>
      <c r="CT74" s="12">
        <f>IF('Données projet'!$A$140&gt;35,CT73+CS74-DB73,IF(A74&lt;'Données projet'!$A$140,$CQ$205^A74,IF(A74='Données projet'!$A$140,'Données projet'!$B$140,CT73+CS74-DB73)))</f>
        <v>227.19999999999987</v>
      </c>
      <c r="CU74" s="17">
        <f>CT74*VLOOKUP('Données projet'!$B$13,Paramètres!$A$1:$I$89,3,0)*VLOOKUP('Données projet'!$B$13,Paramètres!$A$1:$I$89,5,0)</f>
        <v>205.57055999999989</v>
      </c>
      <c r="CV74" s="13">
        <f t="shared" si="95"/>
        <v>50.966443946767349</v>
      </c>
      <c r="CW74" s="20">
        <f t="shared" si="67"/>
        <v>446.80194854061955</v>
      </c>
      <c r="CX74" s="59">
        <f t="shared" si="68"/>
        <v>740.13528187395286</v>
      </c>
      <c r="CY74" s="59">
        <f ca="1">AVERAGE(OFFSET($CX$3,0,0,'Données projet'!$E$13+1,1))-AVERAGE(OFFSET($H$3,0,0,'Données projet'!$E$13+1,1))</f>
        <v>282.08542131880455</v>
      </c>
      <c r="CZ74" s="59">
        <f t="shared" si="96"/>
        <v>174.27503468762325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15.744161151567015</v>
      </c>
      <c r="DG74" s="21">
        <f>EXP(-LN(2)/25)*DG73+(1-EXP(-LN(2)/25))/(LN(2)/25)*Calculateur!DB74*Calculateur!DD74*VLOOKUP('Données projet'!$B$13,Paramètres!$A$1:$I$89,3,0)*0.475*44/12</f>
        <v>31.959908904346733</v>
      </c>
      <c r="DH74" s="21">
        <f>EXP(-LN(2)/2)*DH73+(1-EXP(-LN(2)/2))/(LN(2)/2)*DB74*DE74*VLOOKUP('Données projet'!$B$13,Paramètres!$A$1:$I$89,3,0)*0.475*44/12</f>
        <v>3.9521417742311875E-4</v>
      </c>
      <c r="DI74" s="22">
        <f t="shared" si="69"/>
        <v>47.70446527009117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3.1</v>
      </c>
      <c r="DO74" s="12">
        <f>IF('Données projet'!$A$166&gt;35,DO73+DN74-DW73,IF(A74&lt;'Données projet'!$A$166,$DL$205^A74,IF(A74='Données projet'!$A$166,'Données projet'!$B$166,DO73+DN74-DW73)))</f>
        <v>256.09999999999985</v>
      </c>
      <c r="DP74" s="17">
        <f>DO74*VLOOKUP('Données projet'!$B$14,Paramètres!$A$1:$I$89,3,0)*VLOOKUP('Données projet'!$B$14,Paramètres!$A$1:$I$89,5,0)</f>
        <v>207.74831999999992</v>
      </c>
      <c r="DQ74" s="13">
        <f t="shared" si="97"/>
        <v>51.443228678039006</v>
      </c>
      <c r="DR74" s="20">
        <f t="shared" si="70"/>
        <v>451.42528061425111</v>
      </c>
      <c r="DS74" s="59">
        <f t="shared" si="71"/>
        <v>744.75861394758442</v>
      </c>
      <c r="DT74" s="59">
        <f ca="1">AVERAGE(OFFSET($DS$3,0,0,'Données projet'!$E$14+1,1))-AVERAGE(OFFSET($H$3,0,0,'Données projet'!$E$14+1,1))</f>
        <v>235.31102883830971</v>
      </c>
      <c r="DU74" s="59">
        <f t="shared" si="98"/>
        <v>271.48630853790422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8.8656862994613572</v>
      </c>
      <c r="EB74" s="21">
        <f>EXP(-LN(2)/25)*EB73+(1-EXP(-LN(2)/25))/(LN(2)/25)*Calculateur!DW74*Calculateur!DY74*VLOOKUP('Données projet'!$B$14,Paramètres!$A$1:$I$89,3,0)*0.475*44/12</f>
        <v>23.169414557264325</v>
      </c>
      <c r="EC74" s="21">
        <f>EXP(-LN(2)/2)*EC73+(1-EXP(-LN(2)/2))/(LN(2)/2)*DW74*DZ74*VLOOKUP('Données projet'!$B$14,Paramètres!$A$1:$I$89,3,0)*0.475*44/12</f>
        <v>4.7691314757078787E-4</v>
      </c>
      <c r="ED74" s="22">
        <f t="shared" si="72"/>
        <v>32.035577769873257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12.9</v>
      </c>
      <c r="N75" s="13">
        <f>IF('Données projet'!$A$36&gt;35,N74+M75-V74,IF(A75&lt;'Données projet'!$A$36,$K$205^A75,IF(A75='Données projet'!$A$36,'Données projet'!$B$36,N74+M75-V74)))</f>
        <v>686.79999999999893</v>
      </c>
      <c r="O75" s="13">
        <f>N75*VLOOKUP('Données projet'!$B$9,Paramètres!$A$1:$I$89,3,0)*VLOOKUP('Données projet'!$B$9,Paramètres!$A$1:$I$89,5,0)</f>
        <v>383.92119999999943</v>
      </c>
      <c r="P75" s="13">
        <f t="shared" si="87"/>
        <v>88.509192685867021</v>
      </c>
      <c r="Q75" s="20">
        <f t="shared" si="54"/>
        <v>822.81626726121738</v>
      </c>
      <c r="R75" s="59">
        <f t="shared" si="55"/>
        <v>1116.1496005945507</v>
      </c>
      <c r="S75" s="59">
        <f ca="1">AVERAGE(OFFSET($R$3,0,0,'Données projet'!$E$9+1,1))-AVERAGE(OFFSET($H$3,0,0,'Données projet'!$E$9+1,1))</f>
        <v>446.28010102877403</v>
      </c>
      <c r="T75" s="59">
        <f t="shared" si="88"/>
        <v>445.84011537290456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4.9707839840713843</v>
      </c>
      <c r="AA75" s="21">
        <f>EXP(-LN(2)/25)*AA74+(1-EXP(-LN(2)/25))/(LN(2)/25)*Calculateur!V75*Calculateur!X75*VLOOKUP('Données projet'!$B$9,Paramètres!$A$1:$I$89,3,0)*0.475*44/12</f>
        <v>12.096138922894855</v>
      </c>
      <c r="AB75" s="21">
        <f>EXP(-LN(2)/2)*AB74+(1-EXP(-LN(2)/2))/(LN(2)/2)*V75*Y75*VLOOKUP('Données projet'!$B$9,Paramètres!$A$1:$I$89,3,0)*0.475*44/12</f>
        <v>1.739115302802758E-5</v>
      </c>
      <c r="AC75" s="22">
        <f t="shared" si="57"/>
        <v>17.06694029811927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17</v>
      </c>
      <c r="AI75" s="13">
        <f>IF('Données projet'!$A$62&gt;35,AI74+AH75-AQ74,IF(A75&lt;'Données projet'!$A$62,$AF$205^A75,IF(A75='Données projet'!$A$62,'Données projet'!$B$62,AI74+AH75-AQ74)))</f>
        <v>396.99999999999989</v>
      </c>
      <c r="AJ75" s="13">
        <f>AI75*VLOOKUP('Données projet'!$B$10,Paramètres!$A$1:$I$89,3,0)*VLOOKUP('Données projet'!$B$10,Paramètres!$A$1:$I$89,5,0)</f>
        <v>185.79599999999996</v>
      </c>
      <c r="AK75" s="13">
        <f t="shared" si="89"/>
        <v>46.60930127448345</v>
      </c>
      <c r="AL75" s="20">
        <f t="shared" si="58"/>
        <v>404.77256638639187</v>
      </c>
      <c r="AM75" s="59">
        <f t="shared" si="59"/>
        <v>698.10589971972513</v>
      </c>
      <c r="AN75" s="59">
        <f ca="1">AVERAGE(OFFSET($AM$3,0,0,'Données projet'!$E$10+1,1))-AVERAGE(OFFSET($H$3,0,0,'Données projet'!$E$10+1,1))</f>
        <v>252.98248842635206</v>
      </c>
      <c r="AO75" s="59">
        <f t="shared" si="90"/>
        <v>207.11938580878308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1.3644058895813205</v>
      </c>
      <c r="AV75" s="21">
        <f>EXP(-LN(2)/25)*AV74+(1-EXP(-LN(2)/25))/(LN(2)/25)*Calculateur!AQ75*Calculateur!AS75*VLOOKUP('Données projet'!$B$10,Paramètres!$A$1:$I$89,3,0)*0.475*44/12</f>
        <v>2.4515540322243532</v>
      </c>
      <c r="AW75" s="21">
        <f>EXP(-LN(2)/2)*AW74+(1-EXP(-LN(2)/2))/(LN(2)/2)*AQ75*AT75*VLOOKUP('Données projet'!$B$10,Paramètres!$A$1:$I$89,3,0)*0.475*44/12</f>
        <v>4.6883470918159446E-6</v>
      </c>
      <c r="AX75" s="21">
        <f t="shared" si="60"/>
        <v>3.8159646101527658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4.8</v>
      </c>
      <c r="BD75" s="12">
        <f>IF('Données projet'!$A$88&gt;35,BD74+BC75-BL74,IF(A75&lt;'Données projet'!$A$88,$BA$205^A75,IF(A75='Données projet'!$A$88,'Données projet'!$B$88,BD74+BC75-BL74)))</f>
        <v>167.59999999999988</v>
      </c>
      <c r="BE75" s="13">
        <f>BD75*VLOOKUP('Données projet'!$B$11,Paramètres!$A$1:$I$89,3,0)*VLOOKUP('Données projet'!$B$11,Paramètres!$A$1:$I$89,5,0)</f>
        <v>109.81151999999993</v>
      </c>
      <c r="BF75" s="13">
        <f t="shared" si="91"/>
        <v>29.286572783205639</v>
      </c>
      <c r="BG75" s="20">
        <f t="shared" si="61"/>
        <v>242.26251159741639</v>
      </c>
      <c r="BH75" s="59">
        <f t="shared" si="62"/>
        <v>535.59584493074976</v>
      </c>
      <c r="BI75" s="59">
        <f ca="1">AVERAGE(OFFSET($BH$3,0,0,'Données projet'!$E$11+1,1))-AVERAGE(OFFSET($H$3,0,0,'Données projet'!$E$11+1,1))</f>
        <v>114.23168847330004</v>
      </c>
      <c r="BJ75" s="59">
        <f t="shared" si="92"/>
        <v>42.34857998136755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4.8</v>
      </c>
      <c r="BY75" s="12">
        <f>IF('Données projet'!$A$114&gt;35,BY74+BX75-CG74,IF(A75&lt;'Données projet'!$A$114,$BV$205^A75,IF(A75='Données projet'!$A$114,'Données projet'!$B$114,BY74+BX75-CG74)))</f>
        <v>167.59999999999988</v>
      </c>
      <c r="BZ75" s="13">
        <f>BY75*VLOOKUP('Données projet'!$B$12,Paramètres!$A$1:$I$89,3,0)*VLOOKUP('Données projet'!$B$12,Paramètres!$A$1:$I$89,5,0)</f>
        <v>162.10271999999989</v>
      </c>
      <c r="CA75" s="13">
        <f t="shared" si="93"/>
        <v>41.316428778358599</v>
      </c>
      <c r="CB75" s="20">
        <f t="shared" si="64"/>
        <v>354.28835078897436</v>
      </c>
      <c r="CC75" s="59">
        <f t="shared" si="65"/>
        <v>647.62168412230767</v>
      </c>
      <c r="CD75" s="59">
        <f ca="1">AVERAGE(OFFSET($CC$3,0,0,'Données projet'!$E$12+1,1))-AVERAGE(OFFSET($H$3,0,0,'Données projet'!$E$12+1,1))</f>
        <v>201.36664523637006</v>
      </c>
      <c r="CE75" s="59">
        <f t="shared" si="94"/>
        <v>79.394119001888555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20.677380009933252</v>
      </c>
      <c r="CM75" s="21">
        <f>EXP(-LN(2)/2)*CM74+(1-EXP(-LN(2)/2))/(LN(2)/2)*CG75*CJ75*VLOOKUP('Données projet'!$B$12,Paramètres!$A$1:$I$89,3,0)*0.475*44/12</f>
        <v>1.8798552901283991E-4</v>
      </c>
      <c r="CN75" s="22">
        <f t="shared" si="66"/>
        <v>20.677567995462265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6.2</v>
      </c>
      <c r="CT75" s="12">
        <f>IF('Données projet'!$A$140&gt;35,CT74+CS75-DB74,IF(A75&lt;'Données projet'!$A$140,$CQ$205^A75,IF(A75='Données projet'!$A$140,'Données projet'!$B$140,CT74+CS75-DB74)))</f>
        <v>233.39999999999986</v>
      </c>
      <c r="CU75" s="17">
        <f>CT75*VLOOKUP('Données projet'!$B$13,Paramètres!$A$1:$I$89,3,0)*VLOOKUP('Données projet'!$B$13,Paramètres!$A$1:$I$89,5,0)</f>
        <v>211.18031999999985</v>
      </c>
      <c r="CV75" s="13">
        <f t="shared" si="95"/>
        <v>52.193431117443019</v>
      </c>
      <c r="CW75" s="20">
        <f t="shared" si="67"/>
        <v>458.70928319621294</v>
      </c>
      <c r="CX75" s="59">
        <f t="shared" si="68"/>
        <v>752.04261652954619</v>
      </c>
      <c r="CY75" s="59">
        <f ca="1">AVERAGE(OFFSET($CX$3,0,0,'Données projet'!$E$13+1,1))-AVERAGE(OFFSET($H$3,0,0,'Données projet'!$E$13+1,1))</f>
        <v>282.08542131880455</v>
      </c>
      <c r="CZ75" s="59">
        <f t="shared" si="96"/>
        <v>174.27503468762325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15.435427754374873</v>
      </c>
      <c r="DG75" s="21">
        <f>EXP(-LN(2)/25)*DG74+(1-EXP(-LN(2)/25))/(LN(2)/25)*Calculateur!DB75*Calculateur!DD75*VLOOKUP('Données projet'!$B$13,Paramètres!$A$1:$I$89,3,0)*0.475*44/12</f>
        <v>31.085963514658808</v>
      </c>
      <c r="DH75" s="21">
        <f>EXP(-LN(2)/2)*DH74+(1-EXP(-LN(2)/2))/(LN(2)/2)*DB75*DE75*VLOOKUP('Données projet'!$B$13,Paramètres!$A$1:$I$89,3,0)*0.475*44/12</f>
        <v>2.7945862487695059E-4</v>
      </c>
      <c r="DI75" s="22">
        <f t="shared" si="69"/>
        <v>46.521670727658552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3.1</v>
      </c>
      <c r="DO75" s="12">
        <f>IF('Données projet'!$A$166&gt;35,DO74+DN75-DW74,IF(A75&lt;'Données projet'!$A$166,$DL$205^A75,IF(A75='Données projet'!$A$166,'Données projet'!$B$166,DO74+DN75-DW74)))</f>
        <v>259.19999999999987</v>
      </c>
      <c r="DP75" s="17">
        <f>DO75*VLOOKUP('Données projet'!$B$14,Paramètres!$A$1:$I$89,3,0)*VLOOKUP('Données projet'!$B$14,Paramètres!$A$1:$I$89,5,0)</f>
        <v>210.2630399999999</v>
      </c>
      <c r="DQ75" s="13">
        <f t="shared" si="97"/>
        <v>51.993062367907982</v>
      </c>
      <c r="DR75" s="20">
        <f t="shared" si="70"/>
        <v>456.7627116241062</v>
      </c>
      <c r="DS75" s="59">
        <f t="shared" si="71"/>
        <v>750.09604495743952</v>
      </c>
      <c r="DT75" s="59">
        <f ca="1">AVERAGE(OFFSET($DS$3,0,0,'Données projet'!$E$14+1,1))-AVERAGE(OFFSET($H$3,0,0,'Données projet'!$E$14+1,1))</f>
        <v>235.31102883830971</v>
      </c>
      <c r="DU75" s="59">
        <f t="shared" si="98"/>
        <v>271.48630853790422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8.6918355986636122</v>
      </c>
      <c r="EB75" s="21">
        <f>EXP(-LN(2)/25)*EB74+(1-EXP(-LN(2)/25))/(LN(2)/25)*Calculateur!DW75*Calculateur!DY75*VLOOKUP('Données projet'!$B$14,Paramètres!$A$1:$I$89,3,0)*0.475*44/12</f>
        <v>22.535845697769375</v>
      </c>
      <c r="EC75" s="21">
        <f>EXP(-LN(2)/2)*EC74+(1-EXP(-LN(2)/2))/(LN(2)/2)*DW75*DZ75*VLOOKUP('Données projet'!$B$14,Paramètres!$A$1:$I$89,3,0)*0.475*44/12</f>
        <v>3.3722852068432478E-4</v>
      </c>
      <c r="ED75" s="22">
        <f t="shared" si="72"/>
        <v>31.228018524953672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12.9</v>
      </c>
      <c r="N76" s="13">
        <f>IF('Données projet'!$A$36&gt;35,N75+M76-V75,IF(A76&lt;'Données projet'!$A$36,$K$205^A76,IF(A76='Données projet'!$A$36,'Données projet'!$B$36,N75+M76-V75)))</f>
        <v>699.69999999999891</v>
      </c>
      <c r="O76" s="13">
        <f>N76*VLOOKUP('Données projet'!$B$9,Paramètres!$A$1:$I$89,3,0)*VLOOKUP('Données projet'!$B$9,Paramètres!$A$1:$I$89,5,0)</f>
        <v>391.13229999999942</v>
      </c>
      <c r="P76" s="13">
        <f t="shared" si="87"/>
        <v>89.976536171230705</v>
      </c>
      <c r="Q76" s="20">
        <f t="shared" si="54"/>
        <v>837.93122299822573</v>
      </c>
      <c r="R76" s="59">
        <f t="shared" si="55"/>
        <v>1131.2645563315591</v>
      </c>
      <c r="S76" s="59">
        <f ca="1">AVERAGE(OFFSET($R$3,0,0,'Données projet'!$E$9+1,1))-AVERAGE(OFFSET($H$3,0,0,'Données projet'!$E$9+1,1))</f>
        <v>446.28010102877403</v>
      </c>
      <c r="T76" s="59">
        <f t="shared" si="88"/>
        <v>445.84011537290456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4.873309942022602</v>
      </c>
      <c r="AA76" s="21">
        <f>EXP(-LN(2)/25)*AA75+(1-EXP(-LN(2)/25))/(LN(2)/25)*Calculateur!V76*Calculateur!X76*VLOOKUP('Données projet'!$B$9,Paramètres!$A$1:$I$89,3,0)*0.475*44/12</f>
        <v>11.765369367939996</v>
      </c>
      <c r="AB76" s="21">
        <f>EXP(-LN(2)/2)*AB75+(1-EXP(-LN(2)/2))/(LN(2)/2)*V76*Y76*VLOOKUP('Données projet'!$B$9,Paramètres!$A$1:$I$89,3,0)*0.475*44/12</f>
        <v>1.2297402238771262E-5</v>
      </c>
      <c r="AC76" s="22">
        <f t="shared" si="57"/>
        <v>16.638691607364837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17</v>
      </c>
      <c r="AI76" s="13">
        <f>IF('Données projet'!$A$62&gt;35,AI75+AH76-AQ75,IF(A76&lt;'Données projet'!$A$62,$AF$205^A76,IF(A76='Données projet'!$A$62,'Données projet'!$B$62,AI75+AH76-AQ75)))</f>
        <v>413.99999999999989</v>
      </c>
      <c r="AJ76" s="13">
        <f>AI76*VLOOKUP('Données projet'!$B$10,Paramètres!$A$1:$I$89,3,0)*VLOOKUP('Données projet'!$B$10,Paramètres!$A$1:$I$89,5,0)</f>
        <v>193.75199999999995</v>
      </c>
      <c r="AK76" s="13">
        <f t="shared" si="89"/>
        <v>48.36852035537607</v>
      </c>
      <c r="AL76" s="20">
        <f t="shared" si="58"/>
        <v>421.69323961894656</v>
      </c>
      <c r="AM76" s="59">
        <f t="shared" si="59"/>
        <v>715.02657295227982</v>
      </c>
      <c r="AN76" s="59">
        <f ca="1">AVERAGE(OFFSET($AM$3,0,0,'Données projet'!$E$10+1,1))-AVERAGE(OFFSET($H$3,0,0,'Données projet'!$E$10+1,1))</f>
        <v>252.98248842635206</v>
      </c>
      <c r="AO76" s="59">
        <f t="shared" si="90"/>
        <v>207.11938580878308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1.33765072229205</v>
      </c>
      <c r="AV76" s="21">
        <f>EXP(-LN(2)/25)*AV75+(1-EXP(-LN(2)/25))/(LN(2)/25)*Calculateur!AQ76*Calculateur!AS76*VLOOKUP('Données projet'!$B$10,Paramètres!$A$1:$I$89,3,0)*0.475*44/12</f>
        <v>2.3845161582915546</v>
      </c>
      <c r="AW76" s="21">
        <f>EXP(-LN(2)/2)*AW75+(1-EXP(-LN(2)/2))/(LN(2)/2)*AQ76*AT76*VLOOKUP('Données projet'!$B$10,Paramètres!$A$1:$I$89,3,0)*0.475*44/12</f>
        <v>3.3151620211792836E-6</v>
      </c>
      <c r="AX76" s="21">
        <f t="shared" si="60"/>
        <v>3.7221701957456261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4.8</v>
      </c>
      <c r="BD76" s="12">
        <f>IF('Données projet'!$A$88&gt;35,BD75+BC76-BL75,IF(A76&lt;'Données projet'!$A$88,$BA$205^A76,IF(A76='Données projet'!$A$88,'Données projet'!$B$88,BD75+BC76-BL75)))</f>
        <v>172.39999999999989</v>
      </c>
      <c r="BE76" s="13">
        <f>BD76*VLOOKUP('Données projet'!$B$11,Paramètres!$A$1:$I$89,3,0)*VLOOKUP('Données projet'!$B$11,Paramètres!$A$1:$I$89,5,0)</f>
        <v>112.95647999999994</v>
      </c>
      <c r="BF76" s="13">
        <f t="shared" si="91"/>
        <v>30.026475458997005</v>
      </c>
      <c r="BG76" s="20">
        <f t="shared" si="61"/>
        <v>249.02864742441966</v>
      </c>
      <c r="BH76" s="59">
        <f t="shared" si="62"/>
        <v>542.36198075775292</v>
      </c>
      <c r="BI76" s="59">
        <f ca="1">AVERAGE(OFFSET($BH$3,0,0,'Données projet'!$E$11+1,1))-AVERAGE(OFFSET($H$3,0,0,'Données projet'!$E$11+1,1))</f>
        <v>114.23168847330004</v>
      </c>
      <c r="BJ76" s="59">
        <f t="shared" si="92"/>
        <v>42.34857998136755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4.8</v>
      </c>
      <c r="BY76" s="12">
        <f>IF('Données projet'!$A$114&gt;35,BY75+BX76-CG75,IF(A76&lt;'Données projet'!$A$114,$BV$205^A76,IF(A76='Données projet'!$A$114,'Données projet'!$B$114,BY75+BX76-CG75)))</f>
        <v>172.39999999999989</v>
      </c>
      <c r="BZ76" s="13">
        <f>BY76*VLOOKUP('Données projet'!$B$12,Paramètres!$A$1:$I$89,3,0)*VLOOKUP('Données projet'!$B$12,Paramètres!$A$1:$I$89,5,0)</f>
        <v>166.74527999999989</v>
      </c>
      <c r="CA76" s="13">
        <f t="shared" si="93"/>
        <v>42.3602564885365</v>
      </c>
      <c r="CB76" s="20">
        <f t="shared" si="64"/>
        <v>364.19214271753418</v>
      </c>
      <c r="CC76" s="59">
        <f t="shared" si="65"/>
        <v>657.5254760508675</v>
      </c>
      <c r="CD76" s="59">
        <f ca="1">AVERAGE(OFFSET($CC$3,0,0,'Données projet'!$E$12+1,1))-AVERAGE(OFFSET($H$3,0,0,'Données projet'!$E$12+1,1))</f>
        <v>201.36664523637006</v>
      </c>
      <c r="CE76" s="59">
        <f t="shared" si="94"/>
        <v>79.394119001888555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20.111955966185469</v>
      </c>
      <c r="CM76" s="21">
        <f>EXP(-LN(2)/2)*CM75+(1-EXP(-LN(2)/2))/(LN(2)/2)*CG76*CJ76*VLOOKUP('Données projet'!$B$12,Paramètres!$A$1:$I$89,3,0)*0.475*44/12</f>
        <v>1.3292584232991957E-4</v>
      </c>
      <c r="CN76" s="22">
        <f t="shared" si="66"/>
        <v>20.112088892027799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6.2</v>
      </c>
      <c r="CT76" s="12">
        <f>IF('Données projet'!$A$140&gt;35,CT75+CS76-DB75,IF(A76&lt;'Données projet'!$A$140,$CQ$205^A76,IF(A76='Données projet'!$A$140,'Données projet'!$B$140,CT75+CS76-DB75)))</f>
        <v>239.59999999999985</v>
      </c>
      <c r="CU76" s="17">
        <f>CT76*VLOOKUP('Données projet'!$B$13,Paramètres!$A$1:$I$89,3,0)*VLOOKUP('Données projet'!$B$13,Paramètres!$A$1:$I$89,5,0)</f>
        <v>216.79007999999985</v>
      </c>
      <c r="CV76" s="13">
        <f t="shared" si="95"/>
        <v>53.416629794462551</v>
      </c>
      <c r="CW76" s="20">
        <f t="shared" si="67"/>
        <v>470.61001955868869</v>
      </c>
      <c r="CX76" s="59">
        <f t="shared" si="68"/>
        <v>763.94335289202195</v>
      </c>
      <c r="CY76" s="59">
        <f ca="1">AVERAGE(OFFSET($CX$3,0,0,'Données projet'!$E$13+1,1))-AVERAGE(OFFSET($H$3,0,0,'Données projet'!$E$13+1,1))</f>
        <v>282.08542131880455</v>
      </c>
      <c r="CZ76" s="59">
        <f t="shared" si="96"/>
        <v>174.27503468762325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15.132748430792889</v>
      </c>
      <c r="DG76" s="21">
        <f>EXP(-LN(2)/25)*DG75+(1-EXP(-LN(2)/25))/(LN(2)/25)*Calculateur!DB76*Calculateur!DD76*VLOOKUP('Données projet'!$B$13,Paramètres!$A$1:$I$89,3,0)*0.475*44/12</f>
        <v>30.235916207610689</v>
      </c>
      <c r="DH76" s="21">
        <f>EXP(-LN(2)/2)*DH75+(1-EXP(-LN(2)/2))/(LN(2)/2)*DB76*DE76*VLOOKUP('Données projet'!$B$13,Paramètres!$A$1:$I$89,3,0)*0.475*44/12</f>
        <v>1.9760708871155937E-4</v>
      </c>
      <c r="DI76" s="22">
        <f t="shared" si="69"/>
        <v>45.368862245492288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3.1</v>
      </c>
      <c r="DO76" s="12">
        <f>IF('Données projet'!$A$166&gt;35,DO75+DN76-DW75,IF(A76&lt;'Données projet'!$A$166,$DL$205^A76,IF(A76='Données projet'!$A$166,'Données projet'!$B$166,DO75+DN76-DW75)))</f>
        <v>262.2999999999999</v>
      </c>
      <c r="DP76" s="17">
        <f>DO76*VLOOKUP('Données projet'!$B$14,Paramètres!$A$1:$I$89,3,0)*VLOOKUP('Données projet'!$B$14,Paramètres!$A$1:$I$89,5,0)</f>
        <v>212.77775999999994</v>
      </c>
      <c r="DQ76" s="13">
        <f t="shared" si="97"/>
        <v>52.542131131270303</v>
      </c>
      <c r="DR76" s="20">
        <f t="shared" si="70"/>
        <v>462.09881038696238</v>
      </c>
      <c r="DS76" s="59">
        <f t="shared" si="71"/>
        <v>755.4321437202957</v>
      </c>
      <c r="DT76" s="59">
        <f ca="1">AVERAGE(OFFSET($DS$3,0,0,'Données projet'!$E$14+1,1))-AVERAGE(OFFSET($H$3,0,0,'Données projet'!$E$14+1,1))</f>
        <v>235.31102883830971</v>
      </c>
      <c r="DU76" s="59">
        <f t="shared" si="98"/>
        <v>271.48630853790422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8.5213940040700553</v>
      </c>
      <c r="EB76" s="21">
        <f>EXP(-LN(2)/25)*EB75+(1-EXP(-LN(2)/25))/(LN(2)/25)*Calculateur!DW76*Calculateur!DY76*VLOOKUP('Données projet'!$B$14,Paramètres!$A$1:$I$89,3,0)*0.475*44/12</f>
        <v>21.919601812055252</v>
      </c>
      <c r="EC76" s="21">
        <f>EXP(-LN(2)/2)*EC75+(1-EXP(-LN(2)/2))/(LN(2)/2)*DW76*DZ76*VLOOKUP('Données projet'!$B$14,Paramètres!$A$1:$I$89,3,0)*0.475*44/12</f>
        <v>2.3845657378539396E-4</v>
      </c>
      <c r="ED76" s="22">
        <f t="shared" si="72"/>
        <v>30.441234272699095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12.9</v>
      </c>
      <c r="N77" s="13">
        <f>IF('Données projet'!$A$36&gt;35,N76+M77-V76,IF(A77&lt;'Données projet'!$A$36,$K$205^A77,IF(A77='Données projet'!$A$36,'Données projet'!$B$36,N76+M77-V76)))</f>
        <v>712.59999999999889</v>
      </c>
      <c r="O77" s="13">
        <f>N77*VLOOKUP('Données projet'!$B$9,Paramètres!$A$1:$I$89,3,0)*VLOOKUP('Données projet'!$B$9,Paramètres!$A$1:$I$89,5,0)</f>
        <v>398.34339999999935</v>
      </c>
      <c r="P77" s="13">
        <f t="shared" si="87"/>
        <v>91.440733917504517</v>
      </c>
      <c r="Q77" s="20">
        <f t="shared" si="54"/>
        <v>853.04069990631922</v>
      </c>
      <c r="R77" s="59">
        <f t="shared" si="55"/>
        <v>1146.3740332396526</v>
      </c>
      <c r="S77" s="59">
        <f ca="1">AVERAGE(OFFSET($R$3,0,0,'Données projet'!$E$9+1,1))-AVERAGE(OFFSET($H$3,0,0,'Données projet'!$E$9+1,1))</f>
        <v>446.28010102877403</v>
      </c>
      <c r="T77" s="59">
        <f t="shared" si="88"/>
        <v>445.84011537290456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4.777747306485101</v>
      </c>
      <c r="AA77" s="21">
        <f>EXP(-LN(2)/25)*AA76+(1-EXP(-LN(2)/25))/(LN(2)/25)*Calculateur!V77*Calculateur!X77*VLOOKUP('Données projet'!$B$9,Paramètres!$A$1:$I$89,3,0)*0.475*44/12</f>
        <v>11.443644723859792</v>
      </c>
      <c r="AB77" s="21">
        <f>EXP(-LN(2)/2)*AB76+(1-EXP(-LN(2)/2))/(LN(2)/2)*V77*Y77*VLOOKUP('Données projet'!$B$9,Paramètres!$A$1:$I$89,3,0)*0.475*44/12</f>
        <v>8.6955765140137901E-6</v>
      </c>
      <c r="AC77" s="22">
        <f t="shared" si="57"/>
        <v>16.221400725921409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17</v>
      </c>
      <c r="AI77" s="13">
        <f>IF('Données projet'!$A$62&gt;35,AI76+AH77-AQ76,IF(A77&lt;'Données projet'!$A$62,$AF$205^A77,IF(A77='Données projet'!$A$62,'Données projet'!$B$62,AI76+AH77-AQ76)))</f>
        <v>430.99999999999989</v>
      </c>
      <c r="AJ77" s="13">
        <f>AI77*VLOOKUP('Données projet'!$B$10,Paramètres!$A$1:$I$89,3,0)*VLOOKUP('Données projet'!$B$10,Paramètres!$A$1:$I$89,5,0)</f>
        <v>201.70799999999994</v>
      </c>
      <c r="AK77" s="13">
        <f t="shared" si="89"/>
        <v>50.119348451854243</v>
      </c>
      <c r="AL77" s="20">
        <f t="shared" si="58"/>
        <v>438.59929855364607</v>
      </c>
      <c r="AM77" s="59">
        <f t="shared" si="59"/>
        <v>731.93263188697938</v>
      </c>
      <c r="AN77" s="59">
        <f ca="1">AVERAGE(OFFSET($AM$3,0,0,'Données projet'!$E$10+1,1))-AVERAGE(OFFSET($H$3,0,0,'Données projet'!$E$10+1,1))</f>
        <v>252.98248842635206</v>
      </c>
      <c r="AO77" s="59">
        <f t="shared" si="90"/>
        <v>207.11938580878308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1.3114202075142813</v>
      </c>
      <c r="AV77" s="21">
        <f>EXP(-LN(2)/25)*AV76+(1-EXP(-LN(2)/25))/(LN(2)/25)*Calculateur!AQ77*Calculateur!AS77*VLOOKUP('Données projet'!$B$10,Paramètres!$A$1:$I$89,3,0)*0.475*44/12</f>
        <v>2.319311438546817</v>
      </c>
      <c r="AW77" s="21">
        <f>EXP(-LN(2)/2)*AW76+(1-EXP(-LN(2)/2))/(LN(2)/2)*AQ77*AT77*VLOOKUP('Données projet'!$B$10,Paramètres!$A$1:$I$89,3,0)*0.475*44/12</f>
        <v>2.3441735459079723E-6</v>
      </c>
      <c r="AX77" s="21">
        <f t="shared" si="60"/>
        <v>3.6307339902346443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4.8</v>
      </c>
      <c r="BD77" s="12">
        <f>IF('Données projet'!$A$88&gt;35,BD76+BC77-BL76,IF(A77&lt;'Données projet'!$A$88,$BA$205^A77,IF(A77='Données projet'!$A$88,'Données projet'!$B$88,BD76+BC77-BL76)))</f>
        <v>177.1999999999999</v>
      </c>
      <c r="BE77" s="13">
        <f>BD77*VLOOKUP('Données projet'!$B$11,Paramètres!$A$1:$I$89,3,0)*VLOOKUP('Données projet'!$B$11,Paramètres!$A$1:$I$89,5,0)</f>
        <v>116.10143999999993</v>
      </c>
      <c r="BF77" s="13">
        <f t="shared" si="91"/>
        <v>30.763983786631506</v>
      </c>
      <c r="BG77" s="20">
        <f t="shared" si="61"/>
        <v>255.79061309504974</v>
      </c>
      <c r="BH77" s="59">
        <f t="shared" si="62"/>
        <v>549.12394642838308</v>
      </c>
      <c r="BI77" s="59">
        <f ca="1">AVERAGE(OFFSET($BH$3,0,0,'Données projet'!$E$11+1,1))-AVERAGE(OFFSET($H$3,0,0,'Données projet'!$E$11+1,1))</f>
        <v>114.23168847330004</v>
      </c>
      <c r="BJ77" s="59">
        <f t="shared" si="92"/>
        <v>42.34857998136755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4.8</v>
      </c>
      <c r="BY77" s="12">
        <f>IF('Données projet'!$A$114&gt;35,BY76+BX77-CG76,IF(A77&lt;'Données projet'!$A$114,$BV$205^A77,IF(A77='Données projet'!$A$114,'Données projet'!$B$114,BY76+BX77-CG76)))</f>
        <v>177.1999999999999</v>
      </c>
      <c r="BZ77" s="13">
        <f>BY77*VLOOKUP('Données projet'!$B$12,Paramètres!$A$1:$I$89,3,0)*VLOOKUP('Données projet'!$B$12,Paramètres!$A$1:$I$89,5,0)</f>
        <v>171.3878399999999</v>
      </c>
      <c r="CA77" s="13">
        <f t="shared" si="93"/>
        <v>43.40070633965837</v>
      </c>
      <c r="CB77" s="20">
        <f t="shared" si="64"/>
        <v>374.09005154157148</v>
      </c>
      <c r="CC77" s="59">
        <f t="shared" si="65"/>
        <v>667.42338487490474</v>
      </c>
      <c r="CD77" s="59">
        <f ca="1">AVERAGE(OFFSET($CC$3,0,0,'Données projet'!$E$12+1,1))-AVERAGE(OFFSET($H$3,0,0,'Données projet'!$E$12+1,1))</f>
        <v>201.36664523637006</v>
      </c>
      <c r="CE77" s="59">
        <f t="shared" si="94"/>
        <v>79.394119001888555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19.561993472648329</v>
      </c>
      <c r="CM77" s="21">
        <f>EXP(-LN(2)/2)*CM76+(1-EXP(-LN(2)/2))/(LN(2)/2)*CG77*CJ77*VLOOKUP('Données projet'!$B$12,Paramètres!$A$1:$I$89,3,0)*0.475*44/12</f>
        <v>9.3992764506419953E-5</v>
      </c>
      <c r="CN77" s="22">
        <f t="shared" si="66"/>
        <v>19.562087465412834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6.2</v>
      </c>
      <c r="CT77" s="12">
        <f>IF('Données projet'!$A$140&gt;35,CT76+CS77-DB76,IF(A77&lt;'Données projet'!$A$140,$CQ$205^A77,IF(A77='Données projet'!$A$140,'Données projet'!$B$140,CT76+CS77-DB76)))</f>
        <v>245.79999999999984</v>
      </c>
      <c r="CU77" s="17">
        <f>CT77*VLOOKUP('Données projet'!$B$13,Paramètres!$A$1:$I$89,3,0)*VLOOKUP('Données projet'!$B$13,Paramètres!$A$1:$I$89,5,0)</f>
        <v>222.39983999999987</v>
      </c>
      <c r="CV77" s="13">
        <f t="shared" si="95"/>
        <v>54.636149281681448</v>
      </c>
      <c r="CW77" s="20">
        <f t="shared" si="67"/>
        <v>482.50434799892832</v>
      </c>
      <c r="CX77" s="59">
        <f t="shared" si="68"/>
        <v>775.83768133226158</v>
      </c>
      <c r="CY77" s="59">
        <f ca="1">AVERAGE(OFFSET($CX$3,0,0,'Données projet'!$E$13+1,1))-AVERAGE(OFFSET($H$3,0,0,'Données projet'!$E$13+1,1))</f>
        <v>282.08542131880455</v>
      </c>
      <c r="CZ77" s="59">
        <f t="shared" si="96"/>
        <v>174.27503468762325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14.836004464130189</v>
      </c>
      <c r="DG77" s="21">
        <f>EXP(-LN(2)/25)*DG76+(1-EXP(-LN(2)/25))/(LN(2)/25)*Calculateur!DB77*Calculateur!DD77*VLOOKUP('Données projet'!$B$13,Paramètres!$A$1:$I$89,3,0)*0.475*44/12</f>
        <v>29.409113488875846</v>
      </c>
      <c r="DH77" s="21">
        <f>EXP(-LN(2)/2)*DH76+(1-EXP(-LN(2)/2))/(LN(2)/2)*DB77*DE77*VLOOKUP('Données projet'!$B$13,Paramètres!$A$1:$I$89,3,0)*0.475*44/12</f>
        <v>1.397293124384753E-4</v>
      </c>
      <c r="DI77" s="22">
        <f t="shared" si="69"/>
        <v>44.245257682318474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3.1</v>
      </c>
      <c r="DO77" s="12">
        <f>IF('Données projet'!$A$166&gt;35,DO76+DN77-DW76,IF(A77&lt;'Données projet'!$A$166,$DL$205^A77,IF(A77='Données projet'!$A$166,'Données projet'!$B$166,DO76+DN77-DW76)))</f>
        <v>265.39999999999992</v>
      </c>
      <c r="DP77" s="17">
        <f>DO77*VLOOKUP('Données projet'!$B$14,Paramètres!$A$1:$I$89,3,0)*VLOOKUP('Données projet'!$B$14,Paramètres!$A$1:$I$89,5,0)</f>
        <v>215.29247999999993</v>
      </c>
      <c r="DQ77" s="13">
        <f t="shared" si="97"/>
        <v>53.090445054256215</v>
      </c>
      <c r="DR77" s="20">
        <f t="shared" si="70"/>
        <v>467.43359446949609</v>
      </c>
      <c r="DS77" s="59">
        <f t="shared" si="71"/>
        <v>760.7669278028294</v>
      </c>
      <c r="DT77" s="59">
        <f ca="1">AVERAGE(OFFSET($DS$3,0,0,'Données projet'!$E$14+1,1))-AVERAGE(OFFSET($H$3,0,0,'Données projet'!$E$14+1,1))</f>
        <v>235.31102883830971</v>
      </c>
      <c r="DU77" s="59">
        <f t="shared" si="98"/>
        <v>271.48630853790422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8.3542946651873695</v>
      </c>
      <c r="EB77" s="21">
        <f>EXP(-LN(2)/25)*EB76+(1-EXP(-LN(2)/25))/(LN(2)/25)*Calculateur!DW77*Calculateur!DY77*VLOOKUP('Données projet'!$B$14,Paramètres!$A$1:$I$89,3,0)*0.475*44/12</f>
        <v>21.320209147802839</v>
      </c>
      <c r="EC77" s="21">
        <f>EXP(-LN(2)/2)*EC76+(1-EXP(-LN(2)/2))/(LN(2)/2)*DW77*DZ77*VLOOKUP('Données projet'!$B$14,Paramètres!$A$1:$I$89,3,0)*0.475*44/12</f>
        <v>1.6861426034216241E-4</v>
      </c>
      <c r="ED77" s="22">
        <f t="shared" si="72"/>
        <v>29.674672427250552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12.9</v>
      </c>
      <c r="N78" s="13">
        <f>IF('Données projet'!$A$36&gt;35,N77+M78-V77,IF(A78&lt;'Données projet'!$A$36,$K$205^A78,IF(A78='Données projet'!$A$36,'Données projet'!$B$36,N77+M78-V77)))</f>
        <v>725.49999999999886</v>
      </c>
      <c r="O78" s="13">
        <f>N78*VLOOKUP('Données projet'!$B$9,Paramètres!$A$1:$I$89,3,0)*VLOOKUP('Données projet'!$B$9,Paramètres!$A$1:$I$89,5,0)</f>
        <v>405.55449999999939</v>
      </c>
      <c r="P78" s="13">
        <f t="shared" si="87"/>
        <v>92.901849439756845</v>
      </c>
      <c r="Q78" s="20">
        <f t="shared" si="54"/>
        <v>868.14480860757533</v>
      </c>
      <c r="R78" s="59">
        <f t="shared" si="55"/>
        <v>1161.4781419409087</v>
      </c>
      <c r="S78" s="59">
        <f ca="1">AVERAGE(OFFSET($R$3,0,0,'Données projet'!$E$9+1,1))-AVERAGE(OFFSET($H$3,0,0,'Données projet'!$E$9+1,1))</f>
        <v>446.28010102877403</v>
      </c>
      <c r="T78" s="59">
        <f t="shared" si="88"/>
        <v>445.84011537290456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4.6840585959430383</v>
      </c>
      <c r="AA78" s="21">
        <f>EXP(-LN(2)/25)*AA77+(1-EXP(-LN(2)/25))/(LN(2)/25)*Calculateur!V78*Calculateur!X78*VLOOKUP('Données projet'!$B$9,Paramètres!$A$1:$I$89,3,0)*0.475*44/12</f>
        <v>11.130717657090726</v>
      </c>
      <c r="AB78" s="21">
        <f>EXP(-LN(2)/2)*AB77+(1-EXP(-LN(2)/2))/(LN(2)/2)*V78*Y78*VLOOKUP('Données projet'!$B$9,Paramètres!$A$1:$I$89,3,0)*0.475*44/12</f>
        <v>6.1487011193856308E-6</v>
      </c>
      <c r="AC78" s="22">
        <f t="shared" si="57"/>
        <v>15.814782401734883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17</v>
      </c>
      <c r="AI78" s="13">
        <f>IF('Données projet'!$A$62&gt;35,AI77+AH78-AQ77,IF(A78&lt;'Données projet'!$A$62,$AF$205^A78,IF(A78='Données projet'!$A$62,'Données projet'!$B$62,AI77+AH78-AQ77)))</f>
        <v>447.99999999999989</v>
      </c>
      <c r="AJ78" s="13">
        <f>AI78*VLOOKUP('Données projet'!$B$10,Paramètres!$A$1:$I$89,3,0)*VLOOKUP('Données projet'!$B$10,Paramètres!$A$1:$I$89,5,0)</f>
        <v>209.66399999999993</v>
      </c>
      <c r="AK78" s="13">
        <f t="shared" si="89"/>
        <v>51.862154403304487</v>
      </c>
      <c r="AL78" s="20">
        <f t="shared" si="58"/>
        <v>455.49138558575515</v>
      </c>
      <c r="AM78" s="59">
        <f t="shared" si="59"/>
        <v>748.82471891908847</v>
      </c>
      <c r="AN78" s="59">
        <f ca="1">AVERAGE(OFFSET($AM$3,0,0,'Données projet'!$E$10+1,1))-AVERAGE(OFFSET($H$3,0,0,'Données projet'!$E$10+1,1))</f>
        <v>252.98248842635206</v>
      </c>
      <c r="AO78" s="59">
        <f t="shared" si="90"/>
        <v>207.11938580878308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1.2857040571322707</v>
      </c>
      <c r="AV78" s="21">
        <f>EXP(-LN(2)/25)*AV77+(1-EXP(-LN(2)/25))/(LN(2)/25)*Calculateur!AQ78*Calculateur!AS78*VLOOKUP('Données projet'!$B$10,Paramètres!$A$1:$I$89,3,0)*0.475*44/12</f>
        <v>2.2558897452924667</v>
      </c>
      <c r="AW78" s="21">
        <f>EXP(-LN(2)/2)*AW77+(1-EXP(-LN(2)/2))/(LN(2)/2)*AQ78*AT78*VLOOKUP('Données projet'!$B$10,Paramètres!$A$1:$I$89,3,0)*0.475*44/12</f>
        <v>1.6575810105896418E-6</v>
      </c>
      <c r="AX78" s="21">
        <f t="shared" si="60"/>
        <v>3.5415954600057478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4.8</v>
      </c>
      <c r="BD78" s="12">
        <f>IF('Données projet'!$A$88&gt;35,BD77+BC78-BL77,IF(A78&lt;'Données projet'!$A$88,$BA$205^A78,IF(A78='Données projet'!$A$88,'Données projet'!$B$88,BD77+BC78-BL77)))</f>
        <v>181.99999999999991</v>
      </c>
      <c r="BE78" s="13">
        <f>BD78*VLOOKUP('Données projet'!$B$11,Paramètres!$A$1:$I$89,3,0)*VLOOKUP('Données projet'!$B$11,Paramètres!$A$1:$I$89,5,0)</f>
        <v>119.24639999999994</v>
      </c>
      <c r="BF78" s="13">
        <f t="shared" si="91"/>
        <v>31.499170077667014</v>
      </c>
      <c r="BG78" s="20">
        <f t="shared" si="61"/>
        <v>262.5485345519366</v>
      </c>
      <c r="BH78" s="59">
        <f t="shared" si="62"/>
        <v>555.88186788526991</v>
      </c>
      <c r="BI78" s="59">
        <f ca="1">AVERAGE(OFFSET($BH$3,0,0,'Données projet'!$E$11+1,1))-AVERAGE(OFFSET($H$3,0,0,'Données projet'!$E$11+1,1))</f>
        <v>114.23168847330004</v>
      </c>
      <c r="BJ78" s="59">
        <f t="shared" si="92"/>
        <v>42.34857998136755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4.8</v>
      </c>
      <c r="BY78" s="12">
        <f>IF('Données projet'!$A$114&gt;35,BY77+BX78-CG77,IF(A78&lt;'Données projet'!$A$114,$BV$205^A78,IF(A78='Données projet'!$A$114,'Données projet'!$B$114,BY77+BX78-CG77)))</f>
        <v>181.99999999999991</v>
      </c>
      <c r="BZ78" s="13">
        <f>BY78*VLOOKUP('Données projet'!$B$12,Paramètres!$A$1:$I$89,3,0)*VLOOKUP('Données projet'!$B$12,Paramètres!$A$1:$I$89,5,0)</f>
        <v>176.03039999999993</v>
      </c>
      <c r="CA78" s="13">
        <f t="shared" si="93"/>
        <v>44.437880346232944</v>
      </c>
      <c r="CB78" s="20">
        <f t="shared" si="64"/>
        <v>383.9822549363555</v>
      </c>
      <c r="CC78" s="59">
        <f t="shared" si="65"/>
        <v>677.31558826968876</v>
      </c>
      <c r="CD78" s="59">
        <f ca="1">AVERAGE(OFFSET($CC$3,0,0,'Données projet'!$E$12+1,1))-AVERAGE(OFFSET($H$3,0,0,'Données projet'!$E$12+1,1))</f>
        <v>201.36664523637006</v>
      </c>
      <c r="CE78" s="59">
        <f t="shared" si="94"/>
        <v>79.394119001888555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19.027069732418234</v>
      </c>
      <c r="CM78" s="21">
        <f>EXP(-LN(2)/2)*CM77+(1-EXP(-LN(2)/2))/(LN(2)/2)*CG78*CJ78*VLOOKUP('Données projet'!$B$12,Paramètres!$A$1:$I$89,3,0)*0.475*44/12</f>
        <v>6.6462921164959783E-5</v>
      </c>
      <c r="CN78" s="22">
        <f t="shared" si="66"/>
        <v>19.027136195339398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6.2</v>
      </c>
      <c r="CT78" s="12">
        <f>IF('Données projet'!$A$140&gt;35,CT77+CS78-DB77,IF(A78&lt;'Données projet'!$A$140,$CQ$205^A78,IF(A78='Données projet'!$A$140,'Données projet'!$B$140,CT77+CS78-DB77)))</f>
        <v>251.99999999999983</v>
      </c>
      <c r="CU78" s="17">
        <f>CT78*VLOOKUP('Données projet'!$B$13,Paramètres!$A$1:$I$89,3,0)*VLOOKUP('Données projet'!$B$13,Paramètres!$A$1:$I$89,5,0)</f>
        <v>228.00959999999984</v>
      </c>
      <c r="CV78" s="13">
        <f t="shared" si="95"/>
        <v>55.852093054619779</v>
      </c>
      <c r="CW78" s="20">
        <f t="shared" si="67"/>
        <v>494.39244873679581</v>
      </c>
      <c r="CX78" s="59">
        <f t="shared" si="68"/>
        <v>787.72578207012907</v>
      </c>
      <c r="CY78" s="59">
        <f ca="1">AVERAGE(OFFSET($CX$3,0,0,'Données projet'!$E$13+1,1))-AVERAGE(OFFSET($H$3,0,0,'Données projet'!$E$13+1,1))</f>
        <v>282.08542131880455</v>
      </c>
      <c r="CZ78" s="59">
        <f t="shared" si="96"/>
        <v>174.27503468762325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14.545079465657798</v>
      </c>
      <c r="DG78" s="21">
        <f>EXP(-LN(2)/25)*DG77+(1-EXP(-LN(2)/25))/(LN(2)/25)*Calculateur!DB78*Calculateur!DD78*VLOOKUP('Données projet'!$B$13,Paramètres!$A$1:$I$89,3,0)*0.475*44/12</f>
        <v>28.604919733964472</v>
      </c>
      <c r="DH78" s="21">
        <f>EXP(-LN(2)/2)*DH77+(1-EXP(-LN(2)/2))/(LN(2)/2)*DB78*DE78*VLOOKUP('Données projet'!$B$13,Paramètres!$A$1:$I$89,3,0)*0.475*44/12</f>
        <v>9.8803544355779687E-5</v>
      </c>
      <c r="DI78" s="22">
        <f t="shared" si="69"/>
        <v>43.150098003166626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3.1</v>
      </c>
      <c r="DO78" s="12">
        <f>IF('Données projet'!$A$166&gt;35,DO77+DN78-DW77,IF(A78&lt;'Données projet'!$A$166,$DL$205^A78,IF(A78='Données projet'!$A$166,'Données projet'!$B$166,DO77+DN78-DW77)))</f>
        <v>268.49999999999994</v>
      </c>
      <c r="DP78" s="17">
        <f>DO78*VLOOKUP('Données projet'!$B$14,Paramètres!$A$1:$I$89,3,0)*VLOOKUP('Données projet'!$B$14,Paramètres!$A$1:$I$89,5,0)</f>
        <v>217.80719999999997</v>
      </c>
      <c r="DQ78" s="13">
        <f t="shared" si="97"/>
        <v>53.638013973813976</v>
      </c>
      <c r="DR78" s="20">
        <f t="shared" si="70"/>
        <v>472.76708100439265</v>
      </c>
      <c r="DS78" s="59">
        <f t="shared" si="71"/>
        <v>766.10041433772597</v>
      </c>
      <c r="DT78" s="59">
        <f ca="1">AVERAGE(OFFSET($DS$3,0,0,'Données projet'!$E$14+1,1))-AVERAGE(OFFSET($H$3,0,0,'Données projet'!$E$14+1,1))</f>
        <v>235.31102883830971</v>
      </c>
      <c r="DU78" s="59">
        <f t="shared" si="98"/>
        <v>271.48630853790422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8.1904720424196409</v>
      </c>
      <c r="EB78" s="21">
        <f>EXP(-LN(2)/25)*EB77+(1-EXP(-LN(2)/25))/(LN(2)/25)*Calculateur!DW78*Calculateur!DY78*VLOOKUP('Données projet'!$B$14,Paramètres!$A$1:$I$89,3,0)*0.475*44/12</f>
        <v>20.737206907475098</v>
      </c>
      <c r="EC78" s="21">
        <f>EXP(-LN(2)/2)*EC77+(1-EXP(-LN(2)/2))/(LN(2)/2)*DW78*DZ78*VLOOKUP('Données projet'!$B$14,Paramètres!$A$1:$I$89,3,0)*0.475*44/12</f>
        <v>1.1922828689269701E-4</v>
      </c>
      <c r="ED78" s="22">
        <f t="shared" si="72"/>
        <v>28.927798178181632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12.9</v>
      </c>
      <c r="N79" s="13">
        <f>IF('Données projet'!$A$36&gt;35,N78+M79-V78,IF(A79&lt;'Données projet'!$A$36,$K$205^A79,IF(A79='Données projet'!$A$36,'Données projet'!$B$36,N78+M79-V78)))</f>
        <v>738.39999999999884</v>
      </c>
      <c r="O79" s="13">
        <f>N79*VLOOKUP('Données projet'!$B$9,Paramètres!$A$1:$I$89,3,0)*VLOOKUP('Données projet'!$B$9,Paramètres!$A$1:$I$89,5,0)</f>
        <v>412.76559999999932</v>
      </c>
      <c r="P79" s="13">
        <f t="shared" si="87"/>
        <v>94.359943864992076</v>
      </c>
      <c r="Q79" s="20">
        <f t="shared" si="54"/>
        <v>883.24365556486009</v>
      </c>
      <c r="R79" s="59">
        <f t="shared" si="55"/>
        <v>1176.5769888981933</v>
      </c>
      <c r="S79" s="59">
        <f ca="1">AVERAGE(OFFSET($R$3,0,0,'Données projet'!$E$9+1,1))-AVERAGE(OFFSET($H$3,0,0,'Données projet'!$E$9+1,1))</f>
        <v>446.28010102877403</v>
      </c>
      <c r="T79" s="59">
        <f t="shared" si="88"/>
        <v>445.84011537290456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4.5922070638702346</v>
      </c>
      <c r="AA79" s="21">
        <f>EXP(-LN(2)/25)*AA78+(1-EXP(-LN(2)/25))/(LN(2)/25)*Calculateur!V79*Calculateur!X79*VLOOKUP('Données projet'!$B$9,Paramètres!$A$1:$I$89,3,0)*0.475*44/12</f>
        <v>10.826347597418577</v>
      </c>
      <c r="AB79" s="21">
        <f>EXP(-LN(2)/2)*AB78+(1-EXP(-LN(2)/2))/(LN(2)/2)*V79*Y79*VLOOKUP('Données projet'!$B$9,Paramètres!$A$1:$I$89,3,0)*0.475*44/12</f>
        <v>4.347788257006895E-6</v>
      </c>
      <c r="AC79" s="22">
        <f t="shared" si="57"/>
        <v>15.41855900907707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17</v>
      </c>
      <c r="AI79" s="13">
        <f>IF('Données projet'!$A$62&gt;35,AI78+AH79-AQ78,IF(A79&lt;'Données projet'!$A$62,$AF$205^A79,IF(A79='Données projet'!$A$62,'Données projet'!$B$62,AI78+AH79-AQ78)))</f>
        <v>464.99999999999989</v>
      </c>
      <c r="AJ79" s="13">
        <f>AI79*VLOOKUP('Données projet'!$B$10,Paramètres!$A$1:$I$89,3,0)*VLOOKUP('Données projet'!$B$10,Paramètres!$A$1:$I$89,5,0)</f>
        <v>217.61999999999995</v>
      </c>
      <c r="AK79" s="13">
        <f t="shared" si="89"/>
        <v>53.597277471320098</v>
      </c>
      <c r="AL79" s="20">
        <f t="shared" si="58"/>
        <v>472.37009159588234</v>
      </c>
      <c r="AM79" s="59">
        <f t="shared" si="59"/>
        <v>765.70342492921566</v>
      </c>
      <c r="AN79" s="59">
        <f ca="1">AVERAGE(OFFSET($AM$3,0,0,'Données projet'!$E$10+1,1))-AVERAGE(OFFSET($H$3,0,0,'Données projet'!$E$10+1,1))</f>
        <v>252.98248842635206</v>
      </c>
      <c r="AO79" s="59">
        <f t="shared" si="90"/>
        <v>207.11938580878308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1.2604921847739481</v>
      </c>
      <c r="AV79" s="21">
        <f>EXP(-LN(2)/25)*AV78+(1-EXP(-LN(2)/25))/(LN(2)/25)*Calculateur!AQ79*Calculateur!AS79*VLOOKUP('Données projet'!$B$10,Paramètres!$A$1:$I$89,3,0)*0.475*44/12</f>
        <v>2.1942023215753585</v>
      </c>
      <c r="AW79" s="21">
        <f>EXP(-LN(2)/2)*AW78+(1-EXP(-LN(2)/2))/(LN(2)/2)*AQ79*AT79*VLOOKUP('Données projet'!$B$10,Paramètres!$A$1:$I$89,3,0)*0.475*44/12</f>
        <v>1.1720867729539862E-6</v>
      </c>
      <c r="AX79" s="21">
        <f t="shared" si="60"/>
        <v>3.4546956784360794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4.8</v>
      </c>
      <c r="BD79" s="12">
        <f>IF('Données projet'!$A$88&gt;35,BD78+BC79-BL78,IF(A79&lt;'Données projet'!$A$88,$BA$205^A79,IF(A79='Données projet'!$A$88,'Données projet'!$B$88,BD78+BC79-BL78)))</f>
        <v>186.79999999999993</v>
      </c>
      <c r="BE79" s="13">
        <f>BD79*VLOOKUP('Données projet'!$B$11,Paramètres!$A$1:$I$89,3,0)*VLOOKUP('Données projet'!$B$11,Paramètres!$A$1:$I$89,5,0)</f>
        <v>122.39135999999995</v>
      </c>
      <c r="BF79" s="13">
        <f t="shared" si="91"/>
        <v>32.232102612215037</v>
      </c>
      <c r="BG79" s="20">
        <f t="shared" si="61"/>
        <v>269.30253071627442</v>
      </c>
      <c r="BH79" s="59">
        <f t="shared" si="62"/>
        <v>562.63586404960779</v>
      </c>
      <c r="BI79" s="59">
        <f ca="1">AVERAGE(OFFSET($BH$3,0,0,'Données projet'!$E$11+1,1))-AVERAGE(OFFSET($H$3,0,0,'Données projet'!$E$11+1,1))</f>
        <v>114.23168847330004</v>
      </c>
      <c r="BJ79" s="59">
        <f t="shared" si="92"/>
        <v>42.34857998136755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4.8</v>
      </c>
      <c r="BY79" s="12">
        <f>IF('Données projet'!$A$114&gt;35,BY78+BX79-CG78,IF(A79&lt;'Données projet'!$A$114,$BV$205^A79,IF(A79='Données projet'!$A$114,'Données projet'!$B$114,BY78+BX79-CG78)))</f>
        <v>186.79999999999993</v>
      </c>
      <c r="BZ79" s="13">
        <f>BY79*VLOOKUP('Données projet'!$B$12,Paramètres!$A$1:$I$89,3,0)*VLOOKUP('Données projet'!$B$12,Paramètres!$A$1:$I$89,5,0)</f>
        <v>180.67295999999993</v>
      </c>
      <c r="CA79" s="13">
        <f t="shared" si="93"/>
        <v>45.471874835351159</v>
      </c>
      <c r="CB79" s="20">
        <f t="shared" si="64"/>
        <v>393.86892067156981</v>
      </c>
      <c r="CC79" s="59">
        <f t="shared" si="65"/>
        <v>687.20225400490312</v>
      </c>
      <c r="CD79" s="59">
        <f ca="1">AVERAGE(OFFSET($CC$3,0,0,'Données projet'!$E$12+1,1))-AVERAGE(OFFSET($H$3,0,0,'Données projet'!$E$12+1,1))</f>
        <v>201.36664523637006</v>
      </c>
      <c r="CE79" s="59">
        <f t="shared" si="94"/>
        <v>79.394119001888555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18.506773509995146</v>
      </c>
      <c r="CM79" s="21">
        <f>EXP(-LN(2)/2)*CM78+(1-EXP(-LN(2)/2))/(LN(2)/2)*CG79*CJ79*VLOOKUP('Données projet'!$B$12,Paramètres!$A$1:$I$89,3,0)*0.475*44/12</f>
        <v>4.6996382253209976E-5</v>
      </c>
      <c r="CN79" s="22">
        <f t="shared" si="66"/>
        <v>18.506820506377398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6.2</v>
      </c>
      <c r="CT79" s="12">
        <f>IF('Données projet'!$A$140&gt;35,CT78+CS79-DB78,IF(A79&lt;'Données projet'!$A$140,$CQ$205^A79,IF(A79='Données projet'!$A$140,'Données projet'!$B$140,CT78+CS79-DB78)))</f>
        <v>258.19999999999982</v>
      </c>
      <c r="CU79" s="17">
        <f>CT79*VLOOKUP('Données projet'!$B$13,Paramètres!$A$1:$I$89,3,0)*VLOOKUP('Données projet'!$B$13,Paramètres!$A$1:$I$89,5,0)</f>
        <v>233.61935999999983</v>
      </c>
      <c r="CV79" s="13">
        <f t="shared" si="95"/>
        <v>57.064559206882564</v>
      </c>
      <c r="CW79" s="20">
        <f t="shared" si="67"/>
        <v>506.27449261865348</v>
      </c>
      <c r="CX79" s="59">
        <f t="shared" si="68"/>
        <v>799.6078259519868</v>
      </c>
      <c r="CY79" s="59">
        <f ca="1">AVERAGE(OFFSET($CX$3,0,0,'Données projet'!$E$13+1,1))-AVERAGE(OFFSET($H$3,0,0,'Données projet'!$E$13+1,1))</f>
        <v>282.08542131880455</v>
      </c>
      <c r="CZ79" s="59">
        <f t="shared" si="96"/>
        <v>174.27503468762325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14.259859328958722</v>
      </c>
      <c r="DG79" s="21">
        <f>EXP(-LN(2)/25)*DG78+(1-EXP(-LN(2)/25))/(LN(2)/25)*Calculateur!DB79*Calculateur!DD79*VLOOKUP('Données projet'!$B$13,Paramètres!$A$1:$I$89,3,0)*0.475*44/12</f>
        <v>27.822716699571863</v>
      </c>
      <c r="DH79" s="21">
        <f>EXP(-LN(2)/2)*DH78+(1-EXP(-LN(2)/2))/(LN(2)/2)*DB79*DE79*VLOOKUP('Données projet'!$B$13,Paramètres!$A$1:$I$89,3,0)*0.475*44/12</f>
        <v>6.9864656219237648E-5</v>
      </c>
      <c r="DI79" s="22">
        <f t="shared" si="69"/>
        <v>42.0826458931868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3.1</v>
      </c>
      <c r="DO79" s="12">
        <f>IF('Données projet'!$A$166&gt;35,DO78+DN79-DW78,IF(A79&lt;'Données projet'!$A$166,$DL$205^A79,IF(A79='Données projet'!$A$166,'Données projet'!$B$166,DO78+DN79-DW78)))</f>
        <v>271.59999999999997</v>
      </c>
      <c r="DP79" s="17">
        <f>DO79*VLOOKUP('Données projet'!$B$14,Paramètres!$A$1:$I$89,3,0)*VLOOKUP('Données projet'!$B$14,Paramètres!$A$1:$I$89,5,0)</f>
        <v>220.32192000000001</v>
      </c>
      <c r="DQ79" s="13">
        <f t="shared" si="97"/>
        <v>54.18484748666976</v>
      </c>
      <c r="DR79" s="20">
        <f t="shared" si="70"/>
        <v>478.09928670594991</v>
      </c>
      <c r="DS79" s="59">
        <f t="shared" si="71"/>
        <v>771.43262003928317</v>
      </c>
      <c r="DT79" s="59">
        <f ca="1">AVERAGE(OFFSET($DS$3,0,0,'Données projet'!$E$14+1,1))-AVERAGE(OFFSET($H$3,0,0,'Données projet'!$E$14+1,1))</f>
        <v>235.31102883830971</v>
      </c>
      <c r="DU79" s="59">
        <f t="shared" si="98"/>
        <v>271.48630853790422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8.0298618813624536</v>
      </c>
      <c r="EB79" s="21">
        <f>EXP(-LN(2)/25)*EB78+(1-EXP(-LN(2)/25))/(LN(2)/25)*Calculateur!DW79*Calculateur!DY79*VLOOKUP('Données projet'!$B$14,Paramètres!$A$1:$I$89,3,0)*0.475*44/12</f>
        <v>20.170146894067877</v>
      </c>
      <c r="EC79" s="21">
        <f>EXP(-LN(2)/2)*EC78+(1-EXP(-LN(2)/2))/(LN(2)/2)*DW79*DZ79*VLOOKUP('Données projet'!$B$14,Paramètres!$A$1:$I$89,3,0)*0.475*44/12</f>
        <v>8.4307130171081221E-5</v>
      </c>
      <c r="ED79" s="22">
        <f t="shared" si="72"/>
        <v>28.2000930825605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12.9</v>
      </c>
      <c r="N80" s="13">
        <f>IF('Données projet'!$A$36&gt;35,N79+M80-V79,IF(A80&lt;'Données projet'!$A$36,$K$205^A80,IF(A80='Données projet'!$A$36,'Données projet'!$B$36,N79+M80-V79)))</f>
        <v>751.29999999999882</v>
      </c>
      <c r="O80" s="13">
        <f>N80*VLOOKUP('Données projet'!$B$9,Paramètres!$A$1:$I$89,3,0)*VLOOKUP('Données projet'!$B$9,Paramètres!$A$1:$I$89,5,0)</f>
        <v>419.97669999999937</v>
      </c>
      <c r="P80" s="13">
        <f t="shared" si="87"/>
        <v>95.815076062060939</v>
      </c>
      <c r="Q80" s="20">
        <f t="shared" si="54"/>
        <v>898.33734330808841</v>
      </c>
      <c r="R80" s="59">
        <f t="shared" si="55"/>
        <v>1191.6706766414218</v>
      </c>
      <c r="S80" s="59">
        <f ca="1">AVERAGE(OFFSET($R$3,0,0,'Données projet'!$E$9+1,1))-AVERAGE(OFFSET($H$3,0,0,'Données projet'!$E$9+1,1))</f>
        <v>446.28010102877403</v>
      </c>
      <c r="T80" s="59">
        <f t="shared" si="88"/>
        <v>445.84011537290456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4.5021566843174758</v>
      </c>
      <c r="AA80" s="21">
        <f>EXP(-LN(2)/25)*AA79+(1-EXP(-LN(2)/25))/(LN(2)/25)*Calculateur!V80*Calculateur!X80*VLOOKUP('Données projet'!$B$9,Paramètres!$A$1:$I$89,3,0)*0.475*44/12</f>
        <v>10.530300553034289</v>
      </c>
      <c r="AB80" s="21">
        <f>EXP(-LN(2)/2)*AB79+(1-EXP(-LN(2)/2))/(LN(2)/2)*V80*Y80*VLOOKUP('Données projet'!$B$9,Paramètres!$A$1:$I$89,3,0)*0.475*44/12</f>
        <v>3.0743505596928154E-6</v>
      </c>
      <c r="AC80" s="22">
        <f t="shared" si="57"/>
        <v>15.032460311702323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17</v>
      </c>
      <c r="AI80" s="13">
        <f>IF('Données projet'!$A$62&gt;35,AI79+AH80-AQ79,IF(A80&lt;'Données projet'!$A$62,$AF$205^A80,IF(A80='Données projet'!$A$62,'Données projet'!$B$62,AI79+AH80-AQ79)))</f>
        <v>481.99999999999989</v>
      </c>
      <c r="AJ80" s="13">
        <f>AI80*VLOOKUP('Données projet'!$B$10,Paramètres!$A$1:$I$89,3,0)*VLOOKUP('Données projet'!$B$10,Paramètres!$A$1:$I$89,5,0)</f>
        <v>225.57599999999994</v>
      </c>
      <c r="AK80" s="13">
        <f t="shared" si="89"/>
        <v>55.325030705505945</v>
      </c>
      <c r="AL80" s="20">
        <f t="shared" si="58"/>
        <v>489.23596181208933</v>
      </c>
      <c r="AM80" s="59">
        <f t="shared" si="59"/>
        <v>782.56929514542264</v>
      </c>
      <c r="AN80" s="59">
        <f ca="1">AVERAGE(OFFSET($AM$3,0,0,'Données projet'!$E$10+1,1))-AVERAGE(OFFSET($H$3,0,0,'Données projet'!$E$10+1,1))</f>
        <v>252.98248842635206</v>
      </c>
      <c r="AO80" s="59">
        <f t="shared" si="90"/>
        <v>207.11938580878308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1.2357747018548486</v>
      </c>
      <c r="AV80" s="21">
        <f>EXP(-LN(2)/25)*AV79+(1-EXP(-LN(2)/25))/(LN(2)/25)*Calculateur!AQ80*Calculateur!AS80*VLOOKUP('Données projet'!$B$10,Paramètres!$A$1:$I$89,3,0)*0.475*44/12</f>
        <v>2.134201743703795</v>
      </c>
      <c r="AW80" s="21">
        <f>EXP(-LN(2)/2)*AW79+(1-EXP(-LN(2)/2))/(LN(2)/2)*AQ80*AT80*VLOOKUP('Données projet'!$B$10,Paramètres!$A$1:$I$89,3,0)*0.475*44/12</f>
        <v>8.2879050529482091E-7</v>
      </c>
      <c r="AX80" s="21">
        <f t="shared" si="60"/>
        <v>3.3699772743491487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4.8</v>
      </c>
      <c r="BD80" s="12">
        <f>IF('Données projet'!$A$88&gt;35,BD79+BC80-BL79,IF(A80&lt;'Données projet'!$A$88,$BA$205^A80,IF(A80='Données projet'!$A$88,'Données projet'!$B$88,BD79+BC80-BL79)))</f>
        <v>191.59999999999994</v>
      </c>
      <c r="BE80" s="13">
        <f>BD80*VLOOKUP('Données projet'!$B$11,Paramètres!$A$1:$I$89,3,0)*VLOOKUP('Données projet'!$B$11,Paramètres!$A$1:$I$89,5,0)</f>
        <v>125.53631999999995</v>
      </c>
      <c r="BF80" s="13">
        <f t="shared" si="91"/>
        <v>32.962845961434986</v>
      </c>
      <c r="BG80" s="20">
        <f t="shared" si="61"/>
        <v>276.05271404949917</v>
      </c>
      <c r="BH80" s="59">
        <f t="shared" si="62"/>
        <v>569.38604738283243</v>
      </c>
      <c r="BI80" s="59">
        <f ca="1">AVERAGE(OFFSET($BH$3,0,0,'Données projet'!$E$11+1,1))-AVERAGE(OFFSET($H$3,0,0,'Données projet'!$E$11+1,1))</f>
        <v>114.23168847330004</v>
      </c>
      <c r="BJ80" s="59">
        <f t="shared" si="92"/>
        <v>42.34857998136755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4.8</v>
      </c>
      <c r="BY80" s="12">
        <f>IF('Données projet'!$A$114&gt;35,BY79+BX80-CG79,IF(A80&lt;'Données projet'!$A$114,$BV$205^A80,IF(A80='Données projet'!$A$114,'Données projet'!$B$114,BY79+BX80-CG79)))</f>
        <v>191.59999999999994</v>
      </c>
      <c r="BZ80" s="13">
        <f>BY80*VLOOKUP('Données projet'!$B$12,Paramètres!$A$1:$I$89,3,0)*VLOOKUP('Données projet'!$B$12,Paramètres!$A$1:$I$89,5,0)</f>
        <v>185.31551999999994</v>
      </c>
      <c r="CA80" s="13">
        <f t="shared" si="93"/>
        <v>46.502780901649913</v>
      </c>
      <c r="CB80" s="20">
        <f t="shared" si="64"/>
        <v>403.75020740370678</v>
      </c>
      <c r="CC80" s="59">
        <f t="shared" si="65"/>
        <v>697.08354073704004</v>
      </c>
      <c r="CD80" s="59">
        <f ca="1">AVERAGE(OFFSET($CC$3,0,0,'Données projet'!$E$12+1,1))-AVERAGE(OFFSET($H$3,0,0,'Données projet'!$E$12+1,1))</f>
        <v>201.36664523637006</v>
      </c>
      <c r="CE80" s="59">
        <f t="shared" si="94"/>
        <v>79.394119001888555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18.000704815135407</v>
      </c>
      <c r="CM80" s="21">
        <f>EXP(-LN(2)/2)*CM79+(1-EXP(-LN(2)/2))/(LN(2)/2)*CG80*CJ80*VLOOKUP('Données projet'!$B$12,Paramètres!$A$1:$I$89,3,0)*0.475*44/12</f>
        <v>3.3231460582479891E-5</v>
      </c>
      <c r="CN80" s="22">
        <f t="shared" si="66"/>
        <v>18.000738046595991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6.2</v>
      </c>
      <c r="CT80" s="12">
        <f>IF('Données projet'!$A$140&gt;35,CT79+CS80-DB79,IF(A80&lt;'Données projet'!$A$140,$CQ$205^A80,IF(A80='Données projet'!$A$140,'Données projet'!$B$140,CT79+CS80-DB79)))</f>
        <v>264.39999999999981</v>
      </c>
      <c r="CU80" s="17">
        <f>CT80*VLOOKUP('Données projet'!$B$13,Paramètres!$A$1:$I$89,3,0)*VLOOKUP('Données projet'!$B$13,Paramètres!$A$1:$I$89,5,0)</f>
        <v>239.22911999999982</v>
      </c>
      <c r="CV80" s="13">
        <f t="shared" si="95"/>
        <v>58.27364085249333</v>
      </c>
      <c r="CW80" s="20">
        <f t="shared" si="67"/>
        <v>518.15064181809225</v>
      </c>
      <c r="CX80" s="59">
        <f t="shared" si="68"/>
        <v>811.48397515142551</v>
      </c>
      <c r="CY80" s="59">
        <f ca="1">AVERAGE(OFFSET($CX$3,0,0,'Données projet'!$E$13+1,1))-AVERAGE(OFFSET($H$3,0,0,'Données projet'!$E$13+1,1))</f>
        <v>282.08542131880455</v>
      </c>
      <c r="CZ80" s="59">
        <f t="shared" si="96"/>
        <v>174.27503468762325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13.980232185173211</v>
      </c>
      <c r="DG80" s="21">
        <f>EXP(-LN(2)/25)*DG79+(1-EXP(-LN(2)/25))/(LN(2)/25)*Calculateur!DB80*Calculateur!DD80*VLOOKUP('Données projet'!$B$13,Paramètres!$A$1:$I$89,3,0)*0.475*44/12</f>
        <v>27.06190304828899</v>
      </c>
      <c r="DH80" s="21">
        <f>EXP(-LN(2)/2)*DH79+(1-EXP(-LN(2)/2))/(LN(2)/2)*DB80*DE80*VLOOKUP('Données projet'!$B$13,Paramètres!$A$1:$I$89,3,0)*0.475*44/12</f>
        <v>4.9401772177889843E-5</v>
      </c>
      <c r="DI80" s="22">
        <f t="shared" si="69"/>
        <v>41.042184635234385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3.1</v>
      </c>
      <c r="DO80" s="12">
        <f>IF('Données projet'!$A$166&gt;35,DO79+DN80-DW79,IF(A80&lt;'Données projet'!$A$166,$DL$205^A80,IF(A80='Données projet'!$A$166,'Données projet'!$B$166,DO79+DN80-DW79)))</f>
        <v>274.7</v>
      </c>
      <c r="DP80" s="17">
        <f>DO80*VLOOKUP('Données projet'!$B$14,Paramètres!$A$1:$I$89,3,0)*VLOOKUP('Données projet'!$B$14,Paramètres!$A$1:$I$89,5,0)</f>
        <v>222.83663999999999</v>
      </c>
      <c r="DQ80" s="13">
        <f t="shared" si="97"/>
        <v>54.730954957867816</v>
      </c>
      <c r="DR80" s="20">
        <f t="shared" si="70"/>
        <v>483.43022788495313</v>
      </c>
      <c r="DS80" s="59">
        <f t="shared" si="71"/>
        <v>776.76356121828644</v>
      </c>
      <c r="DT80" s="59">
        <f ca="1">AVERAGE(OFFSET($DS$3,0,0,'Données projet'!$E$14+1,1))-AVERAGE(OFFSET($H$3,0,0,'Données projet'!$E$14+1,1))</f>
        <v>235.31102883830971</v>
      </c>
      <c r="DU80" s="59">
        <f t="shared" si="98"/>
        <v>271.48630853790422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7.8724011876010724</v>
      </c>
      <c r="EB80" s="21">
        <f>EXP(-LN(2)/25)*EB79+(1-EXP(-LN(2)/25))/(LN(2)/25)*Calculateur!DW80*Calculateur!DY80*VLOOKUP('Données projet'!$B$14,Paramètres!$A$1:$I$89,3,0)*0.475*44/12</f>
        <v>19.618593166547665</v>
      </c>
      <c r="EC80" s="21">
        <f>EXP(-LN(2)/2)*EC79+(1-EXP(-LN(2)/2))/(LN(2)/2)*DW80*DZ80*VLOOKUP('Données projet'!$B$14,Paramètres!$A$1:$I$89,3,0)*0.475*44/12</f>
        <v>5.9614143446348511E-5</v>
      </c>
      <c r="ED80" s="22">
        <f t="shared" si="72"/>
        <v>27.491053968292185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12.9</v>
      </c>
      <c r="N81" s="13">
        <f>IF('Données projet'!$A$36&gt;35,N80+M81-V80,IF(A81&lt;'Données projet'!$A$36,$K$205^A81,IF(A81='Données projet'!$A$36,'Données projet'!$B$36,N80+M81-V80)))</f>
        <v>764.19999999999879</v>
      </c>
      <c r="O81" s="13">
        <f>N81*VLOOKUP('Données projet'!$B$9,Paramètres!$A$1:$I$89,3,0)*VLOOKUP('Données projet'!$B$9,Paramètres!$A$1:$I$89,5,0)</f>
        <v>427.18779999999936</v>
      </c>
      <c r="P81" s="13">
        <f t="shared" si="87"/>
        <v>97.267302762395772</v>
      </c>
      <c r="Q81" s="20">
        <f t="shared" si="54"/>
        <v>913.42597064450467</v>
      </c>
      <c r="R81" s="59">
        <f t="shared" si="55"/>
        <v>1206.759303977838</v>
      </c>
      <c r="S81" s="59">
        <f ca="1">AVERAGE(OFFSET($R$3,0,0,'Données projet'!$E$9+1,1))-AVERAGE(OFFSET($H$3,0,0,'Données projet'!$E$9+1,1))</f>
        <v>446.28010102877403</v>
      </c>
      <c r="T81" s="59">
        <f t="shared" si="88"/>
        <v>445.84011537290456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4.4138721377824384</v>
      </c>
      <c r="AA81" s="21">
        <f>EXP(-LN(2)/25)*AA80+(1-EXP(-LN(2)/25))/(LN(2)/25)*Calculateur!V81*Calculateur!X81*VLOOKUP('Données projet'!$B$9,Paramètres!$A$1:$I$89,3,0)*0.475*44/12</f>
        <v>10.242348930647127</v>
      </c>
      <c r="AB81" s="21">
        <f>EXP(-LN(2)/2)*AB80+(1-EXP(-LN(2)/2))/(LN(2)/2)*V81*Y81*VLOOKUP('Données projet'!$B$9,Paramètres!$A$1:$I$89,3,0)*0.475*44/12</f>
        <v>2.1738941285034475E-6</v>
      </c>
      <c r="AC81" s="22">
        <f t="shared" si="57"/>
        <v>14.656223242323694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17</v>
      </c>
      <c r="AI81" s="13">
        <f>IF('Données projet'!$A$62&gt;35,AI80+AH81-AQ80,IF(A81&lt;'Données projet'!$A$62,$AF$205^A81,IF(A81='Données projet'!$A$62,'Données projet'!$B$62,AI80+AH81-AQ80)))</f>
        <v>498.99999999999989</v>
      </c>
      <c r="AJ81" s="13">
        <f>AI81*VLOOKUP('Données projet'!$B$10,Paramètres!$A$1:$I$89,3,0)*VLOOKUP('Données projet'!$B$10,Paramètres!$A$1:$I$89,5,0)</f>
        <v>233.53199999999995</v>
      </c>
      <c r="AK81" s="13">
        <f t="shared" si="89"/>
        <v>57.04570382109808</v>
      </c>
      <c r="AL81" s="20">
        <f t="shared" si="58"/>
        <v>506.08950082174573</v>
      </c>
      <c r="AM81" s="59">
        <f t="shared" si="59"/>
        <v>799.42283415507904</v>
      </c>
      <c r="AN81" s="59">
        <f ca="1">AVERAGE(OFFSET($AM$3,0,0,'Données projet'!$E$10+1,1))-AVERAGE(OFFSET($H$3,0,0,'Données projet'!$E$10+1,1))</f>
        <v>252.98248842635206</v>
      </c>
      <c r="AO81" s="59">
        <f t="shared" si="90"/>
        <v>207.11938580878308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1.2115419136996166</v>
      </c>
      <c r="AV81" s="21">
        <f>EXP(-LN(2)/25)*AV80+(1-EXP(-LN(2)/25))/(LN(2)/25)*Calculateur!AQ81*Calculateur!AS81*VLOOKUP('Données projet'!$B$10,Paramètres!$A$1:$I$89,3,0)*0.475*44/12</f>
        <v>2.0758418847894227</v>
      </c>
      <c r="AW81" s="21">
        <f>EXP(-LN(2)/2)*AW80+(1-EXP(-LN(2)/2))/(LN(2)/2)*AQ81*AT81*VLOOKUP('Données projet'!$B$10,Paramètres!$A$1:$I$89,3,0)*0.475*44/12</f>
        <v>5.8604338647699308E-7</v>
      </c>
      <c r="AX81" s="21">
        <f t="shared" si="60"/>
        <v>3.2873843845324258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4.8</v>
      </c>
      <c r="BD81" s="12">
        <f>IF('Données projet'!$A$88&gt;35,BD80+BC81-BL80,IF(A81&lt;'Données projet'!$A$88,$BA$205^A81,IF(A81='Données projet'!$A$88,'Données projet'!$B$88,BD80+BC81-BL80)))</f>
        <v>196.39999999999995</v>
      </c>
      <c r="BE81" s="13">
        <f>BD81*VLOOKUP('Données projet'!$B$11,Paramètres!$A$1:$I$89,3,0)*VLOOKUP('Données projet'!$B$11,Paramètres!$A$1:$I$89,5,0)</f>
        <v>128.68127999999996</v>
      </c>
      <c r="BF81" s="13">
        <f t="shared" si="91"/>
        <v>33.691461276802258</v>
      </c>
      <c r="BG81" s="20">
        <f t="shared" si="61"/>
        <v>282.79919105709723</v>
      </c>
      <c r="BH81" s="59">
        <f t="shared" si="62"/>
        <v>576.13252439043049</v>
      </c>
      <c r="BI81" s="59">
        <f ca="1">AVERAGE(OFFSET($BH$3,0,0,'Données projet'!$E$11+1,1))-AVERAGE(OFFSET($H$3,0,0,'Données projet'!$E$11+1,1))</f>
        <v>114.23168847330004</v>
      </c>
      <c r="BJ81" s="59">
        <f t="shared" si="92"/>
        <v>42.34857998136755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4.8</v>
      </c>
      <c r="BY81" s="12">
        <f>IF('Données projet'!$A$114&gt;35,BY80+BX81-CG80,IF(A81&lt;'Données projet'!$A$114,$BV$205^A81,IF(A81='Données projet'!$A$114,'Données projet'!$B$114,BY80+BX81-CG80)))</f>
        <v>196.39999999999995</v>
      </c>
      <c r="BZ81" s="13">
        <f>BY81*VLOOKUP('Données projet'!$B$12,Paramètres!$A$1:$I$89,3,0)*VLOOKUP('Données projet'!$B$12,Paramètres!$A$1:$I$89,5,0)</f>
        <v>189.95807999999997</v>
      </c>
      <c r="CA81" s="13">
        <f t="shared" si="93"/>
        <v>47.530684815400313</v>
      </c>
      <c r="CB81" s="20">
        <f t="shared" si="64"/>
        <v>413.62626538682213</v>
      </c>
      <c r="CC81" s="59">
        <f t="shared" si="65"/>
        <v>706.95959872015544</v>
      </c>
      <c r="CD81" s="59">
        <f ca="1">AVERAGE(OFFSET($CC$3,0,0,'Données projet'!$E$12+1,1))-AVERAGE(OFFSET($H$3,0,0,'Données projet'!$E$12+1,1))</f>
        <v>201.36664523637006</v>
      </c>
      <c r="CE81" s="59">
        <f t="shared" si="94"/>
        <v>79.394119001888555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17.508474595349604</v>
      </c>
      <c r="CM81" s="21">
        <f>EXP(-LN(2)/2)*CM80+(1-EXP(-LN(2)/2))/(LN(2)/2)*CG81*CJ81*VLOOKUP('Données projet'!$B$12,Paramètres!$A$1:$I$89,3,0)*0.475*44/12</f>
        <v>2.3498191126604988E-5</v>
      </c>
      <c r="CN81" s="22">
        <f t="shared" si="66"/>
        <v>17.50849809354073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6.2</v>
      </c>
      <c r="CT81" s="12">
        <f>IF('Données projet'!$A$140&gt;35,CT80+CS81-DB80,IF(A81&lt;'Données projet'!$A$140,$CQ$205^A81,IF(A81='Données projet'!$A$140,'Données projet'!$B$140,CT80+CS81-DB80)))</f>
        <v>270.5999999999998</v>
      </c>
      <c r="CU81" s="17">
        <f>CT81*VLOOKUP('Données projet'!$B$13,Paramètres!$A$1:$I$89,3,0)*VLOOKUP('Données projet'!$B$13,Paramètres!$A$1:$I$89,5,0)</f>
        <v>244.83887999999979</v>
      </c>
      <c r="CV81" s="13">
        <f t="shared" si="95"/>
        <v>59.47942648942773</v>
      </c>
      <c r="CW81" s="20">
        <f t="shared" si="67"/>
        <v>530.02105046908628</v>
      </c>
      <c r="CX81" s="59">
        <f t="shared" si="68"/>
        <v>823.35438380241953</v>
      </c>
      <c r="CY81" s="59">
        <f ca="1">AVERAGE(OFFSET($CX$3,0,0,'Données projet'!$E$13+1,1))-AVERAGE(OFFSET($H$3,0,0,'Données projet'!$E$13+1,1))</f>
        <v>282.08542131880455</v>
      </c>
      <c r="CZ81" s="59">
        <f t="shared" si="96"/>
        <v>174.27503468762325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13.706088359121615</v>
      </c>
      <c r="DG81" s="21">
        <f>EXP(-LN(2)/25)*DG80+(1-EXP(-LN(2)/25))/(LN(2)/25)*Calculateur!DB81*Calculateur!DD81*VLOOKUP('Données projet'!$B$13,Paramètres!$A$1:$I$89,3,0)*0.475*44/12</f>
        <v>26.321893886309898</v>
      </c>
      <c r="DH81" s="21">
        <f>EXP(-LN(2)/2)*DH80+(1-EXP(-LN(2)/2))/(LN(2)/2)*DB81*DE81*VLOOKUP('Données projet'!$B$13,Paramètres!$A$1:$I$89,3,0)*0.475*44/12</f>
        <v>3.4932328109618824E-5</v>
      </c>
      <c r="DI81" s="22">
        <f t="shared" si="69"/>
        <v>40.028017177759629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3.1</v>
      </c>
      <c r="DO81" s="12">
        <f>IF('Données projet'!$A$166&gt;35,DO80+DN81-DW80,IF(A81&lt;'Données projet'!$A$166,$DL$205^A81,IF(A81='Données projet'!$A$166,'Données projet'!$B$166,DO80+DN81-DW80)))</f>
        <v>277.8</v>
      </c>
      <c r="DP81" s="17">
        <f>DO81*VLOOKUP('Données projet'!$B$14,Paramètres!$A$1:$I$89,3,0)*VLOOKUP('Données projet'!$B$14,Paramètres!$A$1:$I$89,5,0)</f>
        <v>225.35136000000003</v>
      </c>
      <c r="DQ81" s="13">
        <f t="shared" si="97"/>
        <v>55.276345528913524</v>
      </c>
      <c r="DR81" s="20">
        <f t="shared" si="70"/>
        <v>488.75992046285774</v>
      </c>
      <c r="DS81" s="59">
        <f t="shared" si="71"/>
        <v>782.09325379619099</v>
      </c>
      <c r="DT81" s="59">
        <f ca="1">AVERAGE(OFFSET($DS$3,0,0,'Données projet'!$E$14+1,1))-AVERAGE(OFFSET($H$3,0,0,'Données projet'!$E$14+1,1))</f>
        <v>235.31102883830971</v>
      </c>
      <c r="DU81" s="59">
        <f t="shared" si="98"/>
        <v>271.48630853790422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7.7180282020028121</v>
      </c>
      <c r="EB81" s="21">
        <f>EXP(-LN(2)/25)*EB80+(1-EXP(-LN(2)/25))/(LN(2)/25)*Calculateur!DW81*Calculateur!DY81*VLOOKUP('Données projet'!$B$14,Paramètres!$A$1:$I$89,3,0)*0.475*44/12</f>
        <v>19.082121704711444</v>
      </c>
      <c r="EC81" s="21">
        <f>EXP(-LN(2)/2)*EC80+(1-EXP(-LN(2)/2))/(LN(2)/2)*DW81*DZ81*VLOOKUP('Données projet'!$B$14,Paramètres!$A$1:$I$89,3,0)*0.475*44/12</f>
        <v>4.2153565085540617E-5</v>
      </c>
      <c r="ED81" s="22">
        <f t="shared" si="72"/>
        <v>26.800192060279343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12.9</v>
      </c>
      <c r="N82" s="13">
        <f>IF('Données projet'!$A$36&gt;35,N81+M82-V81,IF(A82&lt;'Données projet'!$A$36,$K$205^A82,IF(A82='Données projet'!$A$36,'Données projet'!$B$36,N81+M82-V81)))</f>
        <v>777.09999999999877</v>
      </c>
      <c r="O82" s="13">
        <f>N82*VLOOKUP('Données projet'!$B$9,Paramètres!$A$1:$I$89,3,0)*VLOOKUP('Données projet'!$B$9,Paramètres!$A$1:$I$89,5,0)</f>
        <v>434.39889999999929</v>
      </c>
      <c r="P82" s="13">
        <f t="shared" si="87"/>
        <v>98.716678672362434</v>
      </c>
      <c r="Q82" s="20">
        <f t="shared" si="54"/>
        <v>928.50963285436319</v>
      </c>
      <c r="R82" s="59">
        <f t="shared" si="55"/>
        <v>1221.8429661876964</v>
      </c>
      <c r="S82" s="59">
        <f ca="1">AVERAGE(OFFSET($R$3,0,0,'Données projet'!$E$9+1,1))-AVERAGE(OFFSET($H$3,0,0,'Données projet'!$E$9+1,1))</f>
        <v>446.28010102877403</v>
      </c>
      <c r="T82" s="59">
        <f t="shared" si="88"/>
        <v>445.84011537290456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4.3273187973566962</v>
      </c>
      <c r="AA82" s="21">
        <f>EXP(-LN(2)/25)*AA81+(1-EXP(-LN(2)/25))/(LN(2)/25)*Calculateur!V82*Calculateur!X82*VLOOKUP('Données projet'!$B$9,Paramètres!$A$1:$I$89,3,0)*0.475*44/12</f>
        <v>9.9622713605168602</v>
      </c>
      <c r="AB82" s="21">
        <f>EXP(-LN(2)/2)*AB81+(1-EXP(-LN(2)/2))/(LN(2)/2)*V82*Y82*VLOOKUP('Données projet'!$B$9,Paramètres!$A$1:$I$89,3,0)*0.475*44/12</f>
        <v>1.5371752798464077E-6</v>
      </c>
      <c r="AC82" s="22">
        <f t="shared" si="57"/>
        <v>14.289591695048836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17</v>
      </c>
      <c r="AI82" s="13">
        <f>IF('Données projet'!$A$62&gt;35,AI81+AH82-AQ81,IF(A82&lt;'Données projet'!$A$62,$AF$205^A82,IF(A82='Données projet'!$A$62,'Données projet'!$B$62,AI81+AH82-AQ81)))</f>
        <v>515.99999999999989</v>
      </c>
      <c r="AJ82" s="13">
        <f>AI82*VLOOKUP('Données projet'!$B$10,Paramètres!$A$1:$I$89,3,0)*VLOOKUP('Données projet'!$B$10,Paramètres!$A$1:$I$89,5,0)</f>
        <v>241.48799999999997</v>
      </c>
      <c r="AK82" s="13">
        <f t="shared" si="89"/>
        <v>58.759565673424916</v>
      </c>
      <c r="AL82" s="20">
        <f t="shared" si="58"/>
        <v>522.93117688121504</v>
      </c>
      <c r="AM82" s="59">
        <f t="shared" si="59"/>
        <v>816.26451021454841</v>
      </c>
      <c r="AN82" s="59">
        <f ca="1">AVERAGE(OFFSET($AM$3,0,0,'Données projet'!$E$10+1,1))-AVERAGE(OFFSET($H$3,0,0,'Données projet'!$E$10+1,1))</f>
        <v>252.98248842635206</v>
      </c>
      <c r="AO82" s="59">
        <f t="shared" si="90"/>
        <v>207.11938580878308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1.1877843157395676</v>
      </c>
      <c r="AV82" s="21">
        <f>EXP(-LN(2)/25)*AV81+(1-EXP(-LN(2)/25))/(LN(2)/25)*Calculateur!AQ82*Calculateur!AS82*VLOOKUP('Données projet'!$B$10,Paramètres!$A$1:$I$89,3,0)*0.475*44/12</f>
        <v>2.0190778792860757</v>
      </c>
      <c r="AW82" s="21">
        <f>EXP(-LN(2)/2)*AW81+(1-EXP(-LN(2)/2))/(LN(2)/2)*AQ82*AT82*VLOOKUP('Données projet'!$B$10,Paramètres!$A$1:$I$89,3,0)*0.475*44/12</f>
        <v>4.1439525264741046E-7</v>
      </c>
      <c r="AX82" s="21">
        <f t="shared" si="60"/>
        <v>3.2068626094208961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4.8</v>
      </c>
      <c r="BD82" s="12">
        <f>IF('Données projet'!$A$88&gt;35,BD81+BC82-BL81,IF(A82&lt;'Données projet'!$A$88,$BA$205^A82,IF(A82='Données projet'!$A$88,'Données projet'!$B$88,BD81+BC82-BL81)))</f>
        <v>201.19999999999996</v>
      </c>
      <c r="BE82" s="13">
        <f>BD82*VLOOKUP('Données projet'!$B$11,Paramètres!$A$1:$I$89,3,0)*VLOOKUP('Données projet'!$B$11,Paramètres!$A$1:$I$89,5,0)</f>
        <v>131.82623999999996</v>
      </c>
      <c r="BF82" s="13">
        <f t="shared" si="91"/>
        <v>34.418006550301079</v>
      </c>
      <c r="BG82" s="20">
        <f t="shared" si="61"/>
        <v>289.54206274177426</v>
      </c>
      <c r="BH82" s="59">
        <f t="shared" si="62"/>
        <v>582.87539607510757</v>
      </c>
      <c r="BI82" s="59">
        <f ca="1">AVERAGE(OFFSET($BH$3,0,0,'Données projet'!$E$11+1,1))-AVERAGE(OFFSET($H$3,0,0,'Données projet'!$E$11+1,1))</f>
        <v>114.23168847330004</v>
      </c>
      <c r="BJ82" s="59">
        <f t="shared" si="92"/>
        <v>42.34857998136755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4.8</v>
      </c>
      <c r="BY82" s="12">
        <f>IF('Données projet'!$A$114&gt;35,BY81+BX82-CG81,IF(A82&lt;'Données projet'!$A$114,$BV$205^A82,IF(A82='Données projet'!$A$114,'Données projet'!$B$114,BY81+BX82-CG81)))</f>
        <v>201.19999999999996</v>
      </c>
      <c r="BZ82" s="13">
        <f>BY82*VLOOKUP('Données projet'!$B$12,Paramètres!$A$1:$I$89,3,0)*VLOOKUP('Données projet'!$B$12,Paramètres!$A$1:$I$89,5,0)</f>
        <v>194.60063999999997</v>
      </c>
      <c r="CA82" s="13">
        <f t="shared" si="93"/>
        <v>48.555668389578749</v>
      </c>
      <c r="CB82" s="20">
        <f t="shared" si="64"/>
        <v>423.49723711184964</v>
      </c>
      <c r="CC82" s="59">
        <f t="shared" si="65"/>
        <v>716.83057044518296</v>
      </c>
      <c r="CD82" s="59">
        <f ca="1">AVERAGE(OFFSET($CC$3,0,0,'Données projet'!$E$12+1,1))-AVERAGE(OFFSET($H$3,0,0,'Données projet'!$E$12+1,1))</f>
        <v>201.36664523637006</v>
      </c>
      <c r="CE82" s="59">
        <f t="shared" si="94"/>
        <v>79.394119001888555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17.029704436809105</v>
      </c>
      <c r="CM82" s="21">
        <f>EXP(-LN(2)/2)*CM81+(1-EXP(-LN(2)/2))/(LN(2)/2)*CG82*CJ82*VLOOKUP('Données projet'!$B$12,Paramètres!$A$1:$I$89,3,0)*0.475*44/12</f>
        <v>1.6615730291239946E-5</v>
      </c>
      <c r="CN82" s="22">
        <f t="shared" si="66"/>
        <v>17.029721052539397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6.2</v>
      </c>
      <c r="CT82" s="12">
        <f>IF('Données projet'!$A$140&gt;35,CT81+CS82-DB81,IF(A82&lt;'Données projet'!$A$140,$CQ$205^A82,IF(A82='Données projet'!$A$140,'Données projet'!$B$140,CT81+CS82-DB81)))</f>
        <v>276.79999999999978</v>
      </c>
      <c r="CU82" s="17">
        <f>CT82*VLOOKUP('Données projet'!$B$13,Paramètres!$A$1:$I$89,3,0)*VLOOKUP('Données projet'!$B$13,Paramètres!$A$1:$I$89,5,0)</f>
        <v>250.44863999999981</v>
      </c>
      <c r="CV82" s="13">
        <f t="shared" si="95"/>
        <v>60.682000328889998</v>
      </c>
      <c r="CW82" s="20">
        <f t="shared" si="67"/>
        <v>541.885865239483</v>
      </c>
      <c r="CX82" s="59">
        <f t="shared" si="68"/>
        <v>835.21919857281637</v>
      </c>
      <c r="CY82" s="59">
        <f ca="1">AVERAGE(OFFSET($CX$3,0,0,'Données projet'!$E$13+1,1))-AVERAGE(OFFSET($H$3,0,0,'Données projet'!$E$13+1,1))</f>
        <v>282.08542131880455</v>
      </c>
      <c r="CZ82" s="59">
        <f t="shared" si="96"/>
        <v>174.27503468762325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13.437320326287669</v>
      </c>
      <c r="DG82" s="21">
        <f>EXP(-LN(2)/25)*DG81+(1-EXP(-LN(2)/25))/(LN(2)/25)*Calculateur!DB82*Calculateur!DD82*VLOOKUP('Données projet'!$B$13,Paramètres!$A$1:$I$89,3,0)*0.475*44/12</f>
        <v>25.602120313780514</v>
      </c>
      <c r="DH82" s="21">
        <f>EXP(-LN(2)/2)*DH81+(1-EXP(-LN(2)/2))/(LN(2)/2)*DB82*DE82*VLOOKUP('Données projet'!$B$13,Paramètres!$A$1:$I$89,3,0)*0.475*44/12</f>
        <v>2.4700886088944922E-5</v>
      </c>
      <c r="DI82" s="22">
        <f t="shared" si="69"/>
        <v>39.039465340954266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3.1</v>
      </c>
      <c r="DO82" s="12">
        <f>IF('Données projet'!$A$166&gt;35,DO81+DN82-DW81,IF(A82&lt;'Données projet'!$A$166,$DL$205^A82,IF(A82='Données projet'!$A$166,'Données projet'!$B$166,DO81+DN82-DW81)))</f>
        <v>280.90000000000003</v>
      </c>
      <c r="DP82" s="17">
        <f>DO82*VLOOKUP('Données projet'!$B$14,Paramètres!$A$1:$I$89,3,0)*VLOOKUP('Données projet'!$B$14,Paramètres!$A$1:$I$89,5,0)</f>
        <v>227.86608000000004</v>
      </c>
      <c r="DQ82" s="13">
        <f t="shared" si="97"/>
        <v>55.82102812554308</v>
      </c>
      <c r="DR82" s="20">
        <f t="shared" si="70"/>
        <v>494.08837998532084</v>
      </c>
      <c r="DS82" s="59">
        <f t="shared" si="71"/>
        <v>787.42171331865416</v>
      </c>
      <c r="DT82" s="59">
        <f ca="1">AVERAGE(OFFSET($DS$3,0,0,'Données projet'!$E$14+1,1))-AVERAGE(OFFSET($H$3,0,0,'Données projet'!$E$14+1,1))</f>
        <v>235.31102883830971</v>
      </c>
      <c r="DU82" s="59">
        <f t="shared" si="98"/>
        <v>271.48630853790422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7.56668237649391</v>
      </c>
      <c r="EB82" s="21">
        <f>EXP(-LN(2)/25)*EB81+(1-EXP(-LN(2)/25))/(LN(2)/25)*Calculateur!DW82*Calculateur!DY82*VLOOKUP('Données projet'!$B$14,Paramètres!$A$1:$I$89,3,0)*0.475*44/12</f>
        <v>18.560320083210943</v>
      </c>
      <c r="EC82" s="21">
        <f>EXP(-LN(2)/2)*EC81+(1-EXP(-LN(2)/2))/(LN(2)/2)*DW82*DZ82*VLOOKUP('Données projet'!$B$14,Paramètres!$A$1:$I$89,3,0)*0.475*44/12</f>
        <v>2.9807071723174262E-5</v>
      </c>
      <c r="ED82" s="22">
        <f t="shared" si="72"/>
        <v>26.127032266776578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790</v>
      </c>
      <c r="L83" s="12">
        <f>VLOOKUP(A83,'Données projet'!$A$35:$I$55,9,0)</f>
        <v>12.9</v>
      </c>
      <c r="M83" s="12">
        <f t="array" ref="M83">INDEX(L:L,MIN(IF(ISNUMBER(L83:L279),ROW(L83:L279),"")))</f>
        <v>12.9</v>
      </c>
      <c r="N83" s="13">
        <f>IF('Données projet'!$A$36&gt;35,N82+M83-V82,IF(A83&lt;'Données projet'!$A$36,$K$205^A83,IF(A83='Données projet'!$A$36,'Données projet'!$B$36,N82+M83-V82)))</f>
        <v>789.99999999999875</v>
      </c>
      <c r="O83" s="13">
        <f>N83*VLOOKUP('Données projet'!$B$9,Paramètres!$A$1:$I$89,3,0)*VLOOKUP('Données projet'!$B$9,Paramètres!$A$1:$I$89,5,0)</f>
        <v>441.60999999999933</v>
      </c>
      <c r="P83" s="13">
        <f t="shared" si="87"/>
        <v>100.16325657794113</v>
      </c>
      <c r="Q83" s="20">
        <f t="shared" si="54"/>
        <v>943.58842187324615</v>
      </c>
      <c r="R83" s="59">
        <f t="shared" si="55"/>
        <v>1236.9217552065795</v>
      </c>
      <c r="S83" s="59">
        <f ca="1">AVERAGE(OFFSET($R$3,0,0,'Données projet'!$E$9+1,1))-AVERAGE(OFFSET($H$3,0,0,'Données projet'!$E$9+1,1))</f>
        <v>446.28010102877403</v>
      </c>
      <c r="T83" s="59">
        <f t="shared" si="88"/>
        <v>445.84011537290456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790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4.2424627151443781</v>
      </c>
      <c r="AA83" s="21">
        <f>EXP(-LN(2)/25)*AA82+(1-EXP(-LN(2)/25))/(LN(2)/25)*Calculateur!V83*Calculateur!X83*VLOOKUP('Données projet'!$B$9,Paramètres!$A$1:$I$89,3,0)*0.475*44/12</f>
        <v>9.6898525262704442</v>
      </c>
      <c r="AB83" s="21">
        <f>EXP(-LN(2)/2)*AB82+(1-EXP(-LN(2)/2))/(LN(2)/2)*V83*Y83*VLOOKUP('Données projet'!$B$9,Paramètres!$A$1:$I$89,3,0)*0.475*44/12</f>
        <v>1.0869470642517238E-6</v>
      </c>
      <c r="AC83" s="22">
        <f t="shared" si="57"/>
        <v>13.932316328361887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533</v>
      </c>
      <c r="AG83" s="12">
        <f>VLOOKUP(A83,'Données projet'!$A$61:$I$81,9,0)</f>
        <v>17</v>
      </c>
      <c r="AH83" s="12">
        <f t="array" ref="AH83">INDEX(AG:AG,MIN(IF(ISNUMBER(AG83:AG279),ROW(AG83:AG279),"")))</f>
        <v>17</v>
      </c>
      <c r="AI83" s="13">
        <f>IF('Données projet'!$A$62&gt;35,AI82+AH83-AQ82,IF(A83&lt;'Données projet'!$A$62,$AF$205^A83,IF(A83='Données projet'!$A$62,'Données projet'!$B$62,AI82+AH83-AQ82)))</f>
        <v>532.99999999999989</v>
      </c>
      <c r="AJ83" s="13">
        <f>AI83*VLOOKUP('Données projet'!$B$10,Paramètres!$A$1:$I$89,3,0)*VLOOKUP('Données projet'!$B$10,Paramètres!$A$1:$I$89,5,0)</f>
        <v>249.44399999999993</v>
      </c>
      <c r="AK83" s="13">
        <f t="shared" si="89"/>
        <v>60.466866397117599</v>
      </c>
      <c r="AL83" s="20">
        <f t="shared" si="58"/>
        <v>539.76142564164627</v>
      </c>
      <c r="AM83" s="59">
        <f t="shared" si="59"/>
        <v>833.09475897497964</v>
      </c>
      <c r="AN83" s="59">
        <f ca="1">AVERAGE(OFFSET($AM$3,0,0,'Données projet'!$E$10+1,1))-AVERAGE(OFFSET($H$3,0,0,'Données projet'!$E$10+1,1))</f>
        <v>252.98248842635206</v>
      </c>
      <c r="AO83" s="59">
        <f t="shared" si="90"/>
        <v>207.11938580878308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83.4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1.1644925897848111</v>
      </c>
      <c r="AV83" s="21">
        <f>EXP(-LN(2)/25)*AV82+(1-EXP(-LN(2)/25))/(LN(2)/25)*Calculateur!AQ83*Calculateur!AS83*VLOOKUP('Données projet'!$B$10,Paramètres!$A$1:$I$89,3,0)*0.475*44/12</f>
        <v>1.963866088498307</v>
      </c>
      <c r="AW83" s="21">
        <f>EXP(-LN(2)/2)*AW82+(1-EXP(-LN(2)/2))/(LN(2)/2)*AQ83*AT83*VLOOKUP('Données projet'!$B$10,Paramètres!$A$1:$I$89,3,0)*0.475*44/12</f>
        <v>2.9302169323849654E-7</v>
      </c>
      <c r="AX83" s="21">
        <f t="shared" si="60"/>
        <v>3.1283589713048112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206</v>
      </c>
      <c r="BB83" s="12">
        <f>VLOOKUP(A83,'Données projet'!$A$87:$I$107,9,0)</f>
        <v>4.8</v>
      </c>
      <c r="BC83" s="12">
        <f t="array" ref="BC83">INDEX(BB:BB,MIN(IF(ISNUMBER(BB83:BB279),ROW(BB83:BB279),"")))</f>
        <v>4.8</v>
      </c>
      <c r="BD83" s="12">
        <f>IF('Données projet'!$A$88&gt;35,BD82+BC83-BL82,IF(A83&lt;'Données projet'!$A$88,$BA$205^A83,IF(A83='Données projet'!$A$88,'Données projet'!$B$88,BD82+BC83-BL82)))</f>
        <v>205.99999999999997</v>
      </c>
      <c r="BE83" s="13">
        <f>BD83*VLOOKUP('Données projet'!$B$11,Paramètres!$A$1:$I$89,3,0)*VLOOKUP('Données projet'!$B$11,Paramètres!$A$1:$I$89,5,0)</f>
        <v>134.97119999999998</v>
      </c>
      <c r="BF83" s="13">
        <f t="shared" si="91"/>
        <v>35.142536849088657</v>
      </c>
      <c r="BG83" s="20">
        <f t="shared" si="61"/>
        <v>296.28142501216269</v>
      </c>
      <c r="BH83" s="59">
        <f t="shared" si="62"/>
        <v>589.61475834549606</v>
      </c>
      <c r="BI83" s="59">
        <f ca="1">AVERAGE(OFFSET($BH$3,0,0,'Données projet'!$E$11+1,1))-AVERAGE(OFFSET($H$3,0,0,'Données projet'!$E$11+1,1))</f>
        <v>114.23168847330004</v>
      </c>
      <c r="BJ83" s="59">
        <f t="shared" si="92"/>
        <v>42.34857998136755</v>
      </c>
      <c r="BK83" s="15">
        <f>IF(ISNA(VLOOKUP(A83,'Données projet'!$A$87:$I$107,3,0)),0,VLOOKUP(A83,'Données projet'!$A$87:$I$107,3,0))</f>
        <v>5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206</v>
      </c>
      <c r="BW83" s="12">
        <f>VLOOKUP(A83,'Données projet'!$A$113:$I$133,9,0)</f>
        <v>4.8</v>
      </c>
      <c r="BX83" s="12">
        <f t="array" ref="BX83">INDEX(BW:BW,MIN(IF(ISNUMBER(BW83:BW279),ROW(BW83:BW279),"")))</f>
        <v>4.8</v>
      </c>
      <c r="BY83" s="12">
        <f>IF('Données projet'!$A$114&gt;35,BY82+BX83-CG82,IF(A83&lt;'Données projet'!$A$114,$BV$205^A83,IF(A83='Données projet'!$A$114,'Données projet'!$B$114,BY82+BX83-CG82)))</f>
        <v>205.99999999999997</v>
      </c>
      <c r="BZ83" s="13">
        <f>BY83*VLOOKUP('Données projet'!$B$12,Paramètres!$A$1:$I$89,3,0)*VLOOKUP('Données projet'!$B$12,Paramètres!$A$1:$I$89,5,0)</f>
        <v>199.24319999999997</v>
      </c>
      <c r="CA83" s="13">
        <f t="shared" si="93"/>
        <v>49.577809310922227</v>
      </c>
      <c r="CB83" s="20">
        <f t="shared" si="64"/>
        <v>433.36325788318953</v>
      </c>
      <c r="CC83" s="59">
        <f t="shared" si="65"/>
        <v>726.69659121652285</v>
      </c>
      <c r="CD83" s="59">
        <f ca="1">AVERAGE(OFFSET($CC$3,0,0,'Données projet'!$E$12+1,1))-AVERAGE(OFFSET($H$3,0,0,'Données projet'!$E$12+1,1))</f>
        <v>201.36664523637006</v>
      </c>
      <c r="CE83" s="59">
        <f t="shared" si="94"/>
        <v>79.394119001888555</v>
      </c>
      <c r="CF83" s="15">
        <f>IF(ISNA(VLOOKUP(A83,'Données projet'!$A$113:$I$133,3,0)),0,VLOOKUP(A83,'Données projet'!$A$113:$I$133,3,0))</f>
        <v>5</v>
      </c>
      <c r="CG83" s="15">
        <f>IF(ISNA(VLOOKUP(A83,'Données projet'!$A$113:$I$133,4,0)),0,VLOOKUP(A83,'Données projet'!$A$113:$I$133,4,0))</f>
        <v>28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0.23650000000000002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23.616463293867387</v>
      </c>
      <c r="CM83" s="21">
        <f>EXP(-LN(2)/2)*CM82+(1-EXP(-LN(2)/2))/(LN(2)/2)*CG83*CJ83*VLOOKUP('Données projet'!$B$12,Paramètres!$A$1:$I$89,3,0)*0.475*44/12</f>
        <v>1.1749095563302494E-5</v>
      </c>
      <c r="CN83" s="22">
        <f t="shared" si="66"/>
        <v>23.61647504296295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283</v>
      </c>
      <c r="CR83" s="12">
        <f>VLOOKUP(A83,'Données projet'!$A$139:$I$159,9,0)</f>
        <v>6.2</v>
      </c>
      <c r="CS83" s="12">
        <f t="array" ref="CS83">INDEX(CR:CR,MIN(IF(ISNUMBER(CR83:CR279),ROW(CR83:CR279),"")))</f>
        <v>6.2</v>
      </c>
      <c r="CT83" s="12">
        <f>IF('Données projet'!$A$140&gt;35,CT82+CS83-DB82,IF(A83&lt;'Données projet'!$A$140,$CQ$205^A83,IF(A83='Données projet'!$A$140,'Données projet'!$B$140,CT82+CS83-DB82)))</f>
        <v>282.99999999999977</v>
      </c>
      <c r="CU83" s="17">
        <f>CT83*VLOOKUP('Données projet'!$B$13,Paramètres!$A$1:$I$89,3,0)*VLOOKUP('Données projet'!$B$13,Paramètres!$A$1:$I$89,5,0)</f>
        <v>256.05839999999978</v>
      </c>
      <c r="CV83" s="13">
        <f t="shared" si="95"/>
        <v>61.881442594256434</v>
      </c>
      <c r="CW83" s="20">
        <f t="shared" si="67"/>
        <v>553.74522585166289</v>
      </c>
      <c r="CX83" s="59">
        <f t="shared" si="68"/>
        <v>847.07855918499627</v>
      </c>
      <c r="CY83" s="59">
        <f ca="1">AVERAGE(OFFSET($CX$3,0,0,'Données projet'!$E$13+1,1))-AVERAGE(OFFSET($H$3,0,0,'Données projet'!$E$13+1,1))</f>
        <v>282.08542131880455</v>
      </c>
      <c r="CZ83" s="59">
        <f t="shared" si="96"/>
        <v>174.27503468762325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42</v>
      </c>
      <c r="DC83" s="16">
        <f>IF(ISNA(VLOOKUP(A83,'Données projet'!$A$139:$I$159,5,0)),0%,VLOOKUP(A83,'Données projet'!$A$139:$I$159,5,0)*VLOOKUP('Données projet'!$B$13,Paramètres!$A$1:$I$89,7,0))</f>
        <v>0.19350000000000001</v>
      </c>
      <c r="DD83" s="16">
        <f>IF(ISNA(VLOOKUP(A83,'Données projet'!$A$139:$I$159,6,0)),0%,VLOOKUP(A83,'Données projet'!$A$139:$I$159,6,0)*VLOOKUP('Données projet'!$B$13,Paramètres!$A$1:$I$89,7,0))</f>
        <v>0.23650000000000002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21.302688624980568</v>
      </c>
      <c r="DG83" s="21">
        <f>EXP(-LN(2)/25)*DG82+(1-EXP(-LN(2)/25))/(LN(2)/25)*Calculateur!DB83*Calculateur!DD83*VLOOKUP('Données projet'!$B$13,Paramètres!$A$1:$I$89,3,0)*0.475*44/12</f>
        <v>34.798190612893791</v>
      </c>
      <c r="DH83" s="21">
        <f>EXP(-LN(2)/2)*DH82+(1-EXP(-LN(2)/2))/(LN(2)/2)*DB83*DE83*VLOOKUP('Données projet'!$B$13,Paramètres!$A$1:$I$89,3,0)*0.475*44/12</f>
        <v>1.7466164054809412E-5</v>
      </c>
      <c r="DI83" s="22">
        <f t="shared" si="69"/>
        <v>56.100896704038412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284</v>
      </c>
      <c r="DM83" s="12">
        <f>VLOOKUP(A83,'Données projet'!$A$165:$I$185,9,0)</f>
        <v>3.1</v>
      </c>
      <c r="DN83" s="12">
        <f t="array" ref="DN83">INDEX(DM:DM,MIN(IF(ISNUMBER(DM83:DM279),ROW(DM83:DM279),"")))</f>
        <v>3.1</v>
      </c>
      <c r="DO83" s="12">
        <f>IF('Données projet'!$A$166&gt;35,DO82+DN83-DW82,IF(A83&lt;'Données projet'!$A$166,$DL$205^A83,IF(A83='Données projet'!$A$166,'Données projet'!$B$166,DO82+DN83-DW82)))</f>
        <v>284.00000000000006</v>
      </c>
      <c r="DP83" s="17">
        <f>DO83*VLOOKUP('Données projet'!$B$14,Paramètres!$A$1:$I$89,3,0)*VLOOKUP('Données projet'!$B$14,Paramètres!$A$1:$I$89,5,0)</f>
        <v>230.38080000000005</v>
      </c>
      <c r="DQ83" s="13">
        <f t="shared" si="97"/>
        <v>56.365011465139979</v>
      </c>
      <c r="DR83" s="20">
        <f t="shared" si="70"/>
        <v>499.4156216351189</v>
      </c>
      <c r="DS83" s="59">
        <f t="shared" si="71"/>
        <v>792.74895496845215</v>
      </c>
      <c r="DT83" s="59">
        <f ca="1">AVERAGE(OFFSET($DS$3,0,0,'Données projet'!$E$14+1,1))-AVERAGE(OFFSET($H$3,0,0,'Données projet'!$E$14+1,1))</f>
        <v>235.31102883830971</v>
      </c>
      <c r="DU83" s="59">
        <f t="shared" si="98"/>
        <v>271.48630853790422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284</v>
      </c>
      <c r="DX83" s="16">
        <f>IF(ISNA(VLOOKUP(A83,'Données projet'!$A$165:$I$185,5,0)),0%,VLOOKUP(A83,'Données projet'!$A$165:$I$185,5,0)*VLOOKUP('Données projet'!$B$14,Paramètres!$A$1:$I$89,7,0))</f>
        <v>0.19350000000000001</v>
      </c>
      <c r="DY83" s="16">
        <f>IF(ISNA(VLOOKUP(A83,'Données projet'!$A$165:$I$185,6,0)),0%,VLOOKUP(A83,'Données projet'!$A$165:$I$185,6,0)*VLOOKUP('Données projet'!$B$14,Paramètres!$A$1:$I$89,7,0))</f>
        <v>0.23650000000000002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56.698719955247157</v>
      </c>
      <c r="EB83" s="21">
        <f>EXP(-LN(2)/25)*EB82+(1-EXP(-LN(2)/25))/(LN(2)/25)*Calculateur!DW83*Calculateur!DY83*VLOOKUP('Données projet'!$B$14,Paramètres!$A$1:$I$89,3,0)*0.475*44/12</f>
        <v>78.047251392854648</v>
      </c>
      <c r="EC83" s="21">
        <f>EXP(-LN(2)/2)*EC82+(1-EXP(-LN(2)/2))/(LN(2)/2)*DW83*DZ83*VLOOKUP('Données projet'!$B$14,Paramètres!$A$1:$I$89,3,0)*0.475*44/12</f>
        <v>2.1076782542770312E-5</v>
      </c>
      <c r="ED83" s="22">
        <f t="shared" si="72"/>
        <v>134.74599242488435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-1.2505552149377763E-12</v>
      </c>
      <c r="O84" s="13">
        <f>N84*VLOOKUP('Données projet'!$B$9,Paramètres!$A$1:$I$89,3,0)*VLOOKUP('Données projet'!$B$9,Paramètres!$A$1:$I$89,5,0)</f>
        <v>-6.9906036515021697E-13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446.28010102877403</v>
      </c>
      <c r="T84" s="59">
        <f t="shared" si="88"/>
        <v>445.84011537290456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4.1592706089471445</v>
      </c>
      <c r="AA84" s="21">
        <f>EXP(-LN(2)/25)*AA83+(1-EXP(-LN(2)/25))/(LN(2)/25)*Calculateur!V84*Calculateur!X84*VLOOKUP('Données projet'!$B$9,Paramètres!$A$1:$I$89,3,0)*0.475*44/12</f>
        <v>9.4248829993723806</v>
      </c>
      <c r="AB84" s="21">
        <f>EXP(-LN(2)/2)*AB83+(1-EXP(-LN(2)/2))/(LN(2)/2)*V84*Y84*VLOOKUP('Données projet'!$B$9,Paramètres!$A$1:$I$89,3,0)*0.475*44/12</f>
        <v>7.6858763992320385E-7</v>
      </c>
      <c r="AC84" s="22">
        <f t="shared" si="57"/>
        <v>13.584154376907165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17.5</v>
      </c>
      <c r="AI84" s="13">
        <f>IF('Données projet'!$A$62&gt;35,AI83+AH84-AQ83,IF(A84&lt;'Données projet'!$A$62,$AF$205^A84,IF(A84='Données projet'!$A$62,'Données projet'!$B$62,AI83+AH84-AQ83)))</f>
        <v>467.09999999999991</v>
      </c>
      <c r="AJ84" s="13">
        <f>AI84*VLOOKUP('Données projet'!$B$10,Paramètres!$A$1:$I$89,3,0)*VLOOKUP('Données projet'!$B$10,Paramètres!$A$1:$I$89,5,0)</f>
        <v>218.60279999999995</v>
      </c>
      <c r="AK84" s="13">
        <f t="shared" si="89"/>
        <v>53.811098692658383</v>
      </c>
      <c r="AL84" s="20">
        <f t="shared" si="58"/>
        <v>474.45420688971325</v>
      </c>
      <c r="AM84" s="59">
        <f t="shared" si="59"/>
        <v>767.78754022304656</v>
      </c>
      <c r="AN84" s="59">
        <f ca="1">AVERAGE(OFFSET($AM$3,0,0,'Données projet'!$E$10+1,1))-AVERAGE(OFFSET($H$3,0,0,'Données projet'!$E$10+1,1))</f>
        <v>252.98248842635206</v>
      </c>
      <c r="AO84" s="59">
        <f t="shared" si="90"/>
        <v>207.11938580878308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1.1416576003694774</v>
      </c>
      <c r="AV84" s="21">
        <f>EXP(-LN(2)/25)*AV83+(1-EXP(-LN(2)/25))/(LN(2)/25)*Calculateur!AQ84*Calculateur!AS84*VLOOKUP('Données projet'!$B$10,Paramètres!$A$1:$I$89,3,0)*0.475*44/12</f>
        <v>1.9101640670330917</v>
      </c>
      <c r="AW84" s="21">
        <f>EXP(-LN(2)/2)*AW83+(1-EXP(-LN(2)/2))/(LN(2)/2)*AQ84*AT84*VLOOKUP('Données projet'!$B$10,Paramètres!$A$1:$I$89,3,0)*0.475*44/12</f>
        <v>2.0719762632370523E-7</v>
      </c>
      <c r="AX84" s="21">
        <f t="shared" si="60"/>
        <v>3.0518218746001953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4.3</v>
      </c>
      <c r="BD84" s="12">
        <f>IF('Données projet'!$A$88&gt;35,BD83+BC84-BL83,IF(A84&lt;'Données projet'!$A$88,$BA$205^A84,IF(A84='Données projet'!$A$88,'Données projet'!$B$88,BD83+BC84-BL83)))</f>
        <v>182.29999999999998</v>
      </c>
      <c r="BE84" s="13">
        <f>BD84*VLOOKUP('Données projet'!$B$11,Paramètres!$A$1:$I$89,3,0)*VLOOKUP('Données projet'!$B$11,Paramètres!$A$1:$I$89,5,0)</f>
        <v>119.44295999999999</v>
      </c>
      <c r="BF84" s="13">
        <f t="shared" si="91"/>
        <v>31.545043701100273</v>
      </c>
      <c r="BG84" s="20">
        <f t="shared" si="61"/>
        <v>262.97077311274961</v>
      </c>
      <c r="BH84" s="59">
        <f t="shared" si="62"/>
        <v>556.30410644608287</v>
      </c>
      <c r="BI84" s="59">
        <f ca="1">AVERAGE(OFFSET($BH$3,0,0,'Données projet'!$E$11+1,1))-AVERAGE(OFFSET($H$3,0,0,'Données projet'!$E$11+1,1))</f>
        <v>114.23168847330004</v>
      </c>
      <c r="BJ84" s="59">
        <f t="shared" si="92"/>
        <v>42.34857998136755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4.3</v>
      </c>
      <c r="BY84" s="12">
        <f>IF('Données projet'!$A$114&gt;35,BY83+BX84-CG83,IF(A84&lt;'Données projet'!$A$114,$BV$205^A84,IF(A84='Données projet'!$A$114,'Données projet'!$B$114,BY83+BX84-CG83)))</f>
        <v>182.29999999999998</v>
      </c>
      <c r="BZ84" s="13">
        <f>BY84*VLOOKUP('Données projet'!$B$12,Paramètres!$A$1:$I$89,3,0)*VLOOKUP('Données projet'!$B$12,Paramètres!$A$1:$I$89,5,0)</f>
        <v>176.32055999999997</v>
      </c>
      <c r="CA84" s="13">
        <f t="shared" si="93"/>
        <v>44.502597181125708</v>
      </c>
      <c r="CB84" s="20">
        <f t="shared" si="64"/>
        <v>384.6003320904606</v>
      </c>
      <c r="CC84" s="59">
        <f t="shared" si="65"/>
        <v>677.93366542379385</v>
      </c>
      <c r="CD84" s="59">
        <f ca="1">AVERAGE(OFFSET($CC$3,0,0,'Données projet'!$E$12+1,1))-AVERAGE(OFFSET($H$3,0,0,'Données projet'!$E$12+1,1))</f>
        <v>201.36664523637006</v>
      </c>
      <c r="CE84" s="59">
        <f t="shared" si="94"/>
        <v>79.394119001888555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22.970669863160754</v>
      </c>
      <c r="CM84" s="21">
        <f>EXP(-LN(2)/2)*CM83+(1-EXP(-LN(2)/2))/(LN(2)/2)*CG84*CJ84*VLOOKUP('Données projet'!$B$12,Paramètres!$A$1:$I$89,3,0)*0.475*44/12</f>
        <v>8.3078651456199728E-6</v>
      </c>
      <c r="CN84" s="22">
        <f t="shared" si="66"/>
        <v>22.970678171025899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5.5</v>
      </c>
      <c r="CT84" s="12">
        <f>IF('Données projet'!$A$140&gt;35,CT83+CS84-DB83,IF(A84&lt;'Données projet'!$A$140,$CQ$205^A84,IF(A84='Données projet'!$A$140,'Données projet'!$B$140,CT83+CS84-DB83)))</f>
        <v>246.49999999999977</v>
      </c>
      <c r="CU84" s="17">
        <f>CT84*VLOOKUP('Données projet'!$B$13,Paramètres!$A$1:$I$89,3,0)*VLOOKUP('Données projet'!$B$13,Paramètres!$A$1:$I$89,5,0)</f>
        <v>223.03319999999979</v>
      </c>
      <c r="CV84" s="13">
        <f t="shared" si="95"/>
        <v>54.773610452898723</v>
      </c>
      <c r="CW84" s="20">
        <f t="shared" si="67"/>
        <v>483.84686153879824</v>
      </c>
      <c r="CX84" s="59">
        <f t="shared" si="68"/>
        <v>777.18019487213155</v>
      </c>
      <c r="CY84" s="59">
        <f ca="1">AVERAGE(OFFSET($CX$3,0,0,'Données projet'!$E$13+1,1))-AVERAGE(OFFSET($H$3,0,0,'Données projet'!$E$13+1,1))</f>
        <v>282.08542131880455</v>
      </c>
      <c r="CZ84" s="59">
        <f t="shared" si="96"/>
        <v>174.27503468762325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20.884955894401774</v>
      </c>
      <c r="DG84" s="21">
        <f>EXP(-LN(2)/25)*DG83+(1-EXP(-LN(2)/25))/(LN(2)/25)*Calculateur!DB84*Calculateur!DD84*VLOOKUP('Données projet'!$B$13,Paramètres!$A$1:$I$89,3,0)*0.475*44/12</f>
        <v>33.846632260626897</v>
      </c>
      <c r="DH84" s="21">
        <f>EXP(-LN(2)/2)*DH83+(1-EXP(-LN(2)/2))/(LN(2)/2)*DB84*DE84*VLOOKUP('Données projet'!$B$13,Paramètres!$A$1:$I$89,3,0)*0.475*44/12</f>
        <v>1.2350443044472461E-5</v>
      </c>
      <c r="DI84" s="22">
        <f t="shared" si="69"/>
        <v>54.731600505471718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5.6843418860808015E-14</v>
      </c>
      <c r="DP84" s="17">
        <f>DO84*VLOOKUP('Données projet'!$B$14,Paramètres!$A$1:$I$89,3,0)*VLOOKUP('Données projet'!$B$14,Paramètres!$A$1:$I$89,5,0)</f>
        <v>4.6111381379887463E-14</v>
      </c>
      <c r="DQ84" s="13">
        <f t="shared" si="97"/>
        <v>7.5804141040779151E-13</v>
      </c>
      <c r="DR84" s="20">
        <f t="shared" si="70"/>
        <v>1.4005661123635408E-12</v>
      </c>
      <c r="DS84" s="59">
        <f t="shared" si="71"/>
        <v>293.33333333333474</v>
      </c>
      <c r="DT84" s="59">
        <f ca="1">AVERAGE(OFFSET($DS$3,0,0,'Données projet'!$E$14+1,1))-AVERAGE(OFFSET($H$3,0,0,'Données projet'!$E$14+1,1))</f>
        <v>235.31102883830971</v>
      </c>
      <c r="DU84" s="59">
        <f t="shared" si="98"/>
        <v>271.48630853790422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55.586892639729165</v>
      </c>
      <c r="EB84" s="21">
        <f>EXP(-LN(2)/25)*EB83+(1-EXP(-LN(2)/25))/(LN(2)/25)*Calculateur!DW84*Calculateur!DY84*VLOOKUP('Données projet'!$B$14,Paramètres!$A$1:$I$89,3,0)*0.475*44/12</f>
        <v>75.913045199190464</v>
      </c>
      <c r="EC84" s="21">
        <f>EXP(-LN(2)/2)*EC83+(1-EXP(-LN(2)/2))/(LN(2)/2)*DW84*DZ84*VLOOKUP('Données projet'!$B$14,Paramètres!$A$1:$I$89,3,0)*0.475*44/12</f>
        <v>1.4903535861587133E-5</v>
      </c>
      <c r="ED84" s="22">
        <f t="shared" si="72"/>
        <v>131.49995274245549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-1.2505552149377763E-12</v>
      </c>
      <c r="O85" s="13">
        <f>N85*VLOOKUP('Données projet'!$B$9,Paramètres!$A$1:$I$89,3,0)*VLOOKUP('Données projet'!$B$9,Paramètres!$A$1:$I$89,5,0)</f>
        <v>-6.9906036515021697E-13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446.28010102877403</v>
      </c>
      <c r="T85" s="59">
        <f t="shared" si="88"/>
        <v>445.84011537290456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4.0777098492102644</v>
      </c>
      <c r="AA85" s="21">
        <f>EXP(-LN(2)/25)*AA84+(1-EXP(-LN(2)/25))/(LN(2)/25)*Calculateur!V85*Calculateur!X85*VLOOKUP('Données projet'!$B$9,Paramètres!$A$1:$I$89,3,0)*0.475*44/12</f>
        <v>9.167159078121486</v>
      </c>
      <c r="AB85" s="21">
        <f>EXP(-LN(2)/2)*AB84+(1-EXP(-LN(2)/2))/(LN(2)/2)*V85*Y85*VLOOKUP('Données projet'!$B$9,Paramètres!$A$1:$I$89,3,0)*0.475*44/12</f>
        <v>5.4347353212586188E-7</v>
      </c>
      <c r="AC85" s="22">
        <f t="shared" si="57"/>
        <v>13.244869470805284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17.5</v>
      </c>
      <c r="AI85" s="13">
        <f>IF('Données projet'!$A$62&gt;35,AI84+AH85-AQ84,IF(A85&lt;'Données projet'!$A$62,$AF$205^A85,IF(A85='Données projet'!$A$62,'Données projet'!$B$62,AI84+AH85-AQ84)))</f>
        <v>484.59999999999991</v>
      </c>
      <c r="AJ85" s="13">
        <f>AI85*VLOOKUP('Données projet'!$B$10,Paramètres!$A$1:$I$89,3,0)*VLOOKUP('Données projet'!$B$10,Paramètres!$A$1:$I$89,5,0)</f>
        <v>226.79279999999994</v>
      </c>
      <c r="AK85" s="13">
        <f t="shared" si="89"/>
        <v>55.588644170072158</v>
      </c>
      <c r="AL85" s="20">
        <f t="shared" si="58"/>
        <v>491.8143485962089</v>
      </c>
      <c r="AM85" s="59">
        <f t="shared" si="59"/>
        <v>785.14768192954216</v>
      </c>
      <c r="AN85" s="59">
        <f ca="1">AVERAGE(OFFSET($AM$3,0,0,'Données projet'!$E$10+1,1))-AVERAGE(OFFSET($H$3,0,0,'Données projet'!$E$10+1,1))</f>
        <v>252.98248842635206</v>
      </c>
      <c r="AO85" s="59">
        <f t="shared" si="90"/>
        <v>207.11938580878308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1.1192703911686102</v>
      </c>
      <c r="AV85" s="21">
        <f>EXP(-LN(2)/25)*AV84+(1-EXP(-LN(2)/25))/(LN(2)/25)*Calculateur!AQ85*Calculateur!AS85*VLOOKUP('Données projet'!$B$10,Paramètres!$A$1:$I$89,3,0)*0.475*44/12</f>
        <v>1.8579305301689093</v>
      </c>
      <c r="AW85" s="21">
        <f>EXP(-LN(2)/2)*AW84+(1-EXP(-LN(2)/2))/(LN(2)/2)*AQ85*AT85*VLOOKUP('Données projet'!$B$10,Paramètres!$A$1:$I$89,3,0)*0.475*44/12</f>
        <v>1.4651084661924827E-7</v>
      </c>
      <c r="AX85" s="21">
        <f t="shared" si="60"/>
        <v>2.977201067848366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4.3</v>
      </c>
      <c r="BD85" s="12">
        <f>IF('Données projet'!$A$88&gt;35,BD84+BC85-BL84,IF(A85&lt;'Données projet'!$A$88,$BA$205^A85,IF(A85='Données projet'!$A$88,'Données projet'!$B$88,BD84+BC85-BL84)))</f>
        <v>186.6</v>
      </c>
      <c r="BE85" s="13">
        <f>BD85*VLOOKUP('Données projet'!$B$11,Paramètres!$A$1:$I$89,3,0)*VLOOKUP('Données projet'!$B$11,Paramètres!$A$1:$I$89,5,0)</f>
        <v>122.26032000000001</v>
      </c>
      <c r="BF85" s="13">
        <f t="shared" si="91"/>
        <v>32.201607899948172</v>
      </c>
      <c r="BG85" s="20">
        <f t="shared" si="61"/>
        <v>269.02119109240977</v>
      </c>
      <c r="BH85" s="59">
        <f t="shared" si="62"/>
        <v>562.35452442574308</v>
      </c>
      <c r="BI85" s="59">
        <f ca="1">AVERAGE(OFFSET($BH$3,0,0,'Données projet'!$E$11+1,1))-AVERAGE(OFFSET($H$3,0,0,'Données projet'!$E$11+1,1))</f>
        <v>114.23168847330004</v>
      </c>
      <c r="BJ85" s="59">
        <f t="shared" si="92"/>
        <v>42.34857998136755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4.3</v>
      </c>
      <c r="BY85" s="12">
        <f>IF('Données projet'!$A$114&gt;35,BY84+BX85-CG84,IF(A85&lt;'Données projet'!$A$114,$BV$205^A85,IF(A85='Données projet'!$A$114,'Données projet'!$B$114,BY84+BX85-CG84)))</f>
        <v>186.6</v>
      </c>
      <c r="BZ85" s="13">
        <f>BY85*VLOOKUP('Données projet'!$B$12,Paramètres!$A$1:$I$89,3,0)*VLOOKUP('Données projet'!$B$12,Paramètres!$A$1:$I$89,5,0)</f>
        <v>180.47952000000001</v>
      </c>
      <c r="CA85" s="13">
        <f t="shared" si="93"/>
        <v>45.428854007451079</v>
      </c>
      <c r="CB85" s="20">
        <f t="shared" si="64"/>
        <v>393.45708472964401</v>
      </c>
      <c r="CC85" s="59">
        <f t="shared" si="65"/>
        <v>686.79041806297732</v>
      </c>
      <c r="CD85" s="59">
        <f ca="1">AVERAGE(OFFSET($CC$3,0,0,'Données projet'!$E$12+1,1))-AVERAGE(OFFSET($H$3,0,0,'Données projet'!$E$12+1,1))</f>
        <v>201.36664523637006</v>
      </c>
      <c r="CE85" s="59">
        <f t="shared" si="94"/>
        <v>79.394119001888555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22.342535687777595</v>
      </c>
      <c r="CM85" s="21">
        <f>EXP(-LN(2)/2)*CM84+(1-EXP(-LN(2)/2))/(LN(2)/2)*CG85*CJ85*VLOOKUP('Données projet'!$B$12,Paramètres!$A$1:$I$89,3,0)*0.475*44/12</f>
        <v>5.874547781651247E-6</v>
      </c>
      <c r="CN85" s="22">
        <f t="shared" si="66"/>
        <v>22.342541562325376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5.5</v>
      </c>
      <c r="CT85" s="12">
        <f>IF('Données projet'!$A$140&gt;35,CT84+CS85-DB84,IF(A85&lt;'Données projet'!$A$140,$CQ$205^A85,IF(A85='Données projet'!$A$140,'Données projet'!$B$140,CT84+CS85-DB84)))</f>
        <v>251.99999999999977</v>
      </c>
      <c r="CU85" s="17">
        <f>CT85*VLOOKUP('Données projet'!$B$13,Paramètres!$A$1:$I$89,3,0)*VLOOKUP('Données projet'!$B$13,Paramètres!$A$1:$I$89,5,0)</f>
        <v>228.00959999999978</v>
      </c>
      <c r="CV85" s="13">
        <f t="shared" si="95"/>
        <v>55.852093054619779</v>
      </c>
      <c r="CW85" s="20">
        <f t="shared" si="67"/>
        <v>494.39244873679564</v>
      </c>
      <c r="CX85" s="59">
        <f t="shared" si="68"/>
        <v>787.72578207012896</v>
      </c>
      <c r="CY85" s="59">
        <f ca="1">AVERAGE(OFFSET($CX$3,0,0,'Données projet'!$E$13+1,1))-AVERAGE(OFFSET($H$3,0,0,'Données projet'!$E$13+1,1))</f>
        <v>282.08542131880455</v>
      </c>
      <c r="CZ85" s="59">
        <f t="shared" si="96"/>
        <v>174.27503468762325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20.475414647877823</v>
      </c>
      <c r="DG85" s="21">
        <f>EXP(-LN(2)/25)*DG84+(1-EXP(-LN(2)/25))/(LN(2)/25)*Calculateur!DB85*Calculateur!DD85*VLOOKUP('Données projet'!$B$13,Paramètres!$A$1:$I$89,3,0)*0.475*44/12</f>
        <v>32.921094321543023</v>
      </c>
      <c r="DH85" s="21">
        <f>EXP(-LN(2)/2)*DH84+(1-EXP(-LN(2)/2))/(LN(2)/2)*DB85*DE85*VLOOKUP('Données projet'!$B$13,Paramètres!$A$1:$I$89,3,0)*0.475*44/12</f>
        <v>8.733082027404706E-6</v>
      </c>
      <c r="DI85" s="22">
        <f t="shared" si="69"/>
        <v>53.396517702502877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5.6843418860808015E-14</v>
      </c>
      <c r="DP85" s="17">
        <f>DO85*VLOOKUP('Données projet'!$B$14,Paramètres!$A$1:$I$89,3,0)*VLOOKUP('Données projet'!$B$14,Paramètres!$A$1:$I$89,5,0)</f>
        <v>4.6111381379887463E-14</v>
      </c>
      <c r="DQ85" s="13">
        <f t="shared" si="97"/>
        <v>7.5804141040779151E-13</v>
      </c>
      <c r="DR85" s="20">
        <f t="shared" si="70"/>
        <v>1.4005661123635408E-12</v>
      </c>
      <c r="DS85" s="59">
        <f t="shared" si="71"/>
        <v>293.33333333333474</v>
      </c>
      <c r="DT85" s="59">
        <f ca="1">AVERAGE(OFFSET($DS$3,0,0,'Données projet'!$E$14+1,1))-AVERAGE(OFFSET($H$3,0,0,'Données projet'!$E$14+1,1))</f>
        <v>235.31102883830971</v>
      </c>
      <c r="DU85" s="59">
        <f t="shared" si="98"/>
        <v>271.48630853790422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54.496867579720778</v>
      </c>
      <c r="EB85" s="21">
        <f>EXP(-LN(2)/25)*EB84+(1-EXP(-LN(2)/25))/(LN(2)/25)*Calculateur!DW85*Calculateur!DY85*VLOOKUP('Données projet'!$B$14,Paramètres!$A$1:$I$89,3,0)*0.475*44/12</f>
        <v>73.83719898612506</v>
      </c>
      <c r="EC85" s="21">
        <f>EXP(-LN(2)/2)*EC84+(1-EXP(-LN(2)/2))/(LN(2)/2)*DW85*DZ85*VLOOKUP('Données projet'!$B$14,Paramètres!$A$1:$I$89,3,0)*0.475*44/12</f>
        <v>1.0538391271385158E-5</v>
      </c>
      <c r="ED85" s="22">
        <f t="shared" si="72"/>
        <v>128.33407710423711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-1.2505552149377763E-12</v>
      </c>
      <c r="O86" s="13">
        <f>N86*VLOOKUP('Données projet'!$B$9,Paramètres!$A$1:$I$89,3,0)*VLOOKUP('Données projet'!$B$9,Paramètres!$A$1:$I$89,5,0)</f>
        <v>-6.9906036515021697E-13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446.28010102877403</v>
      </c>
      <c r="T86" s="59">
        <f t="shared" si="88"/>
        <v>445.84011537290456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3.9977484462246728</v>
      </c>
      <c r="AA86" s="21">
        <f>EXP(-LN(2)/25)*AA85+(1-EXP(-LN(2)/25))/(LN(2)/25)*Calculateur!V86*Calculateur!X86*VLOOKUP('Données projet'!$B$9,Paramètres!$A$1:$I$89,3,0)*0.475*44/12</f>
        <v>8.9164826310503091</v>
      </c>
      <c r="AB86" s="21">
        <f>EXP(-LN(2)/2)*AB85+(1-EXP(-LN(2)/2))/(LN(2)/2)*V86*Y86*VLOOKUP('Données projet'!$B$9,Paramètres!$A$1:$I$89,3,0)*0.475*44/12</f>
        <v>3.8429381996160193E-7</v>
      </c>
      <c r="AC86" s="22">
        <f t="shared" si="57"/>
        <v>12.914231461568802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17.5</v>
      </c>
      <c r="AI86" s="13">
        <f>IF('Données projet'!$A$62&gt;35,AI85+AH86-AQ85,IF(A86&lt;'Données projet'!$A$62,$AF$205^A86,IF(A86='Données projet'!$A$62,'Données projet'!$B$62,AI85+AH86-AQ85)))</f>
        <v>502.09999999999991</v>
      </c>
      <c r="AJ86" s="13">
        <f>AI86*VLOOKUP('Données projet'!$B$10,Paramètres!$A$1:$I$89,3,0)*VLOOKUP('Données projet'!$B$10,Paramètres!$A$1:$I$89,5,0)</f>
        <v>234.98279999999997</v>
      </c>
      <c r="AK86" s="13">
        <f t="shared" si="89"/>
        <v>57.358731763746825</v>
      </c>
      <c r="AL86" s="20">
        <f t="shared" si="58"/>
        <v>509.16150115519235</v>
      </c>
      <c r="AM86" s="59">
        <f t="shared" si="59"/>
        <v>802.49483448852561</v>
      </c>
      <c r="AN86" s="59">
        <f ca="1">AVERAGE(OFFSET($AM$3,0,0,'Données projet'!$E$10+1,1))-AVERAGE(OFFSET($H$3,0,0,'Données projet'!$E$10+1,1))</f>
        <v>252.98248842635206</v>
      </c>
      <c r="AO86" s="59">
        <f t="shared" si="90"/>
        <v>207.11938580878308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1.0973221814853225</v>
      </c>
      <c r="AV86" s="21">
        <f>EXP(-LN(2)/25)*AV85+(1-EXP(-LN(2)/25))/(LN(2)/25)*Calculateur!AQ86*Calculateur!AS86*VLOOKUP('Données projet'!$B$10,Paramètres!$A$1:$I$89,3,0)*0.475*44/12</f>
        <v>1.8071253221171202</v>
      </c>
      <c r="AW86" s="21">
        <f>EXP(-LN(2)/2)*AW85+(1-EXP(-LN(2)/2))/(LN(2)/2)*AQ86*AT86*VLOOKUP('Données projet'!$B$10,Paramètres!$A$1:$I$89,3,0)*0.475*44/12</f>
        <v>1.0359881316185261E-7</v>
      </c>
      <c r="AX86" s="21">
        <f t="shared" si="60"/>
        <v>2.9044476072012557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4.3</v>
      </c>
      <c r="BD86" s="12">
        <f>IF('Données projet'!$A$88&gt;35,BD85+BC86-BL85,IF(A86&lt;'Données projet'!$A$88,$BA$205^A86,IF(A86='Données projet'!$A$88,'Données projet'!$B$88,BD85+BC86-BL85)))</f>
        <v>190.9</v>
      </c>
      <c r="BE86" s="13">
        <f>BD86*VLOOKUP('Données projet'!$B$11,Paramètres!$A$1:$I$89,3,0)*VLOOKUP('Données projet'!$B$11,Paramètres!$A$1:$I$89,5,0)</f>
        <v>125.07768</v>
      </c>
      <c r="BF86" s="13">
        <f t="shared" si="91"/>
        <v>32.856413182010108</v>
      </c>
      <c r="BG86" s="20">
        <f t="shared" si="61"/>
        <v>275.06854562533425</v>
      </c>
      <c r="BH86" s="59">
        <f t="shared" si="62"/>
        <v>568.40187895866757</v>
      </c>
      <c r="BI86" s="59">
        <f ca="1">AVERAGE(OFFSET($BH$3,0,0,'Données projet'!$E$11+1,1))-AVERAGE(OFFSET($H$3,0,0,'Données projet'!$E$11+1,1))</f>
        <v>114.23168847330004</v>
      </c>
      <c r="BJ86" s="59">
        <f t="shared" si="92"/>
        <v>42.34857998136755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4.3</v>
      </c>
      <c r="BY86" s="12">
        <f>IF('Données projet'!$A$114&gt;35,BY85+BX86-CG85,IF(A86&lt;'Données projet'!$A$114,$BV$205^A86,IF(A86='Données projet'!$A$114,'Données projet'!$B$114,BY85+BX86-CG85)))</f>
        <v>190.9</v>
      </c>
      <c r="BZ86" s="13">
        <f>BY86*VLOOKUP('Données projet'!$B$12,Paramètres!$A$1:$I$89,3,0)*VLOOKUP('Données projet'!$B$12,Paramètres!$A$1:$I$89,5,0)</f>
        <v>184.63848000000002</v>
      </c>
      <c r="CA86" s="13">
        <f t="shared" si="93"/>
        <v>46.352629418123904</v>
      </c>
      <c r="CB86" s="20">
        <f t="shared" si="64"/>
        <v>402.30951556989913</v>
      </c>
      <c r="CC86" s="59">
        <f t="shared" si="65"/>
        <v>695.64284890323245</v>
      </c>
      <c r="CD86" s="59">
        <f ca="1">AVERAGE(OFFSET($CC$3,0,0,'Données projet'!$E$12+1,1))-AVERAGE(OFFSET($H$3,0,0,'Données projet'!$E$12+1,1))</f>
        <v>201.36664523637006</v>
      </c>
      <c r="CE86" s="59">
        <f t="shared" si="94"/>
        <v>79.394119001888555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21.73157787445243</v>
      </c>
      <c r="CM86" s="21">
        <f>EXP(-LN(2)/2)*CM85+(1-EXP(-LN(2)/2))/(LN(2)/2)*CG86*CJ86*VLOOKUP('Données projet'!$B$12,Paramètres!$A$1:$I$89,3,0)*0.475*44/12</f>
        <v>4.1539325728099864E-6</v>
      </c>
      <c r="CN86" s="22">
        <f t="shared" si="66"/>
        <v>21.731582028385002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5.5</v>
      </c>
      <c r="CT86" s="12">
        <f>IF('Données projet'!$A$140&gt;35,CT85+CS86-DB85,IF(A86&lt;'Données projet'!$A$140,$CQ$205^A86,IF(A86='Données projet'!$A$140,'Données projet'!$B$140,CT85+CS86-DB85)))</f>
        <v>257.49999999999977</v>
      </c>
      <c r="CU86" s="17">
        <f>CT86*VLOOKUP('Données projet'!$B$13,Paramètres!$A$1:$I$89,3,0)*VLOOKUP('Données projet'!$B$13,Paramètres!$A$1:$I$89,5,0)</f>
        <v>232.98599999999979</v>
      </c>
      <c r="CV86" s="13">
        <f t="shared" si="95"/>
        <v>56.927839044655265</v>
      </c>
      <c r="CW86" s="20">
        <f t="shared" si="67"/>
        <v>504.93326966944079</v>
      </c>
      <c r="CX86" s="59">
        <f t="shared" si="68"/>
        <v>798.2666030027741</v>
      </c>
      <c r="CY86" s="59">
        <f ca="1">AVERAGE(OFFSET($CX$3,0,0,'Données projet'!$E$13+1,1))-AVERAGE(OFFSET($H$3,0,0,'Données projet'!$E$13+1,1))</f>
        <v>282.08542131880455</v>
      </c>
      <c r="CZ86" s="59">
        <f t="shared" si="96"/>
        <v>174.27503468762325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20.073904255402709</v>
      </c>
      <c r="DG86" s="21">
        <f>EXP(-LN(2)/25)*DG85+(1-EXP(-LN(2)/25))/(LN(2)/25)*Calculateur!DB86*Calculateur!DD86*VLOOKUP('Données projet'!$B$13,Paramètres!$A$1:$I$89,3,0)*0.475*44/12</f>
        <v>32.020865266075319</v>
      </c>
      <c r="DH86" s="21">
        <f>EXP(-LN(2)/2)*DH85+(1-EXP(-LN(2)/2))/(LN(2)/2)*DB86*DE86*VLOOKUP('Données projet'!$B$13,Paramètres!$A$1:$I$89,3,0)*0.475*44/12</f>
        <v>6.1752215222362304E-6</v>
      </c>
      <c r="DI86" s="22">
        <f t="shared" si="69"/>
        <v>52.09477569669955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5.6843418860808015E-14</v>
      </c>
      <c r="DP86" s="17">
        <f>DO86*VLOOKUP('Données projet'!$B$14,Paramètres!$A$1:$I$89,3,0)*VLOOKUP('Données projet'!$B$14,Paramètres!$A$1:$I$89,5,0)</f>
        <v>4.6111381379887463E-14</v>
      </c>
      <c r="DQ86" s="13">
        <f t="shared" si="97"/>
        <v>7.5804141040779151E-13</v>
      </c>
      <c r="DR86" s="20">
        <f t="shared" si="70"/>
        <v>1.4005661123635408E-12</v>
      </c>
      <c r="DS86" s="59">
        <f t="shared" si="71"/>
        <v>293.33333333333474</v>
      </c>
      <c r="DT86" s="59">
        <f ca="1">AVERAGE(OFFSET($DS$3,0,0,'Données projet'!$E$14+1,1))-AVERAGE(OFFSET($H$3,0,0,'Données projet'!$E$14+1,1))</f>
        <v>235.31102883830971</v>
      </c>
      <c r="DU86" s="59">
        <f t="shared" si="98"/>
        <v>271.48630853790422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53.42821724628952</v>
      </c>
      <c r="EB86" s="21">
        <f>EXP(-LN(2)/25)*EB85+(1-EXP(-LN(2)/25))/(LN(2)/25)*Calculateur!DW86*Calculateur!DY86*VLOOKUP('Données projet'!$B$14,Paramètres!$A$1:$I$89,3,0)*0.475*44/12</f>
        <v>71.818116896919932</v>
      </c>
      <c r="EC86" s="21">
        <f>EXP(-LN(2)/2)*EC85+(1-EXP(-LN(2)/2))/(LN(2)/2)*DW86*DZ86*VLOOKUP('Données projet'!$B$14,Paramètres!$A$1:$I$89,3,0)*0.475*44/12</f>
        <v>7.4517679307935673E-6</v>
      </c>
      <c r="ED86" s="22">
        <f t="shared" si="72"/>
        <v>125.24634159497738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-1.2505552149377763E-12</v>
      </c>
      <c r="O87" s="13">
        <f>N87*VLOOKUP('Données projet'!$B$9,Paramètres!$A$1:$I$89,3,0)*VLOOKUP('Données projet'!$B$9,Paramètres!$A$1:$I$89,5,0)</f>
        <v>-6.9906036515021697E-13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446.28010102877403</v>
      </c>
      <c r="T87" s="59">
        <f t="shared" si="88"/>
        <v>445.84011537290456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3.9193550375799888</v>
      </c>
      <c r="AA87" s="21">
        <f>EXP(-LN(2)/25)*AA86+(1-EXP(-LN(2)/25))/(LN(2)/25)*Calculateur!V87*Calculateur!X87*VLOOKUP('Données projet'!$B$9,Paramètres!$A$1:$I$89,3,0)*0.475*44/12</f>
        <v>8.672660944606795</v>
      </c>
      <c r="AB87" s="21">
        <f>EXP(-LN(2)/2)*AB86+(1-EXP(-LN(2)/2))/(LN(2)/2)*V87*Y87*VLOOKUP('Données projet'!$B$9,Paramètres!$A$1:$I$89,3,0)*0.475*44/12</f>
        <v>2.7173676606293094E-7</v>
      </c>
      <c r="AC87" s="22">
        <f t="shared" si="57"/>
        <v>12.59201625392355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17.5</v>
      </c>
      <c r="AI87" s="13">
        <f>IF('Données projet'!$A$62&gt;35,AI86+AH87-AQ86,IF(A87&lt;'Données projet'!$A$62,$AF$205^A87,IF(A87='Données projet'!$A$62,'Données projet'!$B$62,AI86+AH87-AQ86)))</f>
        <v>519.59999999999991</v>
      </c>
      <c r="AJ87" s="13">
        <f>AI87*VLOOKUP('Données projet'!$B$10,Paramètres!$A$1:$I$89,3,0)*VLOOKUP('Données projet'!$B$10,Paramètres!$A$1:$I$89,5,0)</f>
        <v>243.17279999999994</v>
      </c>
      <c r="AK87" s="13">
        <f t="shared" si="89"/>
        <v>59.121651195612671</v>
      </c>
      <c r="AL87" s="20">
        <f t="shared" si="58"/>
        <v>526.49616916569187</v>
      </c>
      <c r="AM87" s="59">
        <f t="shared" si="59"/>
        <v>819.82950249902524</v>
      </c>
      <c r="AN87" s="59">
        <f ca="1">AVERAGE(OFFSET($AM$3,0,0,'Données projet'!$E$10+1,1))-AVERAGE(OFFSET($H$3,0,0,'Données projet'!$E$10+1,1))</f>
        <v>252.98248842635206</v>
      </c>
      <c r="AO87" s="59">
        <f t="shared" si="90"/>
        <v>207.11938580878308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1.0758043628068381</v>
      </c>
      <c r="AV87" s="21">
        <f>EXP(-LN(2)/25)*AV86+(1-EXP(-LN(2)/25))/(LN(2)/25)*Calculateur!AQ87*Calculateur!AS87*VLOOKUP('Données projet'!$B$10,Paramètres!$A$1:$I$89,3,0)*0.475*44/12</f>
        <v>1.7577093851512371</v>
      </c>
      <c r="AW87" s="21">
        <f>EXP(-LN(2)/2)*AW86+(1-EXP(-LN(2)/2))/(LN(2)/2)*AQ87*AT87*VLOOKUP('Données projet'!$B$10,Paramètres!$A$1:$I$89,3,0)*0.475*44/12</f>
        <v>7.3255423309624135E-8</v>
      </c>
      <c r="AX87" s="21">
        <f t="shared" si="60"/>
        <v>2.8335138212134985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4.3</v>
      </c>
      <c r="BD87" s="12">
        <f>IF('Données projet'!$A$88&gt;35,BD86+BC87-BL86,IF(A87&lt;'Données projet'!$A$88,$BA$205^A87,IF(A87='Données projet'!$A$88,'Données projet'!$B$88,BD86+BC87-BL86)))</f>
        <v>195.20000000000002</v>
      </c>
      <c r="BE87" s="13">
        <f>BD87*VLOOKUP('Données projet'!$B$11,Paramètres!$A$1:$I$89,3,0)*VLOOKUP('Données projet'!$B$11,Paramètres!$A$1:$I$89,5,0)</f>
        <v>127.89504000000002</v>
      </c>
      <c r="BF87" s="13">
        <f t="shared" si="91"/>
        <v>33.509503727991913</v>
      </c>
      <c r="BG87" s="20">
        <f t="shared" si="61"/>
        <v>281.11291365958601</v>
      </c>
      <c r="BH87" s="59">
        <f t="shared" si="62"/>
        <v>574.44624699291933</v>
      </c>
      <c r="BI87" s="59">
        <f ca="1">AVERAGE(OFFSET($BH$3,0,0,'Données projet'!$E$11+1,1))-AVERAGE(OFFSET($H$3,0,0,'Données projet'!$E$11+1,1))</f>
        <v>114.23168847330004</v>
      </c>
      <c r="BJ87" s="59">
        <f t="shared" si="92"/>
        <v>42.34857998136755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4.3</v>
      </c>
      <c r="BY87" s="12">
        <f>IF('Données projet'!$A$114&gt;35,BY86+BX87-CG86,IF(A87&lt;'Données projet'!$A$114,$BV$205^A87,IF(A87='Données projet'!$A$114,'Données projet'!$B$114,BY86+BX87-CG86)))</f>
        <v>195.20000000000002</v>
      </c>
      <c r="BZ87" s="13">
        <f>BY87*VLOOKUP('Données projet'!$B$12,Paramètres!$A$1:$I$89,3,0)*VLOOKUP('Données projet'!$B$12,Paramètres!$A$1:$I$89,5,0)</f>
        <v>188.79744000000002</v>
      </c>
      <c r="CA87" s="13">
        <f t="shared" si="93"/>
        <v>47.27398574167259</v>
      </c>
      <c r="CB87" s="20">
        <f t="shared" si="64"/>
        <v>411.15773316674648</v>
      </c>
      <c r="CC87" s="59">
        <f t="shared" si="65"/>
        <v>704.4910665000798</v>
      </c>
      <c r="CD87" s="59">
        <f ca="1">AVERAGE(OFFSET($CC$3,0,0,'Données projet'!$E$12+1,1))-AVERAGE(OFFSET($H$3,0,0,'Données projet'!$E$12+1,1))</f>
        <v>201.36664523637006</v>
      </c>
      <c r="CE87" s="59">
        <f t="shared" si="94"/>
        <v>79.394119001888555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21.137326734661517</v>
      </c>
      <c r="CM87" s="21">
        <f>EXP(-LN(2)/2)*CM86+(1-EXP(-LN(2)/2))/(LN(2)/2)*CG87*CJ87*VLOOKUP('Données projet'!$B$12,Paramètres!$A$1:$I$89,3,0)*0.475*44/12</f>
        <v>2.9372738908256235E-6</v>
      </c>
      <c r="CN87" s="22">
        <f t="shared" si="66"/>
        <v>21.137329671935408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5.5</v>
      </c>
      <c r="CT87" s="12">
        <f>IF('Données projet'!$A$140&gt;35,CT86+CS87-DB86,IF(A87&lt;'Données projet'!$A$140,$CQ$205^A87,IF(A87='Données projet'!$A$140,'Données projet'!$B$140,CT86+CS87-DB86)))</f>
        <v>262.99999999999977</v>
      </c>
      <c r="CU87" s="17">
        <f>CT87*VLOOKUP('Données projet'!$B$13,Paramètres!$A$1:$I$89,3,0)*VLOOKUP('Données projet'!$B$13,Paramètres!$A$1:$I$89,5,0)</f>
        <v>237.96239999999977</v>
      </c>
      <c r="CV87" s="13">
        <f t="shared" si="95"/>
        <v>58.0009136076633</v>
      </c>
      <c r="CW87" s="20">
        <f t="shared" si="67"/>
        <v>515.46943786667975</v>
      </c>
      <c r="CX87" s="59">
        <f t="shared" si="68"/>
        <v>808.80277120001301</v>
      </c>
      <c r="CY87" s="59">
        <f ca="1">AVERAGE(OFFSET($CX$3,0,0,'Données projet'!$E$13+1,1))-AVERAGE(OFFSET($H$3,0,0,'Données projet'!$E$13+1,1))</f>
        <v>282.08542131880455</v>
      </c>
      <c r="CZ87" s="59">
        <f t="shared" si="96"/>
        <v>174.27503468762325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19.680267236826875</v>
      </c>
      <c r="DG87" s="21">
        <f>EXP(-LN(2)/25)*DG86+(1-EXP(-LN(2)/25))/(LN(2)/25)*Calculateur!DB87*Calculateur!DD87*VLOOKUP('Données projet'!$B$13,Paramètres!$A$1:$I$89,3,0)*0.475*44/12</f>
        <v>31.145253021470371</v>
      </c>
      <c r="DH87" s="21">
        <f>EXP(-LN(2)/2)*DH86+(1-EXP(-LN(2)/2))/(LN(2)/2)*DB87*DE87*VLOOKUP('Données projet'!$B$13,Paramètres!$A$1:$I$89,3,0)*0.475*44/12</f>
        <v>4.366541013702353E-6</v>
      </c>
      <c r="DI87" s="22">
        <f t="shared" si="69"/>
        <v>50.825524624838259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5.6843418860808015E-14</v>
      </c>
      <c r="DP87" s="17">
        <f>DO87*VLOOKUP('Données projet'!$B$14,Paramètres!$A$1:$I$89,3,0)*VLOOKUP('Données projet'!$B$14,Paramètres!$A$1:$I$89,5,0)</f>
        <v>4.6111381379887463E-14</v>
      </c>
      <c r="DQ87" s="13">
        <f t="shared" si="97"/>
        <v>7.5804141040779151E-13</v>
      </c>
      <c r="DR87" s="20">
        <f t="shared" si="70"/>
        <v>1.4005661123635408E-12</v>
      </c>
      <c r="DS87" s="59">
        <f t="shared" si="71"/>
        <v>293.33333333333474</v>
      </c>
      <c r="DT87" s="59">
        <f ca="1">AVERAGE(OFFSET($DS$3,0,0,'Données projet'!$E$14+1,1))-AVERAGE(OFFSET($H$3,0,0,'Données projet'!$E$14+1,1))</f>
        <v>235.31102883830971</v>
      </c>
      <c r="DU87" s="59">
        <f t="shared" si="98"/>
        <v>271.48630853790422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52.380522494084509</v>
      </c>
      <c r="EB87" s="21">
        <f>EXP(-LN(2)/25)*EB86+(1-EXP(-LN(2)/25))/(LN(2)/25)*Calculateur!DW87*Calculateur!DY87*VLOOKUP('Données projet'!$B$14,Paramètres!$A$1:$I$89,3,0)*0.475*44/12</f>
        <v>69.854246713623027</v>
      </c>
      <c r="EC87" s="21">
        <f>EXP(-LN(2)/2)*EC86+(1-EXP(-LN(2)/2))/(LN(2)/2)*DW87*DZ87*VLOOKUP('Données projet'!$B$14,Paramètres!$A$1:$I$89,3,0)*0.475*44/12</f>
        <v>5.2691956356925797E-6</v>
      </c>
      <c r="ED87" s="22">
        <f t="shared" si="72"/>
        <v>122.23477447690317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-1.2505552149377763E-12</v>
      </c>
      <c r="O88" s="13">
        <f>N88*VLOOKUP('Données projet'!$B$9,Paramètres!$A$1:$I$89,3,0)*VLOOKUP('Données projet'!$B$9,Paramètres!$A$1:$I$89,5,0)</f>
        <v>-6.9906036515021697E-13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446.28010102877403</v>
      </c>
      <c r="T88" s="59">
        <f t="shared" si="88"/>
        <v>445.84011537290456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3.8424988758635688</v>
      </c>
      <c r="AA88" s="21">
        <f>EXP(-LN(2)/25)*AA87+(1-EXP(-LN(2)/25))/(LN(2)/25)*Calculateur!V88*Calculateur!X88*VLOOKUP('Données projet'!$B$9,Paramètres!$A$1:$I$89,3,0)*0.475*44/12</f>
        <v>8.4355065750011047</v>
      </c>
      <c r="AB88" s="21">
        <f>EXP(-LN(2)/2)*AB87+(1-EXP(-LN(2)/2))/(LN(2)/2)*V88*Y88*VLOOKUP('Données projet'!$B$9,Paramètres!$A$1:$I$89,3,0)*0.475*44/12</f>
        <v>1.9214690998080096E-7</v>
      </c>
      <c r="AC88" s="22">
        <f t="shared" si="57"/>
        <v>12.278005643011584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17.5</v>
      </c>
      <c r="AI88" s="13">
        <f>IF('Données projet'!$A$62&gt;35,AI87+AH88-AQ87,IF(A88&lt;'Données projet'!$A$62,$AF$205^A88,IF(A88='Données projet'!$A$62,'Données projet'!$B$62,AI87+AH88-AQ87)))</f>
        <v>537.09999999999991</v>
      </c>
      <c r="AJ88" s="13">
        <f>AI88*VLOOKUP('Données projet'!$B$10,Paramètres!$A$1:$I$89,3,0)*VLOOKUP('Données projet'!$B$10,Paramètres!$A$1:$I$89,5,0)</f>
        <v>251.36279999999996</v>
      </c>
      <c r="AK88" s="13">
        <f t="shared" si="89"/>
        <v>60.877671564837158</v>
      </c>
      <c r="AL88" s="20">
        <f t="shared" si="58"/>
        <v>543.81882130875795</v>
      </c>
      <c r="AM88" s="59">
        <f t="shared" si="59"/>
        <v>837.15215464209132</v>
      </c>
      <c r="AN88" s="59">
        <f ca="1">AVERAGE(OFFSET($AM$3,0,0,'Données projet'!$E$10+1,1))-AVERAGE(OFFSET($H$3,0,0,'Données projet'!$E$10+1,1))</f>
        <v>252.98248842635206</v>
      </c>
      <c r="AO88" s="59">
        <f t="shared" si="90"/>
        <v>207.11938580878308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1.0547084954280654</v>
      </c>
      <c r="AV88" s="21">
        <f>EXP(-LN(2)/25)*AV87+(1-EXP(-LN(2)/25))/(LN(2)/25)*Calculateur!AQ88*Calculateur!AS88*VLOOKUP('Données projet'!$B$10,Paramètres!$A$1:$I$89,3,0)*0.475*44/12</f>
        <v>1.7096447295803572</v>
      </c>
      <c r="AW88" s="21">
        <f>EXP(-LN(2)/2)*AW87+(1-EXP(-LN(2)/2))/(LN(2)/2)*AQ88*AT88*VLOOKUP('Données projet'!$B$10,Paramètres!$A$1:$I$89,3,0)*0.475*44/12</f>
        <v>5.1799406580926307E-8</v>
      </c>
      <c r="AX88" s="21">
        <f t="shared" si="60"/>
        <v>2.7643532768078289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4.3</v>
      </c>
      <c r="BD88" s="12">
        <f>IF('Données projet'!$A$88&gt;35,BD87+BC88-BL87,IF(A88&lt;'Données projet'!$A$88,$BA$205^A88,IF(A88='Données projet'!$A$88,'Données projet'!$B$88,BD87+BC88-BL87)))</f>
        <v>199.50000000000003</v>
      </c>
      <c r="BE88" s="13">
        <f>BD88*VLOOKUP('Données projet'!$B$11,Paramètres!$A$1:$I$89,3,0)*VLOOKUP('Données projet'!$B$11,Paramètres!$A$1:$I$89,5,0)</f>
        <v>130.7124</v>
      </c>
      <c r="BF88" s="13">
        <f t="shared" si="91"/>
        <v>34.160921660966139</v>
      </c>
      <c r="BG88" s="20">
        <f t="shared" si="61"/>
        <v>287.15436855951606</v>
      </c>
      <c r="BH88" s="59">
        <f t="shared" si="62"/>
        <v>580.48770189284937</v>
      </c>
      <c r="BI88" s="59">
        <f ca="1">AVERAGE(OFFSET($BH$3,0,0,'Données projet'!$E$11+1,1))-AVERAGE(OFFSET($H$3,0,0,'Données projet'!$E$11+1,1))</f>
        <v>114.23168847330004</v>
      </c>
      <c r="BJ88" s="59">
        <f t="shared" si="92"/>
        <v>42.34857998136755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4.3</v>
      </c>
      <c r="BY88" s="12">
        <f>IF('Données projet'!$A$114&gt;35,BY87+BX88-CG87,IF(A88&lt;'Données projet'!$A$114,$BV$205^A88,IF(A88='Données projet'!$A$114,'Données projet'!$B$114,BY87+BX88-CG87)))</f>
        <v>199.50000000000003</v>
      </c>
      <c r="BZ88" s="13">
        <f>BY88*VLOOKUP('Données projet'!$B$12,Paramètres!$A$1:$I$89,3,0)*VLOOKUP('Données projet'!$B$12,Paramètres!$A$1:$I$89,5,0)</f>
        <v>192.95640000000003</v>
      </c>
      <c r="CA88" s="13">
        <f t="shared" si="93"/>
        <v>48.192982403791724</v>
      </c>
      <c r="CB88" s="20">
        <f t="shared" si="64"/>
        <v>420.00184101993727</v>
      </c>
      <c r="CC88" s="59">
        <f t="shared" si="65"/>
        <v>713.33517435327053</v>
      </c>
      <c r="CD88" s="59">
        <f ca="1">AVERAGE(OFFSET($CC$3,0,0,'Données projet'!$E$12+1,1))-AVERAGE(OFFSET($H$3,0,0,'Données projet'!$E$12+1,1))</f>
        <v>201.36664523637006</v>
      </c>
      <c r="CE88" s="59">
        <f t="shared" si="94"/>
        <v>79.394119001888555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20.559325423538496</v>
      </c>
      <c r="CM88" s="21">
        <f>EXP(-LN(2)/2)*CM87+(1-EXP(-LN(2)/2))/(LN(2)/2)*CG88*CJ88*VLOOKUP('Données projet'!$B$12,Paramètres!$A$1:$I$89,3,0)*0.475*44/12</f>
        <v>2.0769662864049932E-6</v>
      </c>
      <c r="CN88" s="22">
        <f t="shared" si="66"/>
        <v>20.559327500504782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5.5</v>
      </c>
      <c r="CT88" s="12">
        <f>IF('Données projet'!$A$140&gt;35,CT87+CS88-DB87,IF(A88&lt;'Données projet'!$A$140,$CQ$205^A88,IF(A88='Données projet'!$A$140,'Données projet'!$B$140,CT87+CS88-DB87)))</f>
        <v>268.49999999999977</v>
      </c>
      <c r="CU88" s="17">
        <f>CT88*VLOOKUP('Données projet'!$B$13,Paramètres!$A$1:$I$89,3,0)*VLOOKUP('Données projet'!$B$13,Paramètres!$A$1:$I$89,5,0)</f>
        <v>242.93879999999976</v>
      </c>
      <c r="CV88" s="13">
        <f t="shared" si="95"/>
        <v>59.071379046151677</v>
      </c>
      <c r="CW88" s="20">
        <f t="shared" si="67"/>
        <v>526.00106183871378</v>
      </c>
      <c r="CX88" s="59">
        <f t="shared" si="68"/>
        <v>819.33439517204715</v>
      </c>
      <c r="CY88" s="59">
        <f ca="1">AVERAGE(OFFSET($CX$3,0,0,'Données projet'!$E$13+1,1))-AVERAGE(OFFSET($H$3,0,0,'Données projet'!$E$13+1,1))</f>
        <v>282.08542131880455</v>
      </c>
      <c r="CZ88" s="59">
        <f t="shared" si="96"/>
        <v>174.27503468762325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19.294349200090441</v>
      </c>
      <c r="DG88" s="21">
        <f>EXP(-LN(2)/25)*DG87+(1-EXP(-LN(2)/25))/(LN(2)/25)*Calculateur!DB88*Calculateur!DD88*VLOOKUP('Données projet'!$B$13,Paramètres!$A$1:$I$89,3,0)*0.475*44/12</f>
        <v>30.293584439740592</v>
      </c>
      <c r="DH88" s="21">
        <f>EXP(-LN(2)/2)*DH87+(1-EXP(-LN(2)/2))/(LN(2)/2)*DB88*DE88*VLOOKUP('Données projet'!$B$13,Paramètres!$A$1:$I$89,3,0)*0.475*44/12</f>
        <v>3.0876107611181152E-6</v>
      </c>
      <c r="DI88" s="22">
        <f t="shared" si="69"/>
        <v>49.5879367274418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5.6843418860808015E-14</v>
      </c>
      <c r="DP88" s="17">
        <f>DO88*VLOOKUP('Données projet'!$B$14,Paramètres!$A$1:$I$89,3,0)*VLOOKUP('Données projet'!$B$14,Paramètres!$A$1:$I$89,5,0)</f>
        <v>4.6111381379887463E-14</v>
      </c>
      <c r="DQ88" s="13">
        <f t="shared" si="97"/>
        <v>7.5804141040779151E-13</v>
      </c>
      <c r="DR88" s="20">
        <f t="shared" si="70"/>
        <v>1.4005661123635408E-12</v>
      </c>
      <c r="DS88" s="59">
        <f t="shared" si="71"/>
        <v>293.33333333333474</v>
      </c>
      <c r="DT88" s="59">
        <f ca="1">AVERAGE(OFFSET($DS$3,0,0,'Données projet'!$E$14+1,1))-AVERAGE(OFFSET($H$3,0,0,'Données projet'!$E$14+1,1))</f>
        <v>235.31102883830971</v>
      </c>
      <c r="DU88" s="59">
        <f t="shared" si="98"/>
        <v>271.48630853790422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51.353372396939534</v>
      </c>
      <c r="EB88" s="21">
        <f>EXP(-LN(2)/25)*EB87+(1-EXP(-LN(2)/25))/(LN(2)/25)*Calculateur!DW88*Calculateur!DY88*VLOOKUP('Données projet'!$B$14,Paramètres!$A$1:$I$89,3,0)*0.475*44/12</f>
        <v>67.944078663763818</v>
      </c>
      <c r="EC88" s="21">
        <f>EXP(-LN(2)/2)*EC87+(1-EXP(-LN(2)/2))/(LN(2)/2)*DW88*DZ88*VLOOKUP('Données projet'!$B$14,Paramètres!$A$1:$I$89,3,0)*0.475*44/12</f>
        <v>3.7258839653967845E-6</v>
      </c>
      <c r="ED88" s="22">
        <f t="shared" si="72"/>
        <v>119.29745478658732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-1.2505552149377763E-12</v>
      </c>
      <c r="O89" s="13">
        <f>N89*VLOOKUP('Données projet'!$B$9,Paramètres!$A$1:$I$89,3,0)*VLOOKUP('Données projet'!$B$9,Paramètres!$A$1:$I$89,5,0)</f>
        <v>-6.9906036515021697E-13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446.28010102877403</v>
      </c>
      <c r="T89" s="59">
        <f t="shared" si="88"/>
        <v>445.84011537290456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3.767149816600778</v>
      </c>
      <c r="AA89" s="21">
        <f>EXP(-LN(2)/25)*AA88+(1-EXP(-LN(2)/25))/(LN(2)/25)*Calculateur!V89*Calculateur!X89*VLOOKUP('Données projet'!$B$9,Paramètres!$A$1:$I$89,3,0)*0.475*44/12</f>
        <v>8.2048372041036881</v>
      </c>
      <c r="AB89" s="21">
        <f>EXP(-LN(2)/2)*AB88+(1-EXP(-LN(2)/2))/(LN(2)/2)*V89*Y89*VLOOKUP('Données projet'!$B$9,Paramètres!$A$1:$I$89,3,0)*0.475*44/12</f>
        <v>1.3586838303146547E-7</v>
      </c>
      <c r="AC89" s="22">
        <f t="shared" si="57"/>
        <v>11.971987156572849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17.5</v>
      </c>
      <c r="AI89" s="13">
        <f>IF('Données projet'!$A$62&gt;35,AI88+AH89-AQ88,IF(A89&lt;'Données projet'!$A$62,$AF$205^A89,IF(A89='Données projet'!$A$62,'Données projet'!$B$62,AI88+AH89-AQ88)))</f>
        <v>554.59999999999991</v>
      </c>
      <c r="AJ89" s="13">
        <f>AI89*VLOOKUP('Données projet'!$B$10,Paramètres!$A$1:$I$89,3,0)*VLOOKUP('Données projet'!$B$10,Paramètres!$A$1:$I$89,5,0)</f>
        <v>259.55279999999993</v>
      </c>
      <c r="AK89" s="13">
        <f t="shared" si="89"/>
        <v>62.627043439399927</v>
      </c>
      <c r="AL89" s="20">
        <f t="shared" si="58"/>
        <v>561.12989399028811</v>
      </c>
      <c r="AM89" s="59">
        <f t="shared" si="59"/>
        <v>854.46322732362137</v>
      </c>
      <c r="AN89" s="59">
        <f ca="1">AVERAGE(OFFSET($AM$3,0,0,'Données projet'!$E$10+1,1))-AVERAGE(OFFSET($H$3,0,0,'Données projet'!$E$10+1,1))</f>
        <v>252.98248842635206</v>
      </c>
      <c r="AO89" s="59">
        <f t="shared" si="90"/>
        <v>207.11938580878308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1.0340263051413818</v>
      </c>
      <c r="AV89" s="21">
        <f>EXP(-LN(2)/25)*AV88+(1-EXP(-LN(2)/25))/(LN(2)/25)*Calculateur!AQ89*Calculateur!AS89*VLOOKUP('Données projet'!$B$10,Paramètres!$A$1:$I$89,3,0)*0.475*44/12</f>
        <v>1.6628944045436733</v>
      </c>
      <c r="AW89" s="21">
        <f>EXP(-LN(2)/2)*AW88+(1-EXP(-LN(2)/2))/(LN(2)/2)*AQ89*AT89*VLOOKUP('Données projet'!$B$10,Paramètres!$A$1:$I$89,3,0)*0.475*44/12</f>
        <v>3.6627711654812067E-8</v>
      </c>
      <c r="AX89" s="21">
        <f t="shared" si="60"/>
        <v>2.6969207463127667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4.3</v>
      </c>
      <c r="BD89" s="12">
        <f>IF('Données projet'!$A$88&gt;35,BD88+BC89-BL88,IF(A89&lt;'Données projet'!$A$88,$BA$205^A89,IF(A89='Données projet'!$A$88,'Données projet'!$B$88,BD88+BC89-BL88)))</f>
        <v>203.80000000000004</v>
      </c>
      <c r="BE89" s="13">
        <f>BD89*VLOOKUP('Données projet'!$B$11,Paramètres!$A$1:$I$89,3,0)*VLOOKUP('Données projet'!$B$11,Paramètres!$A$1:$I$89,5,0)</f>
        <v>133.52976000000004</v>
      </c>
      <c r="BF89" s="13">
        <f t="shared" si="91"/>
        <v>34.810707184454238</v>
      </c>
      <c r="BG89" s="20">
        <f t="shared" si="61"/>
        <v>293.1929803462578</v>
      </c>
      <c r="BH89" s="59">
        <f t="shared" si="62"/>
        <v>586.52631367959111</v>
      </c>
      <c r="BI89" s="59">
        <f ca="1">AVERAGE(OFFSET($BH$3,0,0,'Données projet'!$E$11+1,1))-AVERAGE(OFFSET($H$3,0,0,'Données projet'!$E$11+1,1))</f>
        <v>114.23168847330004</v>
      </c>
      <c r="BJ89" s="59">
        <f t="shared" si="92"/>
        <v>42.34857998136755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4.3</v>
      </c>
      <c r="BY89" s="12">
        <f>IF('Données projet'!$A$114&gt;35,BY88+BX89-CG88,IF(A89&lt;'Données projet'!$A$114,$BV$205^A89,IF(A89='Données projet'!$A$114,'Données projet'!$B$114,BY88+BX89-CG88)))</f>
        <v>203.80000000000004</v>
      </c>
      <c r="BZ89" s="13">
        <f>BY89*VLOOKUP('Données projet'!$B$12,Paramètres!$A$1:$I$89,3,0)*VLOOKUP('Données projet'!$B$12,Paramètres!$A$1:$I$89,5,0)</f>
        <v>197.11536000000004</v>
      </c>
      <c r="CA89" s="13">
        <f t="shared" si="93"/>
        <v>49.109676122143078</v>
      </c>
      <c r="CB89" s="20">
        <f t="shared" si="64"/>
        <v>428.84193791273259</v>
      </c>
      <c r="CC89" s="59">
        <f t="shared" si="65"/>
        <v>722.1752712460659</v>
      </c>
      <c r="CD89" s="59">
        <f ca="1">AVERAGE(OFFSET($CC$3,0,0,'Données projet'!$E$12+1,1))-AVERAGE(OFFSET($H$3,0,0,'Données projet'!$E$12+1,1))</f>
        <v>201.36664523637006</v>
      </c>
      <c r="CE89" s="59">
        <f t="shared" si="94"/>
        <v>79.394119001888555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19.997129588663903</v>
      </c>
      <c r="CM89" s="21">
        <f>EXP(-LN(2)/2)*CM88+(1-EXP(-LN(2)/2))/(LN(2)/2)*CG89*CJ89*VLOOKUP('Données projet'!$B$12,Paramètres!$A$1:$I$89,3,0)*0.475*44/12</f>
        <v>1.4686369454128118E-6</v>
      </c>
      <c r="CN89" s="22">
        <f t="shared" si="66"/>
        <v>19.997131057300848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5.5</v>
      </c>
      <c r="CT89" s="12">
        <f>IF('Données projet'!$A$140&gt;35,CT88+CS89-DB88,IF(A89&lt;'Données projet'!$A$140,$CQ$205^A89,IF(A89='Données projet'!$A$140,'Données projet'!$B$140,CT88+CS89-DB88)))</f>
        <v>273.99999999999977</v>
      </c>
      <c r="CU89" s="17">
        <f>CT89*VLOOKUP('Données projet'!$B$13,Paramètres!$A$1:$I$89,3,0)*VLOOKUP('Données projet'!$B$13,Paramètres!$A$1:$I$89,5,0)</f>
        <v>247.91519999999977</v>
      </c>
      <c r="CV89" s="13">
        <f t="shared" si="95"/>
        <v>60.139294964297406</v>
      </c>
      <c r="CW89" s="20">
        <f t="shared" si="67"/>
        <v>536.52824539615085</v>
      </c>
      <c r="CX89" s="59">
        <f t="shared" si="68"/>
        <v>829.86157872948411</v>
      </c>
      <c r="CY89" s="59">
        <f ca="1">AVERAGE(OFFSET($CX$3,0,0,'Données projet'!$E$13+1,1))-AVERAGE(OFFSET($H$3,0,0,'Données projet'!$E$13+1,1))</f>
        <v>282.08542131880455</v>
      </c>
      <c r="CZ89" s="59">
        <f t="shared" si="96"/>
        <v>174.27503468762325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18.915998780667646</v>
      </c>
      <c r="DG89" s="21">
        <f>EXP(-LN(2)/25)*DG88+(1-EXP(-LN(2)/25))/(LN(2)/25)*Calculateur!DB89*Calculateur!DD89*VLOOKUP('Données projet'!$B$13,Paramètres!$A$1:$I$89,3,0)*0.475*44/12</f>
        <v>29.465204780165518</v>
      </c>
      <c r="DH89" s="21">
        <f>EXP(-LN(2)/2)*DH88+(1-EXP(-LN(2)/2))/(LN(2)/2)*DB89*DE89*VLOOKUP('Données projet'!$B$13,Paramètres!$A$1:$I$89,3,0)*0.475*44/12</f>
        <v>2.1832705068511765E-6</v>
      </c>
      <c r="DI89" s="22">
        <f t="shared" si="69"/>
        <v>48.381205744103674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5.6843418860808015E-14</v>
      </c>
      <c r="DP89" s="17">
        <f>DO89*VLOOKUP('Données projet'!$B$14,Paramètres!$A$1:$I$89,3,0)*VLOOKUP('Données projet'!$B$14,Paramètres!$A$1:$I$89,5,0)</f>
        <v>4.6111381379887463E-14</v>
      </c>
      <c r="DQ89" s="13">
        <f t="shared" si="97"/>
        <v>7.5804141040779151E-13</v>
      </c>
      <c r="DR89" s="20">
        <f t="shared" si="70"/>
        <v>1.4005661123635408E-12</v>
      </c>
      <c r="DS89" s="59">
        <f t="shared" si="71"/>
        <v>293.33333333333474</v>
      </c>
      <c r="DT89" s="59">
        <f ca="1">AVERAGE(OFFSET($DS$3,0,0,'Données projet'!$E$14+1,1))-AVERAGE(OFFSET($H$3,0,0,'Données projet'!$E$14+1,1))</f>
        <v>235.31102883830971</v>
      </c>
      <c r="DU89" s="59">
        <f t="shared" si="98"/>
        <v>271.48630853790422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50.346364086699879</v>
      </c>
      <c r="EB89" s="21">
        <f>EXP(-LN(2)/25)*EB88+(1-EXP(-LN(2)/25))/(LN(2)/25)*Calculateur!DW89*Calculateur!DY89*VLOOKUP('Données projet'!$B$14,Paramètres!$A$1:$I$89,3,0)*0.475*44/12</f>
        <v>66.086144259679386</v>
      </c>
      <c r="EC89" s="21">
        <f>EXP(-LN(2)/2)*EC88+(1-EXP(-LN(2)/2))/(LN(2)/2)*DW89*DZ89*VLOOKUP('Données projet'!$B$14,Paramètres!$A$1:$I$89,3,0)*0.475*44/12</f>
        <v>2.6345978178462903E-6</v>
      </c>
      <c r="ED89" s="22">
        <f t="shared" si="72"/>
        <v>116.43251098097709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-1.2505552149377763E-12</v>
      </c>
      <c r="O90" s="13">
        <f>N90*VLOOKUP('Données projet'!$B$9,Paramètres!$A$1:$I$89,3,0)*VLOOKUP('Données projet'!$B$9,Paramètres!$A$1:$I$89,5,0)</f>
        <v>-6.9906036515021697E-13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446.28010102877403</v>
      </c>
      <c r="T90" s="59">
        <f t="shared" si="88"/>
        <v>445.84011537290456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3.6932783064317425</v>
      </c>
      <c r="AA90" s="21">
        <f>EXP(-LN(2)/25)*AA89+(1-EXP(-LN(2)/25))/(LN(2)/25)*Calculateur!V90*Calculateur!X90*VLOOKUP('Données projet'!$B$9,Paramètres!$A$1:$I$89,3,0)*0.475*44/12</f>
        <v>7.9804754992838367</v>
      </c>
      <c r="AB90" s="21">
        <f>EXP(-LN(2)/2)*AB89+(1-EXP(-LN(2)/2))/(LN(2)/2)*V90*Y90*VLOOKUP('Données projet'!$B$9,Paramètres!$A$1:$I$89,3,0)*0.475*44/12</f>
        <v>9.6073454990400482E-8</v>
      </c>
      <c r="AC90" s="22">
        <f t="shared" si="57"/>
        <v>11.673753901789034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17.5</v>
      </c>
      <c r="AI90" s="13">
        <f>IF('Données projet'!$A$62&gt;35,AI89+AH90-AQ89,IF(A90&lt;'Données projet'!$A$62,$AF$205^A90,IF(A90='Données projet'!$A$62,'Données projet'!$B$62,AI89+AH90-AQ89)))</f>
        <v>572.09999999999991</v>
      </c>
      <c r="AJ90" s="13">
        <f>AI90*VLOOKUP('Données projet'!$B$10,Paramètres!$A$1:$I$89,3,0)*VLOOKUP('Données projet'!$B$10,Paramètres!$A$1:$I$89,5,0)</f>
        <v>267.74279999999993</v>
      </c>
      <c r="AK90" s="13">
        <f t="shared" si="89"/>
        <v>64.370000676259949</v>
      </c>
      <c r="AL90" s="20">
        <f t="shared" si="58"/>
        <v>578.42979451115264</v>
      </c>
      <c r="AM90" s="59">
        <f t="shared" si="59"/>
        <v>871.76312784448601</v>
      </c>
      <c r="AN90" s="59">
        <f ca="1">AVERAGE(OFFSET($AM$3,0,0,'Données projet'!$E$10+1,1))-AVERAGE(OFFSET($H$3,0,0,'Données projet'!$E$10+1,1))</f>
        <v>252.98248842635206</v>
      </c>
      <c r="AO90" s="59">
        <f t="shared" si="90"/>
        <v>207.11938580878308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1.0137496799913297</v>
      </c>
      <c r="AV90" s="21">
        <f>EXP(-LN(2)/25)*AV89+(1-EXP(-LN(2)/25))/(LN(2)/25)*Calculateur!AQ90*Calculateur!AS90*VLOOKUP('Données projet'!$B$10,Paramètres!$A$1:$I$89,3,0)*0.475*44/12</f>
        <v>1.6174224696036104</v>
      </c>
      <c r="AW90" s="21">
        <f>EXP(-LN(2)/2)*AW89+(1-EXP(-LN(2)/2))/(LN(2)/2)*AQ90*AT90*VLOOKUP('Données projet'!$B$10,Paramètres!$A$1:$I$89,3,0)*0.475*44/12</f>
        <v>2.5899703290463154E-8</v>
      </c>
      <c r="AX90" s="21">
        <f t="shared" si="60"/>
        <v>2.6311721754946436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4.3</v>
      </c>
      <c r="BD90" s="12">
        <f>IF('Données projet'!$A$88&gt;35,BD89+BC90-BL89,IF(A90&lt;'Données projet'!$A$88,$BA$205^A90,IF(A90='Données projet'!$A$88,'Données projet'!$B$88,BD89+BC90-BL89)))</f>
        <v>208.10000000000005</v>
      </c>
      <c r="BE90" s="13">
        <f>BD90*VLOOKUP('Données projet'!$B$11,Paramètres!$A$1:$I$89,3,0)*VLOOKUP('Données projet'!$B$11,Paramètres!$A$1:$I$89,5,0)</f>
        <v>136.34712000000002</v>
      </c>
      <c r="BF90" s="13">
        <f t="shared" si="91"/>
        <v>35.458898708525751</v>
      </c>
      <c r="BG90" s="20">
        <f t="shared" si="61"/>
        <v>299.22881591734904</v>
      </c>
      <c r="BH90" s="59">
        <f t="shared" si="62"/>
        <v>592.5621492506823</v>
      </c>
      <c r="BI90" s="59">
        <f ca="1">AVERAGE(OFFSET($BH$3,0,0,'Données projet'!$E$11+1,1))-AVERAGE(OFFSET($H$3,0,0,'Données projet'!$E$11+1,1))</f>
        <v>114.23168847330004</v>
      </c>
      <c r="BJ90" s="59">
        <f t="shared" si="92"/>
        <v>42.34857998136755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4.3</v>
      </c>
      <c r="BY90" s="12">
        <f>IF('Données projet'!$A$114&gt;35,BY89+BX90-CG89,IF(A90&lt;'Données projet'!$A$114,$BV$205^A90,IF(A90='Données projet'!$A$114,'Données projet'!$B$114,BY89+BX90-CG89)))</f>
        <v>208.10000000000005</v>
      </c>
      <c r="BZ90" s="13">
        <f>BY90*VLOOKUP('Données projet'!$B$12,Paramètres!$A$1:$I$89,3,0)*VLOOKUP('Données projet'!$B$12,Paramètres!$A$1:$I$89,5,0)</f>
        <v>201.27432000000005</v>
      </c>
      <c r="CA90" s="13">
        <f t="shared" si="93"/>
        <v>50.024121084251973</v>
      </c>
      <c r="CB90" s="20">
        <f t="shared" si="64"/>
        <v>437.67811822173894</v>
      </c>
      <c r="CC90" s="59">
        <f t="shared" si="65"/>
        <v>731.0114515550722</v>
      </c>
      <c r="CD90" s="59">
        <f ca="1">AVERAGE(OFFSET($CC$3,0,0,'Données projet'!$E$12+1,1))-AVERAGE(OFFSET($H$3,0,0,'Données projet'!$E$12+1,1))</f>
        <v>201.36664523637006</v>
      </c>
      <c r="CE90" s="59">
        <f t="shared" si="94"/>
        <v>79.394119001888555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19.450307028458546</v>
      </c>
      <c r="CM90" s="21">
        <f>EXP(-LN(2)/2)*CM89+(1-EXP(-LN(2)/2))/(LN(2)/2)*CG90*CJ90*VLOOKUP('Données projet'!$B$12,Paramètres!$A$1:$I$89,3,0)*0.475*44/12</f>
        <v>1.0384831432024966E-6</v>
      </c>
      <c r="CN90" s="22">
        <f t="shared" si="66"/>
        <v>19.450308066941691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5.5</v>
      </c>
      <c r="CT90" s="12">
        <f>IF('Données projet'!$A$140&gt;35,CT89+CS90-DB89,IF(A90&lt;'Données projet'!$A$140,$CQ$205^A90,IF(A90='Données projet'!$A$140,'Données projet'!$B$140,CT89+CS90-DB89)))</f>
        <v>279.49999999999977</v>
      </c>
      <c r="CU90" s="17">
        <f>CT90*VLOOKUP('Données projet'!$B$13,Paramètres!$A$1:$I$89,3,0)*VLOOKUP('Données projet'!$B$13,Paramètres!$A$1:$I$89,5,0)</f>
        <v>252.89159999999976</v>
      </c>
      <c r="CV90" s="13">
        <f t="shared" si="95"/>
        <v>61.204718436590262</v>
      </c>
      <c r="CW90" s="20">
        <f t="shared" si="67"/>
        <v>547.05108794372757</v>
      </c>
      <c r="CX90" s="59">
        <f t="shared" si="68"/>
        <v>840.38442127706094</v>
      </c>
      <c r="CY90" s="59">
        <f ca="1">AVERAGE(OFFSET($CX$3,0,0,'Données projet'!$E$13+1,1))-AVERAGE(OFFSET($H$3,0,0,'Données projet'!$E$13+1,1))</f>
        <v>282.08542131880455</v>
      </c>
      <c r="CZ90" s="59">
        <f t="shared" si="96"/>
        <v>174.27503468762325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18.545067582198765</v>
      </c>
      <c r="DG90" s="21">
        <f>EXP(-LN(2)/25)*DG89+(1-EXP(-LN(2)/25))/(LN(2)/25)*Calculateur!DB90*Calculateur!DD90*VLOOKUP('Données projet'!$B$13,Paramètres!$A$1:$I$89,3,0)*0.475*44/12</f>
        <v>28.659477205944118</v>
      </c>
      <c r="DH90" s="21">
        <f>EXP(-LN(2)/2)*DH89+(1-EXP(-LN(2)/2))/(LN(2)/2)*DB90*DE90*VLOOKUP('Données projet'!$B$13,Paramètres!$A$1:$I$89,3,0)*0.475*44/12</f>
        <v>1.5438053805590576E-6</v>
      </c>
      <c r="DI90" s="22">
        <f t="shared" si="69"/>
        <v>47.204546331948265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5.6843418860808015E-14</v>
      </c>
      <c r="DP90" s="17">
        <f>DO90*VLOOKUP('Données projet'!$B$14,Paramètres!$A$1:$I$89,3,0)*VLOOKUP('Données projet'!$B$14,Paramètres!$A$1:$I$89,5,0)</f>
        <v>4.6111381379887463E-14</v>
      </c>
      <c r="DQ90" s="13">
        <f t="shared" si="97"/>
        <v>7.5804141040779151E-13</v>
      </c>
      <c r="DR90" s="20">
        <f t="shared" si="70"/>
        <v>1.4005661123635408E-12</v>
      </c>
      <c r="DS90" s="59">
        <f t="shared" si="71"/>
        <v>293.33333333333474</v>
      </c>
      <c r="DT90" s="59">
        <f ca="1">AVERAGE(OFFSET($DS$3,0,0,'Données projet'!$E$14+1,1))-AVERAGE(OFFSET($H$3,0,0,'Données projet'!$E$14+1,1))</f>
        <v>235.31102883830971</v>
      </c>
      <c r="DU90" s="59">
        <f t="shared" si="98"/>
        <v>271.48630853790422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49.359102595209599</v>
      </c>
      <c r="EB90" s="21">
        <f>EXP(-LN(2)/25)*EB89+(1-EXP(-LN(2)/25))/(LN(2)/25)*Calculateur!DW90*Calculateur!DY90*VLOOKUP('Données projet'!$B$14,Paramètres!$A$1:$I$89,3,0)*0.475*44/12</f>
        <v>64.279015169579168</v>
      </c>
      <c r="EC90" s="21">
        <f>EXP(-LN(2)/2)*EC89+(1-EXP(-LN(2)/2))/(LN(2)/2)*DW90*DZ90*VLOOKUP('Données projet'!$B$14,Paramètres!$A$1:$I$89,3,0)*0.475*44/12</f>
        <v>1.8629419826983925E-6</v>
      </c>
      <c r="ED90" s="22">
        <f t="shared" si="72"/>
        <v>113.63811962773076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-1.2505552149377763E-12</v>
      </c>
      <c r="O91" s="13">
        <f>N91*VLOOKUP('Données projet'!$B$9,Paramètres!$A$1:$I$89,3,0)*VLOOKUP('Données projet'!$B$9,Paramètres!$A$1:$I$89,5,0)</f>
        <v>-6.9906036515021697E-13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446.28010102877403</v>
      </c>
      <c r="T91" s="59">
        <f t="shared" si="88"/>
        <v>445.84011537290456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3.6208553715199496</v>
      </c>
      <c r="AA91" s="21">
        <f>EXP(-LN(2)/25)*AA90+(1-EXP(-LN(2)/25))/(LN(2)/25)*Calculateur!V91*Calculateur!X91*VLOOKUP('Données projet'!$B$9,Paramètres!$A$1:$I$89,3,0)*0.475*44/12</f>
        <v>7.7622489770809535</v>
      </c>
      <c r="AB91" s="21">
        <f>EXP(-LN(2)/2)*AB90+(1-EXP(-LN(2)/2))/(LN(2)/2)*V91*Y91*VLOOKUP('Données projet'!$B$9,Paramètres!$A$1:$I$89,3,0)*0.475*44/12</f>
        <v>6.7934191515732735E-8</v>
      </c>
      <c r="AC91" s="22">
        <f t="shared" si="57"/>
        <v>11.383104416535094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17.5</v>
      </c>
      <c r="AI91" s="13">
        <f>IF('Données projet'!$A$62&gt;35,AI90+AH91-AQ90,IF(A91&lt;'Données projet'!$A$62,$AF$205^A91,IF(A91='Données projet'!$A$62,'Données projet'!$B$62,AI90+AH91-AQ90)))</f>
        <v>589.59999999999991</v>
      </c>
      <c r="AJ91" s="13">
        <f>AI91*VLOOKUP('Données projet'!$B$10,Paramètres!$A$1:$I$89,3,0)*VLOOKUP('Données projet'!$B$10,Paramètres!$A$1:$I$89,5,0)</f>
        <v>275.93279999999999</v>
      </c>
      <c r="AK91" s="13">
        <f t="shared" si="89"/>
        <v>66.106762012556132</v>
      </c>
      <c r="AL91" s="20">
        <f t="shared" si="58"/>
        <v>595.7189038385352</v>
      </c>
      <c r="AM91" s="59">
        <f t="shared" si="59"/>
        <v>889.05223717186846</v>
      </c>
      <c r="AN91" s="59">
        <f ca="1">AVERAGE(OFFSET($AM$3,0,0,'Données projet'!$E$10+1,1))-AVERAGE(OFFSET($H$3,0,0,'Données projet'!$E$10+1,1))</f>
        <v>252.98248842635206</v>
      </c>
      <c r="AO91" s="59">
        <f t="shared" si="90"/>
        <v>207.11938580878308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0.99387066709294991</v>
      </c>
      <c r="AV91" s="21">
        <f>EXP(-LN(2)/25)*AV90+(1-EXP(-LN(2)/25))/(LN(2)/25)*Calculateur!AQ91*Calculateur!AS91*VLOOKUP('Données projet'!$B$10,Paramètres!$A$1:$I$89,3,0)*0.475*44/12</f>
        <v>1.5731939671157487</v>
      </c>
      <c r="AW91" s="21">
        <f>EXP(-LN(2)/2)*AW90+(1-EXP(-LN(2)/2))/(LN(2)/2)*AQ91*AT91*VLOOKUP('Données projet'!$B$10,Paramètres!$A$1:$I$89,3,0)*0.475*44/12</f>
        <v>1.8313855827406034E-8</v>
      </c>
      <c r="AX91" s="21">
        <f t="shared" si="60"/>
        <v>2.5670646525225544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4.3</v>
      </c>
      <c r="BD91" s="12">
        <f>IF('Données projet'!$A$88&gt;35,BD90+BC91-BL90,IF(A91&lt;'Données projet'!$A$88,$BA$205^A91,IF(A91='Données projet'!$A$88,'Données projet'!$B$88,BD90+BC91-BL90)))</f>
        <v>212.40000000000006</v>
      </c>
      <c r="BE91" s="13">
        <f>BD91*VLOOKUP('Données projet'!$B$11,Paramètres!$A$1:$I$89,3,0)*VLOOKUP('Données projet'!$B$11,Paramètres!$A$1:$I$89,5,0)</f>
        <v>139.16448000000005</v>
      </c>
      <c r="BF91" s="13">
        <f t="shared" si="91"/>
        <v>36.10553296518146</v>
      </c>
      <c r="BG91" s="20">
        <f t="shared" si="61"/>
        <v>305.26193924769115</v>
      </c>
      <c r="BH91" s="59">
        <f t="shared" si="62"/>
        <v>598.59527258102446</v>
      </c>
      <c r="BI91" s="59">
        <f ca="1">AVERAGE(OFFSET($BH$3,0,0,'Données projet'!$E$11+1,1))-AVERAGE(OFFSET($H$3,0,0,'Données projet'!$E$11+1,1))</f>
        <v>114.23168847330004</v>
      </c>
      <c r="BJ91" s="59">
        <f t="shared" si="92"/>
        <v>42.34857998136755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4.3</v>
      </c>
      <c r="BY91" s="12">
        <f>IF('Données projet'!$A$114&gt;35,BY90+BX91-CG90,IF(A91&lt;'Données projet'!$A$114,$BV$205^A91,IF(A91='Données projet'!$A$114,'Données projet'!$B$114,BY90+BX91-CG90)))</f>
        <v>212.40000000000006</v>
      </c>
      <c r="BZ91" s="13">
        <f>BY91*VLOOKUP('Données projet'!$B$12,Paramètres!$A$1:$I$89,3,0)*VLOOKUP('Données projet'!$B$12,Paramètres!$A$1:$I$89,5,0)</f>
        <v>205.43328000000008</v>
      </c>
      <c r="CA91" s="13">
        <f t="shared" si="93"/>
        <v>50.93636911028532</v>
      </c>
      <c r="CB91" s="20">
        <f t="shared" si="64"/>
        <v>446.51047220041374</v>
      </c>
      <c r="CC91" s="59">
        <f t="shared" si="65"/>
        <v>739.84380553374706</v>
      </c>
      <c r="CD91" s="59">
        <f ca="1">AVERAGE(OFFSET($CC$3,0,0,'Données projet'!$E$12+1,1))-AVERAGE(OFFSET($H$3,0,0,'Données projet'!$E$12+1,1))</f>
        <v>201.36664523637006</v>
      </c>
      <c r="CE91" s="59">
        <f t="shared" si="94"/>
        <v>79.394119001888555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18.918437359918155</v>
      </c>
      <c r="CM91" s="21">
        <f>EXP(-LN(2)/2)*CM90+(1-EXP(-LN(2)/2))/(LN(2)/2)*CG91*CJ91*VLOOKUP('Données projet'!$B$12,Paramètres!$A$1:$I$89,3,0)*0.475*44/12</f>
        <v>7.3431847270640588E-7</v>
      </c>
      <c r="CN91" s="22">
        <f t="shared" si="66"/>
        <v>18.918438094236627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5.5</v>
      </c>
      <c r="CT91" s="12">
        <f>IF('Données projet'!$A$140&gt;35,CT90+CS91-DB90,IF(A91&lt;'Données projet'!$A$140,$CQ$205^A91,IF(A91='Données projet'!$A$140,'Données projet'!$B$140,CT90+CS91-DB90)))</f>
        <v>284.99999999999977</v>
      </c>
      <c r="CU91" s="17">
        <f>CT91*VLOOKUP('Données projet'!$B$13,Paramètres!$A$1:$I$89,3,0)*VLOOKUP('Données projet'!$B$13,Paramètres!$A$1:$I$89,5,0)</f>
        <v>257.86799999999982</v>
      </c>
      <c r="CV91" s="13">
        <f t="shared" si="95"/>
        <v>62.267704162827471</v>
      </c>
      <c r="CW91" s="20">
        <f t="shared" si="67"/>
        <v>557.56968475025758</v>
      </c>
      <c r="CX91" s="59">
        <f t="shared" si="68"/>
        <v>850.90301808359095</v>
      </c>
      <c r="CY91" s="59">
        <f ca="1">AVERAGE(OFFSET($CX$3,0,0,'Données projet'!$E$13+1,1))-AVERAGE(OFFSET($H$3,0,0,'Données projet'!$E$13+1,1))</f>
        <v>282.08542131880455</v>
      </c>
      <c r="CZ91" s="59">
        <f t="shared" si="96"/>
        <v>174.27503468762325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18.181410118286166</v>
      </c>
      <c r="DG91" s="21">
        <f>EXP(-LN(2)/25)*DG90+(1-EXP(-LN(2)/25))/(LN(2)/25)*Calculateur!DB91*Calculateur!DD91*VLOOKUP('Données projet'!$B$13,Paramètres!$A$1:$I$89,3,0)*0.475*44/12</f>
        <v>27.87578229461117</v>
      </c>
      <c r="DH91" s="21">
        <f>EXP(-LN(2)/2)*DH90+(1-EXP(-LN(2)/2))/(LN(2)/2)*DB91*DE91*VLOOKUP('Données projet'!$B$13,Paramètres!$A$1:$I$89,3,0)*0.475*44/12</f>
        <v>1.0916352534255882E-6</v>
      </c>
      <c r="DI91" s="22">
        <f t="shared" si="69"/>
        <v>46.057193504532592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5.6843418860808015E-14</v>
      </c>
      <c r="DP91" s="17">
        <f>DO91*VLOOKUP('Données projet'!$B$14,Paramètres!$A$1:$I$89,3,0)*VLOOKUP('Données projet'!$B$14,Paramètres!$A$1:$I$89,5,0)</f>
        <v>4.6111381379887463E-14</v>
      </c>
      <c r="DQ91" s="13">
        <f t="shared" si="97"/>
        <v>7.5804141040779151E-13</v>
      </c>
      <c r="DR91" s="20">
        <f t="shared" si="70"/>
        <v>1.4005661123635408E-12</v>
      </c>
      <c r="DS91" s="59">
        <f t="shared" si="71"/>
        <v>293.33333333333474</v>
      </c>
      <c r="DT91" s="59">
        <f ca="1">AVERAGE(OFFSET($DS$3,0,0,'Données projet'!$E$14+1,1))-AVERAGE(OFFSET($H$3,0,0,'Données projet'!$E$14+1,1))</f>
        <v>235.31102883830971</v>
      </c>
      <c r="DU91" s="59">
        <f t="shared" si="98"/>
        <v>271.48630853790422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48.391200699397395</v>
      </c>
      <c r="EB91" s="21">
        <f>EXP(-LN(2)/25)*EB90+(1-EXP(-LN(2)/25))/(LN(2)/25)*Calculateur!DW91*Calculateur!DY91*VLOOKUP('Données projet'!$B$14,Paramètres!$A$1:$I$89,3,0)*0.475*44/12</f>
        <v>62.521302119480531</v>
      </c>
      <c r="EC91" s="21">
        <f>EXP(-LN(2)/2)*EC90+(1-EXP(-LN(2)/2))/(LN(2)/2)*DW91*DZ91*VLOOKUP('Données projet'!$B$14,Paramètres!$A$1:$I$89,3,0)*0.475*44/12</f>
        <v>1.3172989089231453E-6</v>
      </c>
      <c r="ED91" s="22">
        <f t="shared" si="72"/>
        <v>110.91250413617684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-1.2505552149377763E-12</v>
      </c>
      <c r="O92" s="13">
        <f>N92*VLOOKUP('Données projet'!$B$9,Paramètres!$A$1:$I$89,3,0)*VLOOKUP('Données projet'!$B$9,Paramètres!$A$1:$I$89,5,0)</f>
        <v>-6.9906036515021697E-13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446.28010102877403</v>
      </c>
      <c r="T92" s="59">
        <f t="shared" si="88"/>
        <v>445.84011537290456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3.5498526061881486</v>
      </c>
      <c r="AA92" s="21">
        <f>EXP(-LN(2)/25)*AA91+(1-EXP(-LN(2)/25))/(LN(2)/25)*Calculateur!V92*Calculateur!X92*VLOOKUP('Données projet'!$B$9,Paramètres!$A$1:$I$89,3,0)*0.475*44/12</f>
        <v>7.549989870603742</v>
      </c>
      <c r="AB92" s="21">
        <f>EXP(-LN(2)/2)*AB91+(1-EXP(-LN(2)/2))/(LN(2)/2)*V92*Y92*VLOOKUP('Données projet'!$B$9,Paramètres!$A$1:$I$89,3,0)*0.475*44/12</f>
        <v>4.8036727495200241E-8</v>
      </c>
      <c r="AC92" s="22">
        <f t="shared" si="57"/>
        <v>11.099842524828619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17.5</v>
      </c>
      <c r="AI92" s="13">
        <f>IF('Données projet'!$A$62&gt;35,AI91+AH92-AQ91,IF(A92&lt;'Données projet'!$A$62,$AF$205^A92,IF(A92='Données projet'!$A$62,'Données projet'!$B$62,AI91+AH92-AQ91)))</f>
        <v>607.09999999999991</v>
      </c>
      <c r="AJ92" s="13">
        <f>AI92*VLOOKUP('Données projet'!$B$10,Paramètres!$A$1:$I$89,3,0)*VLOOKUP('Données projet'!$B$10,Paramètres!$A$1:$I$89,5,0)</f>
        <v>284.12279999999993</v>
      </c>
      <c r="AK92" s="13">
        <f t="shared" si="89"/>
        <v>67.837532462585557</v>
      </c>
      <c r="AL92" s="20">
        <f t="shared" si="58"/>
        <v>612.99757903900297</v>
      </c>
      <c r="AM92" s="59">
        <f t="shared" si="59"/>
        <v>906.33091237233634</v>
      </c>
      <c r="AN92" s="59">
        <f ca="1">AVERAGE(OFFSET($AM$3,0,0,'Données projet'!$E$10+1,1))-AVERAGE(OFFSET($H$3,0,0,'Données projet'!$E$10+1,1))</f>
        <v>252.98248842635206</v>
      </c>
      <c r="AO92" s="59">
        <f t="shared" si="90"/>
        <v>207.11938580878308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0.9743814695125067</v>
      </c>
      <c r="AV92" s="21">
        <f>EXP(-LN(2)/25)*AV91+(1-EXP(-LN(2)/25))/(LN(2)/25)*Calculateur!AQ92*Calculateur!AS92*VLOOKUP('Données projet'!$B$10,Paramètres!$A$1:$I$89,3,0)*0.475*44/12</f>
        <v>1.5301748953542933</v>
      </c>
      <c r="AW92" s="21">
        <f>EXP(-LN(2)/2)*AW91+(1-EXP(-LN(2)/2))/(LN(2)/2)*AQ92*AT92*VLOOKUP('Données projet'!$B$10,Paramètres!$A$1:$I$89,3,0)*0.475*44/12</f>
        <v>1.2949851645231577E-8</v>
      </c>
      <c r="AX92" s="21">
        <f t="shared" si="60"/>
        <v>2.5045563778166517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4.3</v>
      </c>
      <c r="BD92" s="12">
        <f>IF('Données projet'!$A$88&gt;35,BD91+BC92-BL91,IF(A92&lt;'Données projet'!$A$88,$BA$205^A92,IF(A92='Données projet'!$A$88,'Données projet'!$B$88,BD91+BC92-BL91)))</f>
        <v>216.70000000000007</v>
      </c>
      <c r="BE92" s="13">
        <f>BD92*VLOOKUP('Données projet'!$B$11,Paramètres!$A$1:$I$89,3,0)*VLOOKUP('Données projet'!$B$11,Paramètres!$A$1:$I$89,5,0)</f>
        <v>141.98184000000003</v>
      </c>
      <c r="BF92" s="13">
        <f t="shared" si="91"/>
        <v>36.750645114128112</v>
      </c>
      <c r="BG92" s="20">
        <f t="shared" si="61"/>
        <v>311.29241157377317</v>
      </c>
      <c r="BH92" s="59">
        <f t="shared" si="62"/>
        <v>604.62574490710654</v>
      </c>
      <c r="BI92" s="59">
        <f ca="1">AVERAGE(OFFSET($BH$3,0,0,'Données projet'!$E$11+1,1))-AVERAGE(OFFSET($H$3,0,0,'Données projet'!$E$11+1,1))</f>
        <v>114.23168847330004</v>
      </c>
      <c r="BJ92" s="59">
        <f t="shared" si="92"/>
        <v>42.34857998136755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4.3</v>
      </c>
      <c r="BY92" s="12">
        <f>IF('Données projet'!$A$114&gt;35,BY91+BX92-CG91,IF(A92&lt;'Données projet'!$A$114,$BV$205^A92,IF(A92='Données projet'!$A$114,'Données projet'!$B$114,BY91+BX92-CG91)))</f>
        <v>216.70000000000007</v>
      </c>
      <c r="BZ92" s="13">
        <f>BY92*VLOOKUP('Données projet'!$B$12,Paramètres!$A$1:$I$89,3,0)*VLOOKUP('Données projet'!$B$12,Paramètres!$A$1:$I$89,5,0)</f>
        <v>209.59224000000006</v>
      </c>
      <c r="CA92" s="13">
        <f t="shared" si="93"/>
        <v>51.846469802275223</v>
      </c>
      <c r="CB92" s="20">
        <f t="shared" si="64"/>
        <v>455.33908623896281</v>
      </c>
      <c r="CC92" s="59">
        <f t="shared" si="65"/>
        <v>748.67241957229612</v>
      </c>
      <c r="CD92" s="59">
        <f ca="1">AVERAGE(OFFSET($CC$3,0,0,'Données projet'!$E$12+1,1))-AVERAGE(OFFSET($H$3,0,0,'Données projet'!$E$12+1,1))</f>
        <v>201.36664523637006</v>
      </c>
      <c r="CE92" s="59">
        <f t="shared" si="94"/>
        <v>79.394119001888555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18.401111695433812</v>
      </c>
      <c r="CM92" s="21">
        <f>EXP(-LN(2)/2)*CM91+(1-EXP(-LN(2)/2))/(LN(2)/2)*CG92*CJ92*VLOOKUP('Données projet'!$B$12,Paramètres!$A$1:$I$89,3,0)*0.475*44/12</f>
        <v>5.192415716012483E-7</v>
      </c>
      <c r="CN92" s="22">
        <f t="shared" si="66"/>
        <v>18.401112214675383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5.5</v>
      </c>
      <c r="CT92" s="12">
        <f>IF('Données projet'!$A$140&gt;35,CT91+CS92-DB91,IF(A92&lt;'Données projet'!$A$140,$CQ$205^A92,IF(A92='Données projet'!$A$140,'Données projet'!$B$140,CT91+CS92-DB91)))</f>
        <v>290.49999999999977</v>
      </c>
      <c r="CU92" s="17">
        <f>CT92*VLOOKUP('Données projet'!$B$13,Paramètres!$A$1:$I$89,3,0)*VLOOKUP('Données projet'!$B$13,Paramètres!$A$1:$I$89,5,0)</f>
        <v>262.84439999999978</v>
      </c>
      <c r="CV92" s="13">
        <f t="shared" si="95"/>
        <v>63.328304610804956</v>
      </c>
      <c r="CW92" s="20">
        <f t="shared" si="67"/>
        <v>568.08412719715159</v>
      </c>
      <c r="CX92" s="59">
        <f t="shared" si="68"/>
        <v>861.41746053048496</v>
      </c>
      <c r="CY92" s="59">
        <f ca="1">AVERAGE(OFFSET($CX$3,0,0,'Données projet'!$E$13+1,1))-AVERAGE(OFFSET($H$3,0,0,'Données projet'!$E$13+1,1))</f>
        <v>282.08542131880455</v>
      </c>
      <c r="CZ92" s="59">
        <f t="shared" si="96"/>
        <v>174.27503468762325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17.824883755431742</v>
      </c>
      <c r="DG92" s="21">
        <f>EXP(-LN(2)/25)*DG91+(1-EXP(-LN(2)/25))/(LN(2)/25)*Calculateur!DB92*Calculateur!DD92*VLOOKUP('Données projet'!$B$13,Paramètres!$A$1:$I$89,3,0)*0.475*44/12</f>
        <v>27.113517561841348</v>
      </c>
      <c r="DH92" s="21">
        <f>EXP(-LN(2)/2)*DH91+(1-EXP(-LN(2)/2))/(LN(2)/2)*DB92*DE92*VLOOKUP('Données projet'!$B$13,Paramètres!$A$1:$I$89,3,0)*0.475*44/12</f>
        <v>7.719026902795288E-7</v>
      </c>
      <c r="DI92" s="22">
        <f t="shared" si="69"/>
        <v>44.938402089175781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5.6843418860808015E-14</v>
      </c>
      <c r="DP92" s="17">
        <f>DO92*VLOOKUP('Données projet'!$B$14,Paramètres!$A$1:$I$89,3,0)*VLOOKUP('Données projet'!$B$14,Paramètres!$A$1:$I$89,5,0)</f>
        <v>4.6111381379887463E-14</v>
      </c>
      <c r="DQ92" s="13">
        <f t="shared" si="97"/>
        <v>7.5804141040779151E-13</v>
      </c>
      <c r="DR92" s="20">
        <f t="shared" si="70"/>
        <v>1.4005661123635408E-12</v>
      </c>
      <c r="DS92" s="59">
        <f t="shared" si="71"/>
        <v>293.33333333333474</v>
      </c>
      <c r="DT92" s="59">
        <f ca="1">AVERAGE(OFFSET($DS$3,0,0,'Données projet'!$E$14+1,1))-AVERAGE(OFFSET($H$3,0,0,'Données projet'!$E$14+1,1))</f>
        <v>235.31102883830971</v>
      </c>
      <c r="DU92" s="59">
        <f t="shared" si="98"/>
        <v>271.48630853790422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47.442278769400204</v>
      </c>
      <c r="EB92" s="21">
        <f>EXP(-LN(2)/25)*EB91+(1-EXP(-LN(2)/25))/(LN(2)/25)*Calculateur!DW92*Calculateur!DY92*VLOOKUP('Données projet'!$B$14,Paramètres!$A$1:$I$89,3,0)*0.475*44/12</f>
        <v>60.81165382517095</v>
      </c>
      <c r="EC92" s="21">
        <f>EXP(-LN(2)/2)*EC91+(1-EXP(-LN(2)/2))/(LN(2)/2)*DW92*DZ92*VLOOKUP('Données projet'!$B$14,Paramètres!$A$1:$I$89,3,0)*0.475*44/12</f>
        <v>9.3147099134919644E-7</v>
      </c>
      <c r="ED92" s="22">
        <f t="shared" si="72"/>
        <v>108.25393352604215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-1.2505552149377763E-12</v>
      </c>
      <c r="O93" s="13">
        <f>N93*VLOOKUP('Données projet'!$B$9,Paramètres!$A$1:$I$89,3,0)*VLOOKUP('Données projet'!$B$9,Paramètres!$A$1:$I$89,5,0)</f>
        <v>-6.9906036515021697E-13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446.28010102877403</v>
      </c>
      <c r="T93" s="59">
        <f t="shared" si="88"/>
        <v>445.84011537290456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3.4802421617770936</v>
      </c>
      <c r="AA93" s="21">
        <f>EXP(-LN(2)/25)*AA92+(1-EXP(-LN(2)/25))/(LN(2)/25)*Calculateur!V93*Calculateur!X93*VLOOKUP('Données projet'!$B$9,Paramètres!$A$1:$I$89,3,0)*0.475*44/12</f>
        <v>7.343535000555371</v>
      </c>
      <c r="AB93" s="21">
        <f>EXP(-LN(2)/2)*AB92+(1-EXP(-LN(2)/2))/(LN(2)/2)*V93*Y93*VLOOKUP('Données projet'!$B$9,Paramètres!$A$1:$I$89,3,0)*0.475*44/12</f>
        <v>3.3967095757866367E-8</v>
      </c>
      <c r="AC93" s="22">
        <f t="shared" si="57"/>
        <v>10.823777196299561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624.6</v>
      </c>
      <c r="AG93" s="12">
        <f>VLOOKUP(A93,'Données projet'!$A$61:$I$81,9,0)</f>
        <v>17.5</v>
      </c>
      <c r="AH93" s="12">
        <f t="array" ref="AH93">INDEX(AG:AG,MIN(IF(ISNUMBER(AG93:AG289),ROW(AG93:AG289),"")))</f>
        <v>17.5</v>
      </c>
      <c r="AI93" s="13">
        <f>IF('Données projet'!$A$62&gt;35,AI92+AH93-AQ92,IF(A93&lt;'Données projet'!$A$62,$AF$205^A93,IF(A93='Données projet'!$A$62,'Données projet'!$B$62,AI92+AH93-AQ92)))</f>
        <v>624.59999999999991</v>
      </c>
      <c r="AJ93" s="13">
        <f>AI93*VLOOKUP('Données projet'!$B$10,Paramètres!$A$1:$I$89,3,0)*VLOOKUP('Données projet'!$B$10,Paramètres!$A$1:$I$89,5,0)</f>
        <v>292.31279999999998</v>
      </c>
      <c r="AK93" s="13">
        <f t="shared" si="89"/>
        <v>69.562504549179678</v>
      </c>
      <c r="AL93" s="20">
        <f t="shared" si="58"/>
        <v>630.26615542315449</v>
      </c>
      <c r="AM93" s="59">
        <f t="shared" si="59"/>
        <v>923.59948875648774</v>
      </c>
      <c r="AN93" s="59">
        <f ca="1">AVERAGE(OFFSET($AM$3,0,0,'Données projet'!$E$10+1,1))-AVERAGE(OFFSET($H$3,0,0,'Données projet'!$E$10+1,1))</f>
        <v>252.98248842635206</v>
      </c>
      <c r="AO93" s="59">
        <f t="shared" si="90"/>
        <v>207.11938580878308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83.4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0.95527444320937926</v>
      </c>
      <c r="AV93" s="21">
        <f>EXP(-LN(2)/25)*AV92+(1-EXP(-LN(2)/25))/(LN(2)/25)*Calculateur!AQ93*Calculateur!AS93*VLOOKUP('Données projet'!$B$10,Paramètres!$A$1:$I$89,3,0)*0.475*44/12</f>
        <v>1.4883321823724296</v>
      </c>
      <c r="AW93" s="21">
        <f>EXP(-LN(2)/2)*AW92+(1-EXP(-LN(2)/2))/(LN(2)/2)*AQ93*AT93*VLOOKUP('Données projet'!$B$10,Paramètres!$A$1:$I$89,3,0)*0.475*44/12</f>
        <v>9.1569279137030168E-9</v>
      </c>
      <c r="AX93" s="21">
        <f t="shared" si="60"/>
        <v>2.4436066347387371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221</v>
      </c>
      <c r="BB93" s="12">
        <f>VLOOKUP(A93,'Données projet'!$A$87:$I$107,9,0)</f>
        <v>4.3</v>
      </c>
      <c r="BC93" s="12">
        <f t="array" ref="BC93">INDEX(BB:BB,MIN(IF(ISNUMBER(BB93:BB289),ROW(BB93:BB289),"")))</f>
        <v>4.3</v>
      </c>
      <c r="BD93" s="12">
        <f>IF('Données projet'!$A$88&gt;35,BD92+BC93-BL92,IF(A93&lt;'Données projet'!$A$88,$BA$205^A93,IF(A93='Données projet'!$A$88,'Données projet'!$B$88,BD92+BC93-BL92)))</f>
        <v>221.00000000000009</v>
      </c>
      <c r="BE93" s="13">
        <f>BD93*VLOOKUP('Données projet'!$B$11,Paramètres!$A$1:$I$89,3,0)*VLOOKUP('Données projet'!$B$11,Paramètres!$A$1:$I$89,5,0)</f>
        <v>144.79920000000007</v>
      </c>
      <c r="BF93" s="13">
        <f t="shared" si="91"/>
        <v>37.394268839921317</v>
      </c>
      <c r="BG93" s="20">
        <f t="shared" si="61"/>
        <v>317.32029156286308</v>
      </c>
      <c r="BH93" s="59">
        <f t="shared" si="62"/>
        <v>610.65362489619633</v>
      </c>
      <c r="BI93" s="59">
        <f ca="1">AVERAGE(OFFSET($BH$3,0,0,'Données projet'!$E$11+1,1))-AVERAGE(OFFSET($H$3,0,0,'Données projet'!$E$11+1,1))</f>
        <v>114.23168847330004</v>
      </c>
      <c r="BJ93" s="59">
        <f t="shared" si="92"/>
        <v>42.34857998136755</v>
      </c>
      <c r="BK93" s="15">
        <f>IF(ISNA(VLOOKUP(A93,'Données projet'!$A$87:$I$107,3,0)),0,VLOOKUP(A93,'Données projet'!$A$87:$I$107,3,0))</f>
        <v>6</v>
      </c>
      <c r="BL93" s="15">
        <f>IF(ISNA(VLOOKUP(A93,'Données projet'!$A$87:$I$107,4,0)),0,VLOOKUP(A93,'Données projet'!$A$87:$I$107,4,0))</f>
        <v>28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221</v>
      </c>
      <c r="BW93" s="12">
        <f>VLOOKUP(A93,'Données projet'!$A$113:$I$133,9,0)</f>
        <v>4.3</v>
      </c>
      <c r="BX93" s="12">
        <f t="array" ref="BX93">INDEX(BW:BW,MIN(IF(ISNUMBER(BW93:BW289),ROW(BW93:BW289),"")))</f>
        <v>4.3</v>
      </c>
      <c r="BY93" s="12">
        <f>IF('Données projet'!$A$114&gt;35,BY92+BX93-CG92,IF(A93&lt;'Données projet'!$A$114,$BV$205^A93,IF(A93='Données projet'!$A$114,'Données projet'!$B$114,BY92+BX93-CG92)))</f>
        <v>221.00000000000009</v>
      </c>
      <c r="BZ93" s="13">
        <f>BY93*VLOOKUP('Données projet'!$B$12,Paramètres!$A$1:$I$89,3,0)*VLOOKUP('Données projet'!$B$12,Paramètres!$A$1:$I$89,5,0)</f>
        <v>213.75120000000007</v>
      </c>
      <c r="CA93" s="13">
        <f t="shared" si="93"/>
        <v>52.75447068116425</v>
      </c>
      <c r="CB93" s="20">
        <f t="shared" si="64"/>
        <v>464.16404310302778</v>
      </c>
      <c r="CC93" s="59">
        <f t="shared" si="65"/>
        <v>757.49737643636104</v>
      </c>
      <c r="CD93" s="59">
        <f ca="1">AVERAGE(OFFSET($CC$3,0,0,'Données projet'!$E$12+1,1))-AVERAGE(OFFSET($H$3,0,0,'Données projet'!$E$12+1,1))</f>
        <v>201.36664523637006</v>
      </c>
      <c r="CE93" s="59">
        <f t="shared" si="94"/>
        <v>79.394119001888555</v>
      </c>
      <c r="CF93" s="15">
        <f>IF(ISNA(VLOOKUP(A93,'Données projet'!$A$113:$I$133,3,0)),0,VLOOKUP(A93,'Données projet'!$A$113:$I$133,3,0))</f>
        <v>6</v>
      </c>
      <c r="CG93" s="15">
        <f>IF(ISNA(VLOOKUP(A93,'Données projet'!$A$113:$I$133,4,0)),0,VLOOKUP(A93,'Données projet'!$A$113:$I$133,4,0))</f>
        <v>28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0.215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24.309238710664367</v>
      </c>
      <c r="CM93" s="21">
        <f>EXP(-LN(2)/2)*CM92+(1-EXP(-LN(2)/2))/(LN(2)/2)*CG93*CJ93*VLOOKUP('Données projet'!$B$12,Paramètres!$A$1:$I$89,3,0)*0.475*44/12</f>
        <v>3.6715923635320294E-7</v>
      </c>
      <c r="CN93" s="22">
        <f t="shared" si="66"/>
        <v>24.309239077823605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296</v>
      </c>
      <c r="CR93" s="12">
        <f>VLOOKUP(A93,'Données projet'!$A$139:$I$159,9,0)</f>
        <v>5.5</v>
      </c>
      <c r="CS93" s="12">
        <f t="array" ref="CS93">INDEX(CR:CR,MIN(IF(ISNUMBER(CR93:CR289),ROW(CR93:CR289),"")))</f>
        <v>5.5</v>
      </c>
      <c r="CT93" s="12">
        <f>IF('Données projet'!$A$140&gt;35,CT92+CS93-DB92,IF(A93&lt;'Données projet'!$A$140,$CQ$205^A93,IF(A93='Données projet'!$A$140,'Données projet'!$B$140,CT92+CS93-DB92)))</f>
        <v>295.99999999999977</v>
      </c>
      <c r="CU93" s="17">
        <f>CT93*VLOOKUP('Données projet'!$B$13,Paramètres!$A$1:$I$89,3,0)*VLOOKUP('Données projet'!$B$13,Paramètres!$A$1:$I$89,5,0)</f>
        <v>267.82079999999979</v>
      </c>
      <c r="CV93" s="13">
        <f t="shared" si="95"/>
        <v>64.386570147897302</v>
      </c>
      <c r="CW93" s="20">
        <f t="shared" si="67"/>
        <v>578.59450300758738</v>
      </c>
      <c r="CX93" s="59">
        <f t="shared" si="68"/>
        <v>871.92783634092075</v>
      </c>
      <c r="CY93" s="59">
        <f ca="1">AVERAGE(OFFSET($CX$3,0,0,'Données projet'!$E$13+1,1))-AVERAGE(OFFSET($H$3,0,0,'Données projet'!$E$13+1,1))</f>
        <v>282.08542131880455</v>
      </c>
      <c r="CZ93" s="59">
        <f t="shared" si="96"/>
        <v>174.27503468762325</v>
      </c>
      <c r="DA93" s="15">
        <f>IF(ISNA(VLOOKUP(A93,'Données projet'!$A$139:$I$159,3,0)),0,VLOOKUP(A93,'Données projet'!$A$139:$I$159,3,0))</f>
        <v>8</v>
      </c>
      <c r="DB93" s="15">
        <f>IF(ISNA(VLOOKUP(A93,'Données projet'!$A$139:$I$159,4,0)),0,VLOOKUP(A93,'Données projet'!$A$139:$I$159,4,0))</f>
        <v>42</v>
      </c>
      <c r="DC93" s="16">
        <f>IF(ISNA(VLOOKUP(A93,'Données projet'!$A$139:$I$159,5,0)),0%,VLOOKUP(A93,'Données projet'!$A$139:$I$159,5,0)*VLOOKUP('Données projet'!$B$13,Paramètres!$A$1:$I$89,7,0))</f>
        <v>0.215</v>
      </c>
      <c r="DD93" s="16">
        <f>IF(ISNA(VLOOKUP(A93,'Données projet'!$A$139:$I$159,6,0)),0%,VLOOKUP(A93,'Données projet'!$A$139:$I$159,6,0)*VLOOKUP('Données projet'!$B$13,Paramètres!$A$1:$I$89,7,0))</f>
        <v>0.215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26.507421939688044</v>
      </c>
      <c r="DG93" s="21">
        <f>EXP(-LN(2)/25)*DG92+(1-EXP(-LN(2)/25))/(LN(2)/25)*Calculateur!DB93*Calculateur!DD93*VLOOKUP('Données projet'!$B$13,Paramètres!$A$1:$I$89,3,0)*0.475*44/12</f>
        <v>35.368607566866331</v>
      </c>
      <c r="DH93" s="21">
        <f>EXP(-LN(2)/2)*DH92+(1-EXP(-LN(2)/2))/(LN(2)/2)*DB93*DE93*VLOOKUP('Données projet'!$B$13,Paramètres!$A$1:$I$89,3,0)*0.475*44/12</f>
        <v>5.4581762671279412E-7</v>
      </c>
      <c r="DI93" s="22">
        <f t="shared" si="69"/>
        <v>61.876030052372002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5.6843418860808015E-14</v>
      </c>
      <c r="DP93" s="17">
        <f>DO93*VLOOKUP('Données projet'!$B$14,Paramètres!$A$1:$I$89,3,0)*VLOOKUP('Données projet'!$B$14,Paramètres!$A$1:$I$89,5,0)</f>
        <v>4.6111381379887463E-14</v>
      </c>
      <c r="DQ93" s="13">
        <f t="shared" si="97"/>
        <v>7.5804141040779151E-13</v>
      </c>
      <c r="DR93" s="20">
        <f t="shared" si="70"/>
        <v>1.4005661123635408E-12</v>
      </c>
      <c r="DS93" s="59">
        <f t="shared" si="71"/>
        <v>293.33333333333474</v>
      </c>
      <c r="DT93" s="59">
        <f ca="1">AVERAGE(OFFSET($DS$3,0,0,'Données projet'!$E$14+1,1))-AVERAGE(OFFSET($H$3,0,0,'Données projet'!$E$14+1,1))</f>
        <v>235.31102883830971</v>
      </c>
      <c r="DU93" s="59">
        <f t="shared" si="98"/>
        <v>271.48630853790422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46.511964619665029</v>
      </c>
      <c r="EB93" s="21">
        <f>EXP(-LN(2)/25)*EB92+(1-EXP(-LN(2)/25))/(LN(2)/25)*Calculateur!DW93*Calculateur!DY93*VLOOKUP('Données projet'!$B$14,Paramètres!$A$1:$I$89,3,0)*0.475*44/12</f>
        <v>59.148755953375762</v>
      </c>
      <c r="EC93" s="21">
        <f>EXP(-LN(2)/2)*EC92+(1-EXP(-LN(2)/2))/(LN(2)/2)*DW93*DZ93*VLOOKUP('Données projet'!$B$14,Paramètres!$A$1:$I$89,3,0)*0.475*44/12</f>
        <v>6.5864945446157278E-7</v>
      </c>
      <c r="ED93" s="22">
        <f t="shared" si="72"/>
        <v>105.66072123169025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-1.2505552149377763E-12</v>
      </c>
      <c r="O94" s="13">
        <f>N94*VLOOKUP('Données projet'!$B$9,Paramètres!$A$1:$I$89,3,0)*VLOOKUP('Données projet'!$B$9,Paramètres!$A$1:$I$89,5,0)</f>
        <v>-6.9906036515021697E-13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446.28010102877403</v>
      </c>
      <c r="T94" s="59">
        <f t="shared" si="88"/>
        <v>445.84011537290456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3.4119967357227603</v>
      </c>
      <c r="AA94" s="21">
        <f>EXP(-LN(2)/25)*AA93+(1-EXP(-LN(2)/25))/(LN(2)/25)*Calculateur!V94*Calculateur!X94*VLOOKUP('Données projet'!$B$9,Paramètres!$A$1:$I$89,3,0)*0.475*44/12</f>
        <v>7.1427256497854623</v>
      </c>
      <c r="AB94" s="21">
        <f>EXP(-LN(2)/2)*AB93+(1-EXP(-LN(2)/2))/(LN(2)/2)*V94*Y94*VLOOKUP('Données projet'!$B$9,Paramètres!$A$1:$I$89,3,0)*0.475*44/12</f>
        <v>2.401836374760012E-8</v>
      </c>
      <c r="AC94" s="22">
        <f t="shared" si="57"/>
        <v>10.554722409526587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18.5</v>
      </c>
      <c r="AI94" s="13">
        <f>IF('Données projet'!$A$62&gt;35,AI93+AH94-AQ93,IF(A94&lt;'Données projet'!$A$62,$AF$205^A94,IF(A94='Données projet'!$A$62,'Données projet'!$B$62,AI93+AH94-AQ93)))</f>
        <v>559.69999999999993</v>
      </c>
      <c r="AJ94" s="13">
        <f>AI94*VLOOKUP('Données projet'!$B$10,Paramètres!$A$1:$I$89,3,0)*VLOOKUP('Données projet'!$B$10,Paramètres!$A$1:$I$89,5,0)</f>
        <v>261.93959999999998</v>
      </c>
      <c r="AK94" s="13">
        <f t="shared" si="89"/>
        <v>63.135643285567426</v>
      </c>
      <c r="AL94" s="20">
        <f t="shared" si="58"/>
        <v>566.1727153890298</v>
      </c>
      <c r="AM94" s="59">
        <f t="shared" si="59"/>
        <v>859.50604872236318</v>
      </c>
      <c r="AN94" s="59">
        <f ca="1">AVERAGE(OFFSET($AM$3,0,0,'Données projet'!$E$10+1,1))-AVERAGE(OFFSET($H$3,0,0,'Données projet'!$E$10+1,1))</f>
        <v>252.98248842635206</v>
      </c>
      <c r="AO94" s="59">
        <f t="shared" si="90"/>
        <v>207.11938580878308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0.93654209403792077</v>
      </c>
      <c r="AV94" s="21">
        <f>EXP(-LN(2)/25)*AV93+(1-EXP(-LN(2)/25))/(LN(2)/25)*Calculateur!AQ94*Calculateur!AS94*VLOOKUP('Données projet'!$B$10,Paramètres!$A$1:$I$89,3,0)*0.475*44/12</f>
        <v>1.4476336605774676</v>
      </c>
      <c r="AW94" s="21">
        <f>EXP(-LN(2)/2)*AW93+(1-EXP(-LN(2)/2))/(LN(2)/2)*AQ94*AT94*VLOOKUP('Données projet'!$B$10,Paramètres!$A$1:$I$89,3,0)*0.475*44/12</f>
        <v>6.4749258226157884E-9</v>
      </c>
      <c r="AX94" s="21">
        <f t="shared" si="60"/>
        <v>2.3841757610903143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3.7</v>
      </c>
      <c r="BD94" s="12">
        <f>IF('Données projet'!$A$88&gt;35,BD93+BC94-BL93,IF(A94&lt;'Données projet'!$A$88,$BA$205^A94,IF(A94='Données projet'!$A$88,'Données projet'!$B$88,BD93+BC94-BL93)))</f>
        <v>196.70000000000007</v>
      </c>
      <c r="BE94" s="13">
        <f>BD94*VLOOKUP('Données projet'!$B$11,Paramètres!$A$1:$I$89,3,0)*VLOOKUP('Données projet'!$B$11,Paramètres!$A$1:$I$89,5,0)</f>
        <v>128.87784000000005</v>
      </c>
      <c r="BF94" s="13">
        <f t="shared" si="91"/>
        <v>33.736930416539963</v>
      </c>
      <c r="BG94" s="20">
        <f t="shared" si="61"/>
        <v>283.22072514214051</v>
      </c>
      <c r="BH94" s="59">
        <f t="shared" si="62"/>
        <v>576.55405847547377</v>
      </c>
      <c r="BI94" s="59">
        <f ca="1">AVERAGE(OFFSET($BH$3,0,0,'Données projet'!$E$11+1,1))-AVERAGE(OFFSET($H$3,0,0,'Données projet'!$E$11+1,1))</f>
        <v>114.23168847330004</v>
      </c>
      <c r="BJ94" s="59">
        <f t="shared" si="92"/>
        <v>42.34857998136755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3.7</v>
      </c>
      <c r="BY94" s="12">
        <f>IF('Données projet'!$A$114&gt;35,BY93+BX94-CG93,IF(A94&lt;'Données projet'!$A$114,$BV$205^A94,IF(A94='Données projet'!$A$114,'Données projet'!$B$114,BY93+BX94-CG93)))</f>
        <v>196.70000000000007</v>
      </c>
      <c r="BZ94" s="13">
        <f>BY94*VLOOKUP('Données projet'!$B$12,Paramètres!$A$1:$I$89,3,0)*VLOOKUP('Données projet'!$B$12,Paramètres!$A$1:$I$89,5,0)</f>
        <v>190.2482400000001</v>
      </c>
      <c r="CA94" s="13">
        <f t="shared" si="93"/>
        <v>47.59483101944722</v>
      </c>
      <c r="CB94" s="20">
        <f t="shared" si="64"/>
        <v>414.24334869220405</v>
      </c>
      <c r="CC94" s="59">
        <f t="shared" si="65"/>
        <v>707.57668202553737</v>
      </c>
      <c r="CD94" s="59">
        <f ca="1">AVERAGE(OFFSET($CC$3,0,0,'Données projet'!$E$12+1,1))-AVERAGE(OFFSET($H$3,0,0,'Données projet'!$E$12+1,1))</f>
        <v>201.36664523637006</v>
      </c>
      <c r="CE94" s="59">
        <f t="shared" si="94"/>
        <v>79.394119001888555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23.644501299753944</v>
      </c>
      <c r="CM94" s="21">
        <f>EXP(-LN(2)/2)*CM93+(1-EXP(-LN(2)/2))/(LN(2)/2)*CG94*CJ94*VLOOKUP('Données projet'!$B$12,Paramètres!$A$1:$I$89,3,0)*0.475*44/12</f>
        <v>2.5962078580062415E-7</v>
      </c>
      <c r="CN94" s="22">
        <f t="shared" si="66"/>
        <v>23.644501559374731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4.5999999999999996</v>
      </c>
      <c r="CT94" s="12">
        <f>IF('Données projet'!$A$140&gt;35,CT93+CS94-DB93,IF(A94&lt;'Données projet'!$A$140,$CQ$205^A94,IF(A94='Données projet'!$A$140,'Données projet'!$B$140,CT93+CS94-DB93)))</f>
        <v>258.5999999999998</v>
      </c>
      <c r="CU94" s="17">
        <f>CT94*VLOOKUP('Données projet'!$B$13,Paramètres!$A$1:$I$89,3,0)*VLOOKUP('Données projet'!$B$13,Paramètres!$A$1:$I$89,5,0)</f>
        <v>233.9812799999998</v>
      </c>
      <c r="CV94" s="13">
        <f t="shared" si="95"/>
        <v>57.14266563744799</v>
      </c>
      <c r="CW94" s="20">
        <f t="shared" si="67"/>
        <v>507.04087198522149</v>
      </c>
      <c r="CX94" s="59">
        <f t="shared" si="68"/>
        <v>800.3742053185548</v>
      </c>
      <c r="CY94" s="59">
        <f ca="1">AVERAGE(OFFSET($CX$3,0,0,'Données projet'!$E$13+1,1))-AVERAGE(OFFSET($H$3,0,0,'Données projet'!$E$13+1,1))</f>
        <v>282.08542131880455</v>
      </c>
      <c r="CZ94" s="59">
        <f t="shared" si="96"/>
        <v>174.27503468762325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25.987627563381693</v>
      </c>
      <c r="DG94" s="21">
        <f>EXP(-LN(2)/25)*DG93+(1-EXP(-LN(2)/25))/(LN(2)/25)*Calculateur!DB94*Calculateur!DD94*VLOOKUP('Données projet'!$B$13,Paramètres!$A$1:$I$89,3,0)*0.475*44/12</f>
        <v>34.401451132996137</v>
      </c>
      <c r="DH94" s="21">
        <f>EXP(-LN(2)/2)*DH93+(1-EXP(-LN(2)/2))/(LN(2)/2)*DB94*DE94*VLOOKUP('Données projet'!$B$13,Paramètres!$A$1:$I$89,3,0)*0.475*44/12</f>
        <v>3.859513451397644E-7</v>
      </c>
      <c r="DI94" s="22">
        <f t="shared" si="69"/>
        <v>60.389079082329175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5.6843418860808015E-14</v>
      </c>
      <c r="DP94" s="17">
        <f>DO94*VLOOKUP('Données projet'!$B$14,Paramètres!$A$1:$I$89,3,0)*VLOOKUP('Données projet'!$B$14,Paramètres!$A$1:$I$89,5,0)</f>
        <v>4.6111381379887463E-14</v>
      </c>
      <c r="DQ94" s="13">
        <f t="shared" si="97"/>
        <v>7.5804141040779151E-13</v>
      </c>
      <c r="DR94" s="20">
        <f t="shared" si="70"/>
        <v>1.4005661123635408E-12</v>
      </c>
      <c r="DS94" s="59">
        <f t="shared" si="71"/>
        <v>293.33333333333474</v>
      </c>
      <c r="DT94" s="59">
        <f ca="1">AVERAGE(OFFSET($DS$3,0,0,'Données projet'!$E$14+1,1))-AVERAGE(OFFSET($H$3,0,0,'Données projet'!$E$14+1,1))</f>
        <v>235.31102883830971</v>
      </c>
      <c r="DU94" s="59">
        <f t="shared" si="98"/>
        <v>271.48630853790422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45.599893362970562</v>
      </c>
      <c r="EB94" s="21">
        <f>EXP(-LN(2)/25)*EB93+(1-EXP(-LN(2)/25))/(LN(2)/25)*Calculateur!DW94*Calculateur!DY94*VLOOKUP('Données projet'!$B$14,Paramètres!$A$1:$I$89,3,0)*0.475*44/12</f>
        <v>57.531330111332814</v>
      </c>
      <c r="EC94" s="21">
        <f>EXP(-LN(2)/2)*EC93+(1-EXP(-LN(2)/2))/(LN(2)/2)*DW94*DZ94*VLOOKUP('Données projet'!$B$14,Paramètres!$A$1:$I$89,3,0)*0.475*44/12</f>
        <v>4.6573549567459827E-7</v>
      </c>
      <c r="ED94" s="22">
        <f t="shared" si="72"/>
        <v>103.13122394003886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-1.2505552149377763E-12</v>
      </c>
      <c r="O95" s="13">
        <f>N95*VLOOKUP('Données projet'!$B$9,Paramètres!$A$1:$I$89,3,0)*VLOOKUP('Données projet'!$B$9,Paramètres!$A$1:$I$89,5,0)</f>
        <v>-6.9906036515021697E-13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446.28010102877403</v>
      </c>
      <c r="T95" s="59">
        <f t="shared" si="88"/>
        <v>445.84011537290456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3.3450895608477529</v>
      </c>
      <c r="AA95" s="21">
        <f>EXP(-LN(2)/25)*AA94+(1-EXP(-LN(2)/25))/(LN(2)/25)*Calculateur!V95*Calculateur!X95*VLOOKUP('Données projet'!$B$9,Paramètres!$A$1:$I$89,3,0)*0.475*44/12</f>
        <v>6.9474074412724622</v>
      </c>
      <c r="AB95" s="21">
        <f>EXP(-LN(2)/2)*AB94+(1-EXP(-LN(2)/2))/(LN(2)/2)*V95*Y95*VLOOKUP('Données projet'!$B$9,Paramètres!$A$1:$I$89,3,0)*0.475*44/12</f>
        <v>1.6983547878933184E-8</v>
      </c>
      <c r="AC95" s="22">
        <f t="shared" si="57"/>
        <v>10.292497019103761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18.5</v>
      </c>
      <c r="AI95" s="13">
        <f>IF('Données projet'!$A$62&gt;35,AI94+AH95-AQ94,IF(A95&lt;'Données projet'!$A$62,$AF$205^A95,IF(A95='Données projet'!$A$62,'Données projet'!$B$62,AI94+AH95-AQ94)))</f>
        <v>578.19999999999993</v>
      </c>
      <c r="AJ95" s="13">
        <f>AI95*VLOOKUP('Données projet'!$B$10,Paramètres!$A$1:$I$89,3,0)*VLOOKUP('Données projet'!$B$10,Paramètres!$A$1:$I$89,5,0)</f>
        <v>270.59759999999994</v>
      </c>
      <c r="AK95" s="13">
        <f t="shared" si="89"/>
        <v>64.976078766498532</v>
      </c>
      <c r="AL95" s="20">
        <f t="shared" si="58"/>
        <v>584.45749051831808</v>
      </c>
      <c r="AM95" s="59">
        <f t="shared" si="59"/>
        <v>877.79082385165134</v>
      </c>
      <c r="AN95" s="59">
        <f ca="1">AVERAGE(OFFSET($AM$3,0,0,'Données projet'!$E$10+1,1))-AVERAGE(OFFSET($H$3,0,0,'Données projet'!$E$10+1,1))</f>
        <v>252.98248842635206</v>
      </c>
      <c r="AO95" s="59">
        <f t="shared" si="90"/>
        <v>207.11938580878308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0.91817707480810984</v>
      </c>
      <c r="AV95" s="21">
        <f>EXP(-LN(2)/25)*AV94+(1-EXP(-LN(2)/25))/(LN(2)/25)*Calculateur!AQ95*Calculateur!AS95*VLOOKUP('Données projet'!$B$10,Paramètres!$A$1:$I$89,3,0)*0.475*44/12</f>
        <v>1.4080480420012311</v>
      </c>
      <c r="AW95" s="21">
        <f>EXP(-LN(2)/2)*AW94+(1-EXP(-LN(2)/2))/(LN(2)/2)*AQ95*AT95*VLOOKUP('Données projet'!$B$10,Paramètres!$A$1:$I$89,3,0)*0.475*44/12</f>
        <v>4.5784639568515084E-9</v>
      </c>
      <c r="AX95" s="21">
        <f t="shared" si="60"/>
        <v>2.3262251213878047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3.7</v>
      </c>
      <c r="BD95" s="12">
        <f>IF('Données projet'!$A$88&gt;35,BD94+BC95-BL94,IF(A95&lt;'Données projet'!$A$88,$BA$205^A95,IF(A95='Données projet'!$A$88,'Données projet'!$B$88,BD94+BC95-BL94)))</f>
        <v>200.40000000000006</v>
      </c>
      <c r="BE95" s="13">
        <f>BD95*VLOOKUP('Données projet'!$B$11,Paramètres!$A$1:$I$89,3,0)*VLOOKUP('Données projet'!$B$11,Paramètres!$A$1:$I$89,5,0)</f>
        <v>131.30208000000005</v>
      </c>
      <c r="BF95" s="13">
        <f t="shared" si="91"/>
        <v>34.297057052675505</v>
      </c>
      <c r="BG95" s="20">
        <f t="shared" si="61"/>
        <v>288.41849703340995</v>
      </c>
      <c r="BH95" s="59">
        <f t="shared" si="62"/>
        <v>581.75183036674321</v>
      </c>
      <c r="BI95" s="59">
        <f ca="1">AVERAGE(OFFSET($BH$3,0,0,'Données projet'!$E$11+1,1))-AVERAGE(OFFSET($H$3,0,0,'Données projet'!$E$11+1,1))</f>
        <v>114.23168847330004</v>
      </c>
      <c r="BJ95" s="59">
        <f t="shared" si="92"/>
        <v>42.34857998136755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3.7</v>
      </c>
      <c r="BY95" s="12">
        <f>IF('Données projet'!$A$114&gt;35,BY94+BX95-CG94,IF(A95&lt;'Données projet'!$A$114,$BV$205^A95,IF(A95='Données projet'!$A$114,'Données projet'!$B$114,BY94+BX95-CG94)))</f>
        <v>200.40000000000006</v>
      </c>
      <c r="BZ95" s="13">
        <f>BY95*VLOOKUP('Données projet'!$B$12,Paramètres!$A$1:$I$89,3,0)*VLOOKUP('Données projet'!$B$12,Paramètres!$A$1:$I$89,5,0)</f>
        <v>193.82688000000005</v>
      </c>
      <c r="CA95" s="13">
        <f t="shared" si="93"/>
        <v>48.385037249451216</v>
      </c>
      <c r="CB95" s="20">
        <f t="shared" si="64"/>
        <v>421.85242254279427</v>
      </c>
      <c r="CC95" s="59">
        <f t="shared" si="65"/>
        <v>715.18575587612759</v>
      </c>
      <c r="CD95" s="59">
        <f ca="1">AVERAGE(OFFSET($CC$3,0,0,'Données projet'!$E$12+1,1))-AVERAGE(OFFSET($H$3,0,0,'Données projet'!$E$12+1,1))</f>
        <v>201.36664523637006</v>
      </c>
      <c r="CE95" s="59">
        <f t="shared" si="94"/>
        <v>79.394119001888555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22.997941168301889</v>
      </c>
      <c r="CM95" s="21">
        <f>EXP(-LN(2)/2)*CM94+(1-EXP(-LN(2)/2))/(LN(2)/2)*CG95*CJ95*VLOOKUP('Données projet'!$B$12,Paramètres!$A$1:$I$89,3,0)*0.475*44/12</f>
        <v>1.8357961817660147E-7</v>
      </c>
      <c r="CN95" s="22">
        <f t="shared" si="66"/>
        <v>22.997941351881508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4.5999999999999996</v>
      </c>
      <c r="CT95" s="12">
        <f>IF('Données projet'!$A$140&gt;35,CT94+CS95-DB94,IF(A95&lt;'Données projet'!$A$140,$CQ$205^A95,IF(A95='Données projet'!$A$140,'Données projet'!$B$140,CT94+CS95-DB94)))</f>
        <v>263.19999999999982</v>
      </c>
      <c r="CU95" s="17">
        <f>CT95*VLOOKUP('Données projet'!$B$13,Paramètres!$A$1:$I$89,3,0)*VLOOKUP('Données projet'!$B$13,Paramètres!$A$1:$I$89,5,0)</f>
        <v>238.14335999999983</v>
      </c>
      <c r="CV95" s="13">
        <f t="shared" si="95"/>
        <v>58.039884968630439</v>
      </c>
      <c r="CW95" s="20">
        <f t="shared" si="67"/>
        <v>515.85248498703106</v>
      </c>
      <c r="CX95" s="59">
        <f t="shared" si="68"/>
        <v>809.18581832036443</v>
      </c>
      <c r="CY95" s="59">
        <f ca="1">AVERAGE(OFFSET($CX$3,0,0,'Données projet'!$E$13+1,1))-AVERAGE(OFFSET($H$3,0,0,'Données projet'!$E$13+1,1))</f>
        <v>282.08542131880455</v>
      </c>
      <c r="CZ95" s="59">
        <f t="shared" si="96"/>
        <v>174.27503468762325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25.478026037751448</v>
      </c>
      <c r="DG95" s="21">
        <f>EXP(-LN(2)/25)*DG94+(1-EXP(-LN(2)/25))/(LN(2)/25)*Calculateur!DB95*Calculateur!DD95*VLOOKUP('Données projet'!$B$13,Paramètres!$A$1:$I$89,3,0)*0.475*44/12</f>
        <v>33.460741642670669</v>
      </c>
      <c r="DH95" s="21">
        <f>EXP(-LN(2)/2)*DH94+(1-EXP(-LN(2)/2))/(LN(2)/2)*DB95*DE95*VLOOKUP('Données projet'!$B$13,Paramètres!$A$1:$I$89,3,0)*0.475*44/12</f>
        <v>2.7290881335639706E-7</v>
      </c>
      <c r="DI95" s="22">
        <f t="shared" si="69"/>
        <v>58.938767953330931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5.6843418860808015E-14</v>
      </c>
      <c r="DP95" s="17">
        <f>DO95*VLOOKUP('Données projet'!$B$14,Paramètres!$A$1:$I$89,3,0)*VLOOKUP('Données projet'!$B$14,Paramètres!$A$1:$I$89,5,0)</f>
        <v>4.6111381379887463E-14</v>
      </c>
      <c r="DQ95" s="13">
        <f t="shared" si="97"/>
        <v>7.5804141040779151E-13</v>
      </c>
      <c r="DR95" s="20">
        <f t="shared" si="70"/>
        <v>1.4005661123635408E-12</v>
      </c>
      <c r="DS95" s="59">
        <f t="shared" si="71"/>
        <v>293.33333333333474</v>
      </c>
      <c r="DT95" s="59">
        <f ca="1">AVERAGE(OFFSET($DS$3,0,0,'Données projet'!$E$14+1,1))-AVERAGE(OFFSET($H$3,0,0,'Données projet'!$E$14+1,1))</f>
        <v>235.31102883830971</v>
      </c>
      <c r="DU95" s="59">
        <f t="shared" si="98"/>
        <v>271.48630853790422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44.70570726731134</v>
      </c>
      <c r="EB95" s="21">
        <f>EXP(-LN(2)/25)*EB94+(1-EXP(-LN(2)/25))/(LN(2)/25)*Calculateur!DW95*Calculateur!DY95*VLOOKUP('Données projet'!$B$14,Paramètres!$A$1:$I$89,3,0)*0.475*44/12</f>
        <v>55.958132863997257</v>
      </c>
      <c r="EC95" s="21">
        <f>EXP(-LN(2)/2)*EC94+(1-EXP(-LN(2)/2))/(LN(2)/2)*DW95*DZ95*VLOOKUP('Données projet'!$B$14,Paramètres!$A$1:$I$89,3,0)*0.475*44/12</f>
        <v>3.2932472723078644E-7</v>
      </c>
      <c r="ED95" s="22">
        <f t="shared" si="72"/>
        <v>100.66384046063332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-1.2505552149377763E-12</v>
      </c>
      <c r="O96" s="13">
        <f>N96*VLOOKUP('Données projet'!$B$9,Paramètres!$A$1:$I$89,3,0)*VLOOKUP('Données projet'!$B$9,Paramètres!$A$1:$I$89,5,0)</f>
        <v>-6.9906036515021697E-13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446.28010102877403</v>
      </c>
      <c r="T96" s="59">
        <f t="shared" si="88"/>
        <v>445.84011537290456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3.2794943948626973</v>
      </c>
      <c r="AA96" s="21">
        <f>EXP(-LN(2)/25)*AA95+(1-EXP(-LN(2)/25))/(LN(2)/25)*Calculateur!V96*Calculateur!X96*VLOOKUP('Données projet'!$B$9,Paramètres!$A$1:$I$89,3,0)*0.475*44/12</f>
        <v>6.7574302194425879</v>
      </c>
      <c r="AB96" s="21">
        <f>EXP(-LN(2)/2)*AB95+(1-EXP(-LN(2)/2))/(LN(2)/2)*V96*Y96*VLOOKUP('Données projet'!$B$9,Paramètres!$A$1:$I$89,3,0)*0.475*44/12</f>
        <v>1.200918187380006E-8</v>
      </c>
      <c r="AC96" s="22">
        <f t="shared" si="57"/>
        <v>10.036924626314466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18.5</v>
      </c>
      <c r="AI96" s="13">
        <f>IF('Données projet'!$A$62&gt;35,AI95+AH96-AQ95,IF(A96&lt;'Données projet'!$A$62,$AF$205^A96,IF(A96='Données projet'!$A$62,'Données projet'!$B$62,AI95+AH96-AQ95)))</f>
        <v>596.69999999999993</v>
      </c>
      <c r="AJ96" s="13">
        <f>AI96*VLOOKUP('Données projet'!$B$10,Paramètres!$A$1:$I$89,3,0)*VLOOKUP('Données projet'!$B$10,Paramètres!$A$1:$I$89,5,0)</f>
        <v>279.25559999999996</v>
      </c>
      <c r="AK96" s="13">
        <f t="shared" si="89"/>
        <v>66.809671397146161</v>
      </c>
      <c r="AL96" s="20">
        <f t="shared" si="58"/>
        <v>602.73034768336277</v>
      </c>
      <c r="AM96" s="59">
        <f t="shared" si="59"/>
        <v>896.06368101669614</v>
      </c>
      <c r="AN96" s="59">
        <f ca="1">AVERAGE(OFFSET($AM$3,0,0,'Données projet'!$E$10+1,1))-AVERAGE(OFFSET($H$3,0,0,'Données projet'!$E$10+1,1))</f>
        <v>252.98248842635206</v>
      </c>
      <c r="AO96" s="59">
        <f t="shared" si="90"/>
        <v>207.11938580878308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0.90017218240383978</v>
      </c>
      <c r="AV96" s="21">
        <f>EXP(-LN(2)/25)*AV95+(1-EXP(-LN(2)/25))/(LN(2)/25)*Calculateur!AQ96*Calculateur!AS96*VLOOKUP('Données projet'!$B$10,Paramètres!$A$1:$I$89,3,0)*0.475*44/12</f>
        <v>1.369544894246679</v>
      </c>
      <c r="AW96" s="21">
        <f>EXP(-LN(2)/2)*AW95+(1-EXP(-LN(2)/2))/(LN(2)/2)*AQ96*AT96*VLOOKUP('Données projet'!$B$10,Paramètres!$A$1:$I$89,3,0)*0.475*44/12</f>
        <v>3.2374629113078942E-9</v>
      </c>
      <c r="AX96" s="21">
        <f t="shared" si="60"/>
        <v>2.2697170798879815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3.7</v>
      </c>
      <c r="BD96" s="12">
        <f>IF('Données projet'!$A$88&gt;35,BD95+BC96-BL95,IF(A96&lt;'Données projet'!$A$88,$BA$205^A96,IF(A96='Données projet'!$A$88,'Données projet'!$B$88,BD95+BC96-BL95)))</f>
        <v>204.10000000000005</v>
      </c>
      <c r="BE96" s="13">
        <f>BD96*VLOOKUP('Données projet'!$B$11,Paramètres!$A$1:$I$89,3,0)*VLOOKUP('Données projet'!$B$11,Paramètres!$A$1:$I$89,5,0)</f>
        <v>133.72632000000004</v>
      </c>
      <c r="BF96" s="13">
        <f t="shared" si="91"/>
        <v>34.855981140009753</v>
      </c>
      <c r="BG96" s="20">
        <f t="shared" si="61"/>
        <v>293.61417448551703</v>
      </c>
      <c r="BH96" s="59">
        <f t="shared" si="62"/>
        <v>586.94750781885034</v>
      </c>
      <c r="BI96" s="59">
        <f ca="1">AVERAGE(OFFSET($BH$3,0,0,'Données projet'!$E$11+1,1))-AVERAGE(OFFSET($H$3,0,0,'Données projet'!$E$11+1,1))</f>
        <v>114.23168847330004</v>
      </c>
      <c r="BJ96" s="59">
        <f t="shared" si="92"/>
        <v>42.34857998136755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3.7</v>
      </c>
      <c r="BY96" s="12">
        <f>IF('Données projet'!$A$114&gt;35,BY95+BX96-CG95,IF(A96&lt;'Données projet'!$A$114,$BV$205^A96,IF(A96='Données projet'!$A$114,'Données projet'!$B$114,BY95+BX96-CG95)))</f>
        <v>204.10000000000005</v>
      </c>
      <c r="BZ96" s="13">
        <f>BY96*VLOOKUP('Données projet'!$B$12,Paramètres!$A$1:$I$89,3,0)*VLOOKUP('Données projet'!$B$12,Paramètres!$A$1:$I$89,5,0)</f>
        <v>197.40552000000005</v>
      </c>
      <c r="CA96" s="13">
        <f t="shared" si="93"/>
        <v>49.173546967464283</v>
      </c>
      <c r="CB96" s="20">
        <f t="shared" si="64"/>
        <v>429.45854163500036</v>
      </c>
      <c r="CC96" s="59">
        <f t="shared" si="65"/>
        <v>722.79187496833367</v>
      </c>
      <c r="CD96" s="59">
        <f ca="1">AVERAGE(OFFSET($CC$3,0,0,'Données projet'!$E$12+1,1))-AVERAGE(OFFSET($H$3,0,0,'Données projet'!$E$12+1,1))</f>
        <v>201.36664523637006</v>
      </c>
      <c r="CE96" s="59">
        <f t="shared" si="94"/>
        <v>79.394119001888555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22.369061257645509</v>
      </c>
      <c r="CM96" s="21">
        <f>EXP(-LN(2)/2)*CM95+(1-EXP(-LN(2)/2))/(LN(2)/2)*CG96*CJ96*VLOOKUP('Données projet'!$B$12,Paramètres!$A$1:$I$89,3,0)*0.475*44/12</f>
        <v>1.2981039290031208E-7</v>
      </c>
      <c r="CN96" s="22">
        <f t="shared" si="66"/>
        <v>22.369061387455901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4.5999999999999996</v>
      </c>
      <c r="CT96" s="12">
        <f>IF('Données projet'!$A$140&gt;35,CT95+CS96-DB95,IF(A96&lt;'Données projet'!$A$140,$CQ$205^A96,IF(A96='Données projet'!$A$140,'Données projet'!$B$140,CT95+CS96-DB95)))</f>
        <v>267.79999999999984</v>
      </c>
      <c r="CU96" s="17">
        <f>CT96*VLOOKUP('Données projet'!$B$13,Paramètres!$A$1:$I$89,3,0)*VLOOKUP('Données projet'!$B$13,Paramètres!$A$1:$I$89,5,0)</f>
        <v>242.30543999999986</v>
      </c>
      <c r="CV96" s="13">
        <f t="shared" si="95"/>
        <v>58.935280802002652</v>
      </c>
      <c r="CW96" s="20">
        <f t="shared" si="67"/>
        <v>524.66092206348765</v>
      </c>
      <c r="CX96" s="59">
        <f t="shared" si="68"/>
        <v>817.99425539682102</v>
      </c>
      <c r="CY96" s="59">
        <f ca="1">AVERAGE(OFFSET($CX$3,0,0,'Données projet'!$E$13+1,1))-AVERAGE(OFFSET($H$3,0,0,'Données projet'!$E$13+1,1))</f>
        <v>282.08542131880455</v>
      </c>
      <c r="CZ96" s="59">
        <f t="shared" si="96"/>
        <v>174.27503468762325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24.978417487212571</v>
      </c>
      <c r="DG96" s="21">
        <f>EXP(-LN(2)/25)*DG95+(1-EXP(-LN(2)/25))/(LN(2)/25)*Calculateur!DB96*Calculateur!DD96*VLOOKUP('Données projet'!$B$13,Paramètres!$A$1:$I$89,3,0)*0.475*44/12</f>
        <v>32.545755902827914</v>
      </c>
      <c r="DH96" s="21">
        <f>EXP(-LN(2)/2)*DH95+(1-EXP(-LN(2)/2))/(LN(2)/2)*DB96*DE96*VLOOKUP('Données projet'!$B$13,Paramètres!$A$1:$I$89,3,0)*0.475*44/12</f>
        <v>1.929756725698822E-7</v>
      </c>
      <c r="DI96" s="22">
        <f t="shared" si="69"/>
        <v>57.524173583016157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5.6843418860808015E-14</v>
      </c>
      <c r="DP96" s="17">
        <f>DO96*VLOOKUP('Données projet'!$B$14,Paramètres!$A$1:$I$89,3,0)*VLOOKUP('Données projet'!$B$14,Paramètres!$A$1:$I$89,5,0)</f>
        <v>4.6111381379887463E-14</v>
      </c>
      <c r="DQ96" s="13">
        <f t="shared" si="97"/>
        <v>7.5804141040779151E-13</v>
      </c>
      <c r="DR96" s="20">
        <f t="shared" si="70"/>
        <v>1.4005661123635408E-12</v>
      </c>
      <c r="DS96" s="59">
        <f t="shared" si="71"/>
        <v>293.33333333333474</v>
      </c>
      <c r="DT96" s="59">
        <f ca="1">AVERAGE(OFFSET($DS$3,0,0,'Données projet'!$E$14+1,1))-AVERAGE(OFFSET($H$3,0,0,'Données projet'!$E$14+1,1))</f>
        <v>235.31102883830971</v>
      </c>
      <c r="DU96" s="59">
        <f t="shared" si="98"/>
        <v>271.48630853790422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43.829055615588324</v>
      </c>
      <c r="EB96" s="21">
        <f>EXP(-LN(2)/25)*EB95+(1-EXP(-LN(2)/25))/(LN(2)/25)*Calculateur!DW96*Calculateur!DY96*VLOOKUP('Données projet'!$B$14,Paramètres!$A$1:$I$89,3,0)*0.475*44/12</f>
        <v>54.427954778120942</v>
      </c>
      <c r="EC96" s="21">
        <f>EXP(-LN(2)/2)*EC95+(1-EXP(-LN(2)/2))/(LN(2)/2)*DW96*DZ96*VLOOKUP('Données projet'!$B$14,Paramètres!$A$1:$I$89,3,0)*0.475*44/12</f>
        <v>2.3286774783729916E-7</v>
      </c>
      <c r="ED96" s="22">
        <f t="shared" si="72"/>
        <v>98.257010626577014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-1.2505552149377763E-12</v>
      </c>
      <c r="O97" s="13">
        <f>N97*VLOOKUP('Données projet'!$B$9,Paramètres!$A$1:$I$89,3,0)*VLOOKUP('Données projet'!$B$9,Paramètres!$A$1:$I$89,5,0)</f>
        <v>-6.9906036515021697E-13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446.28010102877403</v>
      </c>
      <c r="T97" s="59">
        <f t="shared" si="88"/>
        <v>445.84011537290456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3.2151855100735083</v>
      </c>
      <c r="AA97" s="21">
        <f>EXP(-LN(2)/25)*AA96+(1-EXP(-LN(2)/25))/(LN(2)/25)*Calculateur!V97*Calculateur!X97*VLOOKUP('Données projet'!$B$9,Paramètres!$A$1:$I$89,3,0)*0.475*44/12</f>
        <v>6.5726479347341193</v>
      </c>
      <c r="AB97" s="21">
        <f>EXP(-LN(2)/2)*AB96+(1-EXP(-LN(2)/2))/(LN(2)/2)*V97*Y97*VLOOKUP('Données projet'!$B$9,Paramètres!$A$1:$I$89,3,0)*0.475*44/12</f>
        <v>8.4917739394665919E-9</v>
      </c>
      <c r="AC97" s="22">
        <f t="shared" si="57"/>
        <v>9.7878334532994025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18.5</v>
      </c>
      <c r="AI97" s="13">
        <f>IF('Données projet'!$A$62&gt;35,AI96+AH97-AQ96,IF(A97&lt;'Données projet'!$A$62,$AF$205^A97,IF(A97='Données projet'!$A$62,'Données projet'!$B$62,AI96+AH97-AQ96)))</f>
        <v>615.19999999999993</v>
      </c>
      <c r="AJ97" s="13">
        <f>AI97*VLOOKUP('Données projet'!$B$10,Paramètres!$A$1:$I$89,3,0)*VLOOKUP('Données projet'!$B$10,Paramètres!$A$1:$I$89,5,0)</f>
        <v>287.91359999999997</v>
      </c>
      <c r="AK97" s="13">
        <f t="shared" si="89"/>
        <v>68.636657677063752</v>
      </c>
      <c r="AL97" s="20">
        <f t="shared" si="58"/>
        <v>620.99169878755254</v>
      </c>
      <c r="AM97" s="59">
        <f t="shared" si="59"/>
        <v>914.32503212088591</v>
      </c>
      <c r="AN97" s="59">
        <f ca="1">AVERAGE(OFFSET($AM$3,0,0,'Données projet'!$E$10+1,1))-AVERAGE(OFFSET($H$3,0,0,'Données projet'!$E$10+1,1))</f>
        <v>252.98248842635206</v>
      </c>
      <c r="AO97" s="59">
        <f t="shared" si="90"/>
        <v>207.11938580878308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0.88252035495771752</v>
      </c>
      <c r="AV97" s="21">
        <f>EXP(-LN(2)/25)*AV96+(1-EXP(-LN(2)/25))/(LN(2)/25)*Calculateur!AQ97*Calculateur!AS97*VLOOKUP('Données projet'!$B$10,Paramètres!$A$1:$I$89,3,0)*0.475*44/12</f>
        <v>1.3320946170922678</v>
      </c>
      <c r="AW97" s="21">
        <f>EXP(-LN(2)/2)*AW96+(1-EXP(-LN(2)/2))/(LN(2)/2)*AQ97*AT97*VLOOKUP('Données projet'!$B$10,Paramètres!$A$1:$I$89,3,0)*0.475*44/12</f>
        <v>2.2892319784257542E-9</v>
      </c>
      <c r="AX97" s="21">
        <f t="shared" si="60"/>
        <v>2.2146149743392174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3.7</v>
      </c>
      <c r="BD97" s="12">
        <f>IF('Données projet'!$A$88&gt;35,BD96+BC97-BL96,IF(A97&lt;'Données projet'!$A$88,$BA$205^A97,IF(A97='Données projet'!$A$88,'Données projet'!$B$88,BD96+BC97-BL96)))</f>
        <v>207.80000000000004</v>
      </c>
      <c r="BE97" s="13">
        <f>BD97*VLOOKUP('Données projet'!$B$11,Paramètres!$A$1:$I$89,3,0)*VLOOKUP('Données projet'!$B$11,Paramètres!$A$1:$I$89,5,0)</f>
        <v>136.15056000000001</v>
      </c>
      <c r="BF97" s="13">
        <f t="shared" si="91"/>
        <v>35.413726993364804</v>
      </c>
      <c r="BG97" s="20">
        <f t="shared" si="61"/>
        <v>298.80779984677702</v>
      </c>
      <c r="BH97" s="59">
        <f t="shared" si="62"/>
        <v>592.14113318011027</v>
      </c>
      <c r="BI97" s="59">
        <f ca="1">AVERAGE(OFFSET($BH$3,0,0,'Données projet'!$E$11+1,1))-AVERAGE(OFFSET($H$3,0,0,'Données projet'!$E$11+1,1))</f>
        <v>114.23168847330004</v>
      </c>
      <c r="BJ97" s="59">
        <f t="shared" si="92"/>
        <v>42.34857998136755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3.7</v>
      </c>
      <c r="BY97" s="12">
        <f>IF('Données projet'!$A$114&gt;35,BY96+BX97-CG96,IF(A97&lt;'Données projet'!$A$114,$BV$205^A97,IF(A97='Données projet'!$A$114,'Données projet'!$B$114,BY96+BX97-CG96)))</f>
        <v>207.80000000000004</v>
      </c>
      <c r="BZ97" s="13">
        <f>BY97*VLOOKUP('Données projet'!$B$12,Paramètres!$A$1:$I$89,3,0)*VLOOKUP('Données projet'!$B$12,Paramètres!$A$1:$I$89,5,0)</f>
        <v>200.98416000000003</v>
      </c>
      <c r="CA97" s="13">
        <f t="shared" si="93"/>
        <v>49.960394475950601</v>
      </c>
      <c r="CB97" s="20">
        <f t="shared" si="64"/>
        <v>437.0617657122807</v>
      </c>
      <c r="CC97" s="59">
        <f t="shared" si="65"/>
        <v>730.39509904561396</v>
      </c>
      <c r="CD97" s="59">
        <f ca="1">AVERAGE(OFFSET($CC$3,0,0,'Données projet'!$E$12+1,1))-AVERAGE(OFFSET($H$3,0,0,'Données projet'!$E$12+1,1))</f>
        <v>201.36664523637006</v>
      </c>
      <c r="CE97" s="59">
        <f t="shared" si="94"/>
        <v>79.394119001888555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21.757378101217387</v>
      </c>
      <c r="CM97" s="21">
        <f>EXP(-LN(2)/2)*CM96+(1-EXP(-LN(2)/2))/(LN(2)/2)*CG97*CJ97*VLOOKUP('Données projet'!$B$12,Paramètres!$A$1:$I$89,3,0)*0.475*44/12</f>
        <v>9.1789809088300735E-8</v>
      </c>
      <c r="CN97" s="22">
        <f t="shared" si="66"/>
        <v>21.757378193007195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4.5999999999999996</v>
      </c>
      <c r="CT97" s="12">
        <f>IF('Données projet'!$A$140&gt;35,CT96+CS97-DB96,IF(A97&lt;'Données projet'!$A$140,$CQ$205^A97,IF(A97='Données projet'!$A$140,'Données projet'!$B$140,CT96+CS97-DB96)))</f>
        <v>272.39999999999986</v>
      </c>
      <c r="CU97" s="17">
        <f>CT97*VLOOKUP('Données projet'!$B$13,Paramètres!$A$1:$I$89,3,0)*VLOOKUP('Données projet'!$B$13,Paramètres!$A$1:$I$89,5,0)</f>
        <v>246.46751999999987</v>
      </c>
      <c r="CV97" s="13">
        <f t="shared" si="95"/>
        <v>59.828888074216977</v>
      </c>
      <c r="CW97" s="20">
        <f t="shared" si="67"/>
        <v>533.46624406259423</v>
      </c>
      <c r="CX97" s="59">
        <f t="shared" si="68"/>
        <v>826.7995773959276</v>
      </c>
      <c r="CY97" s="59">
        <f ca="1">AVERAGE(OFFSET($CX$3,0,0,'Données projet'!$E$13+1,1))-AVERAGE(OFFSET($H$3,0,0,'Données projet'!$E$13+1,1))</f>
        <v>282.08542131880455</v>
      </c>
      <c r="CZ97" s="59">
        <f t="shared" si="96"/>
        <v>174.27503468762325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24.488605955618635</v>
      </c>
      <c r="DG97" s="21">
        <f>EXP(-LN(2)/25)*DG96+(1-EXP(-LN(2)/25))/(LN(2)/25)*Calculateur!DB97*Calculateur!DD97*VLOOKUP('Données projet'!$B$13,Paramètres!$A$1:$I$89,3,0)*0.475*44/12</f>
        <v>31.655790496158165</v>
      </c>
      <c r="DH97" s="21">
        <f>EXP(-LN(2)/2)*DH96+(1-EXP(-LN(2)/2))/(LN(2)/2)*DB97*DE97*VLOOKUP('Données projet'!$B$13,Paramètres!$A$1:$I$89,3,0)*0.475*44/12</f>
        <v>1.3645440667819853E-7</v>
      </c>
      <c r="DI97" s="22">
        <f t="shared" si="69"/>
        <v>56.144396588231203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5.6843418860808015E-14</v>
      </c>
      <c r="DP97" s="17">
        <f>DO97*VLOOKUP('Données projet'!$B$14,Paramètres!$A$1:$I$89,3,0)*VLOOKUP('Données projet'!$B$14,Paramètres!$A$1:$I$89,5,0)</f>
        <v>4.6111381379887463E-14</v>
      </c>
      <c r="DQ97" s="13">
        <f t="shared" si="97"/>
        <v>7.5804141040779151E-13</v>
      </c>
      <c r="DR97" s="20">
        <f t="shared" si="70"/>
        <v>1.4005661123635408E-12</v>
      </c>
      <c r="DS97" s="59">
        <f t="shared" si="71"/>
        <v>293.33333333333474</v>
      </c>
      <c r="DT97" s="59">
        <f ca="1">AVERAGE(OFFSET($DS$3,0,0,'Données projet'!$E$14+1,1))-AVERAGE(OFFSET($H$3,0,0,'Données projet'!$E$14+1,1))</f>
        <v>235.31102883830971</v>
      </c>
      <c r="DU97" s="59">
        <f t="shared" si="98"/>
        <v>271.48630853790422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42.969594568050887</v>
      </c>
      <c r="EB97" s="21">
        <f>EXP(-LN(2)/25)*EB96+(1-EXP(-LN(2)/25))/(LN(2)/25)*Calculateur!DW97*Calculateur!DY97*VLOOKUP('Données projet'!$B$14,Paramètres!$A$1:$I$89,3,0)*0.475*44/12</f>
        <v>52.939619492471479</v>
      </c>
      <c r="EC97" s="21">
        <f>EXP(-LN(2)/2)*EC96+(1-EXP(-LN(2)/2))/(LN(2)/2)*DW97*DZ97*VLOOKUP('Données projet'!$B$14,Paramètres!$A$1:$I$89,3,0)*0.475*44/12</f>
        <v>1.6466236361539325E-7</v>
      </c>
      <c r="ED97" s="22">
        <f t="shared" si="72"/>
        <v>95.909214225184741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-1.2505552149377763E-12</v>
      </c>
      <c r="O98" s="13">
        <f>N98*VLOOKUP('Données projet'!$B$9,Paramètres!$A$1:$I$89,3,0)*VLOOKUP('Données projet'!$B$9,Paramètres!$A$1:$I$89,5,0)</f>
        <v>-6.9906036515021697E-13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446.28010102877403</v>
      </c>
      <c r="T98" s="59">
        <f t="shared" si="88"/>
        <v>445.84011537290456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3.1521376832904884</v>
      </c>
      <c r="AA98" s="21">
        <f>EXP(-LN(2)/25)*AA97+(1-EXP(-LN(2)/25))/(LN(2)/25)*Calculateur!V98*Calculateur!X98*VLOOKUP('Données projet'!$B$9,Paramètres!$A$1:$I$89,3,0)*0.475*44/12</f>
        <v>6.3929185313182817</v>
      </c>
      <c r="AB98" s="21">
        <f>EXP(-LN(2)/2)*AB97+(1-EXP(-LN(2)/2))/(LN(2)/2)*V98*Y98*VLOOKUP('Données projet'!$B$9,Paramètres!$A$1:$I$89,3,0)*0.475*44/12</f>
        <v>6.0045909369000301E-9</v>
      </c>
      <c r="AC98" s="22">
        <f t="shared" si="57"/>
        <v>9.5450562206133611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18.5</v>
      </c>
      <c r="AI98" s="13">
        <f>IF('Données projet'!$A$62&gt;35,AI97+AH98-AQ97,IF(A98&lt;'Données projet'!$A$62,$AF$205^A98,IF(A98='Données projet'!$A$62,'Données projet'!$B$62,AI97+AH98-AQ97)))</f>
        <v>633.69999999999993</v>
      </c>
      <c r="AJ98" s="13">
        <f>AI98*VLOOKUP('Données projet'!$B$10,Paramètres!$A$1:$I$89,3,0)*VLOOKUP('Données projet'!$B$10,Paramètres!$A$1:$I$89,5,0)</f>
        <v>296.57159999999999</v>
      </c>
      <c r="AK98" s="13">
        <f t="shared" si="89"/>
        <v>70.457259073622822</v>
      </c>
      <c r="AL98" s="20">
        <f t="shared" si="58"/>
        <v>639.24192955322633</v>
      </c>
      <c r="AM98" s="59">
        <f t="shared" si="59"/>
        <v>932.57526288655959</v>
      </c>
      <c r="AN98" s="59">
        <f ca="1">AVERAGE(OFFSET($AM$3,0,0,'Données projet'!$E$10+1,1))-AVERAGE(OFFSET($H$3,0,0,'Données projet'!$E$10+1,1))</f>
        <v>252.98248842635206</v>
      </c>
      <c r="AO98" s="59">
        <f t="shared" si="90"/>
        <v>207.11938580878308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0.8652146690812621</v>
      </c>
      <c r="AV98" s="21">
        <f>EXP(-LN(2)/25)*AV97+(1-EXP(-LN(2)/25))/(LN(2)/25)*Calculateur!AQ98*Calculateur!AS98*VLOOKUP('Données projet'!$B$10,Paramètres!$A$1:$I$89,3,0)*0.475*44/12</f>
        <v>1.2956684197360684</v>
      </c>
      <c r="AW98" s="21">
        <f>EXP(-LN(2)/2)*AW97+(1-EXP(-LN(2)/2))/(LN(2)/2)*AQ98*AT98*VLOOKUP('Données projet'!$B$10,Paramètres!$A$1:$I$89,3,0)*0.475*44/12</f>
        <v>1.6187314556539471E-9</v>
      </c>
      <c r="AX98" s="21">
        <f t="shared" si="60"/>
        <v>2.1608830904360619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3.7</v>
      </c>
      <c r="BD98" s="12">
        <f>IF('Données projet'!$A$88&gt;35,BD97+BC98-BL97,IF(A98&lt;'Données projet'!$A$88,$BA$205^A98,IF(A98='Données projet'!$A$88,'Données projet'!$B$88,BD97+BC98-BL97)))</f>
        <v>211.50000000000003</v>
      </c>
      <c r="BE98" s="13">
        <f>BD98*VLOOKUP('Données projet'!$B$11,Paramètres!$A$1:$I$89,3,0)*VLOOKUP('Données projet'!$B$11,Paramètres!$A$1:$I$89,5,0)</f>
        <v>138.57480000000001</v>
      </c>
      <c r="BF98" s="13">
        <f t="shared" si="91"/>
        <v>35.97031801209345</v>
      </c>
      <c r="BG98" s="20">
        <f t="shared" si="61"/>
        <v>303.99941387106276</v>
      </c>
      <c r="BH98" s="59">
        <f t="shared" si="62"/>
        <v>597.33274720439613</v>
      </c>
      <c r="BI98" s="59">
        <f ca="1">AVERAGE(OFFSET($BH$3,0,0,'Données projet'!$E$11+1,1))-AVERAGE(OFFSET($H$3,0,0,'Données projet'!$E$11+1,1))</f>
        <v>114.23168847330004</v>
      </c>
      <c r="BJ98" s="59">
        <f t="shared" si="92"/>
        <v>42.34857998136755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3.7</v>
      </c>
      <c r="BY98" s="12">
        <f>IF('Données projet'!$A$114&gt;35,BY97+BX98-CG97,IF(A98&lt;'Données projet'!$A$114,$BV$205^A98,IF(A98='Données projet'!$A$114,'Données projet'!$B$114,BY97+BX98-CG97)))</f>
        <v>211.50000000000003</v>
      </c>
      <c r="BZ98" s="13">
        <f>BY98*VLOOKUP('Données projet'!$B$12,Paramètres!$A$1:$I$89,3,0)*VLOOKUP('Données projet'!$B$12,Paramètres!$A$1:$I$89,5,0)</f>
        <v>204.56280000000004</v>
      </c>
      <c r="CA98" s="13">
        <f t="shared" si="93"/>
        <v>50.745612785863763</v>
      </c>
      <c r="CB98" s="20">
        <f t="shared" si="64"/>
        <v>444.66215226871276</v>
      </c>
      <c r="CC98" s="59">
        <f t="shared" si="65"/>
        <v>737.99548560204607</v>
      </c>
      <c r="CD98" s="59">
        <f ca="1">AVERAGE(OFFSET($CC$3,0,0,'Données projet'!$E$12+1,1))-AVERAGE(OFFSET($H$3,0,0,'Données projet'!$E$12+1,1))</f>
        <v>201.36664523637006</v>
      </c>
      <c r="CE98" s="59">
        <f t="shared" si="94"/>
        <v>79.394119001888555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21.162421452868809</v>
      </c>
      <c r="CM98" s="21">
        <f>EXP(-LN(2)/2)*CM97+(1-EXP(-LN(2)/2))/(LN(2)/2)*CG98*CJ98*VLOOKUP('Données projet'!$B$12,Paramètres!$A$1:$I$89,3,0)*0.475*44/12</f>
        <v>6.4905196450156038E-8</v>
      </c>
      <c r="CN98" s="22">
        <f t="shared" si="66"/>
        <v>21.162421517774007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4.5999999999999996</v>
      </c>
      <c r="CT98" s="12">
        <f>IF('Données projet'!$A$140&gt;35,CT97+CS98-DB97,IF(A98&lt;'Données projet'!$A$140,$CQ$205^A98,IF(A98='Données projet'!$A$140,'Données projet'!$B$140,CT97+CS98-DB97)))</f>
        <v>276.99999999999989</v>
      </c>
      <c r="CU98" s="17">
        <f>CT98*VLOOKUP('Données projet'!$B$13,Paramètres!$A$1:$I$89,3,0)*VLOOKUP('Données projet'!$B$13,Paramètres!$A$1:$I$89,5,0)</f>
        <v>250.62959999999987</v>
      </c>
      <c r="CV98" s="13">
        <f t="shared" si="95"/>
        <v>60.720740474356369</v>
      </c>
      <c r="CW98" s="20">
        <f t="shared" si="67"/>
        <v>542.26850965950382</v>
      </c>
      <c r="CX98" s="59">
        <f t="shared" si="68"/>
        <v>835.60184299283719</v>
      </c>
      <c r="CY98" s="59">
        <f ca="1">AVERAGE(OFFSET($CX$3,0,0,'Données projet'!$E$13+1,1))-AVERAGE(OFFSET($H$3,0,0,'Données projet'!$E$13+1,1))</f>
        <v>282.08542131880455</v>
      </c>
      <c r="CZ98" s="59">
        <f t="shared" si="96"/>
        <v>174.27503468762325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24.008399329403723</v>
      </c>
      <c r="DG98" s="21">
        <f>EXP(-LN(2)/25)*DG97+(1-EXP(-LN(2)/25))/(LN(2)/25)*Calculateur!DB98*Calculateur!DD98*VLOOKUP('Données projet'!$B$13,Paramètres!$A$1:$I$89,3,0)*0.475*44/12</f>
        <v>30.790161240335049</v>
      </c>
      <c r="DH98" s="21">
        <f>EXP(-LN(2)/2)*DH97+(1-EXP(-LN(2)/2))/(LN(2)/2)*DB98*DE98*VLOOKUP('Données projet'!$B$13,Paramètres!$A$1:$I$89,3,0)*0.475*44/12</f>
        <v>9.64878362849411E-8</v>
      </c>
      <c r="DI98" s="22">
        <f t="shared" si="69"/>
        <v>54.798560666226606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5.6843418860808015E-14</v>
      </c>
      <c r="DP98" s="17">
        <f>DO98*VLOOKUP('Données projet'!$B$14,Paramètres!$A$1:$I$89,3,0)*VLOOKUP('Données projet'!$B$14,Paramètres!$A$1:$I$89,5,0)</f>
        <v>4.6111381379887463E-14</v>
      </c>
      <c r="DQ98" s="13">
        <f t="shared" si="97"/>
        <v>7.5804141040779151E-13</v>
      </c>
      <c r="DR98" s="20">
        <f t="shared" si="70"/>
        <v>1.4005661123635408E-12</v>
      </c>
      <c r="DS98" s="59">
        <f t="shared" si="71"/>
        <v>293.33333333333474</v>
      </c>
      <c r="DT98" s="59">
        <f ca="1">AVERAGE(OFFSET($DS$3,0,0,'Données projet'!$E$14+1,1))-AVERAGE(OFFSET($H$3,0,0,'Données projet'!$E$14+1,1))</f>
        <v>235.31102883830971</v>
      </c>
      <c r="DU98" s="59">
        <f t="shared" si="98"/>
        <v>271.48630853790422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42.126987027436186</v>
      </c>
      <c r="EB98" s="21">
        <f>EXP(-LN(2)/25)*EB97+(1-EXP(-LN(2)/25))/(LN(2)/25)*Calculateur!DW98*Calculateur!DY98*VLOOKUP('Données projet'!$B$14,Paramètres!$A$1:$I$89,3,0)*0.475*44/12</f>
        <v>51.491982813476255</v>
      </c>
      <c r="EC98" s="21">
        <f>EXP(-LN(2)/2)*EC97+(1-EXP(-LN(2)/2))/(LN(2)/2)*DW98*DZ98*VLOOKUP('Données projet'!$B$14,Paramètres!$A$1:$I$89,3,0)*0.475*44/12</f>
        <v>1.1643387391864961E-7</v>
      </c>
      <c r="ED98" s="22">
        <f t="shared" si="72"/>
        <v>93.618969957346309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-1.2505552149377763E-12</v>
      </c>
      <c r="O99" s="13">
        <f>N99*VLOOKUP('Données projet'!$B$9,Paramètres!$A$1:$I$89,3,0)*VLOOKUP('Données projet'!$B$9,Paramètres!$A$1:$I$89,5,0)</f>
        <v>-6.9906036515021697E-13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446.28010102877403</v>
      </c>
      <c r="T99" s="59">
        <f t="shared" si="88"/>
        <v>445.84011537290456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3.0903261859353064</v>
      </c>
      <c r="AA99" s="21">
        <f>EXP(-LN(2)/25)*AA98+(1-EXP(-LN(2)/25))/(LN(2)/25)*Calculateur!V99*Calculateur!X99*VLOOKUP('Données projet'!$B$9,Paramètres!$A$1:$I$89,3,0)*0.475*44/12</f>
        <v>6.2181038378904088</v>
      </c>
      <c r="AB99" s="21">
        <f>EXP(-LN(2)/2)*AB98+(1-EXP(-LN(2)/2))/(LN(2)/2)*V99*Y99*VLOOKUP('Données projet'!$B$9,Paramètres!$A$1:$I$89,3,0)*0.475*44/12</f>
        <v>4.2458869697332959E-9</v>
      </c>
      <c r="AC99" s="22">
        <f t="shared" si="57"/>
        <v>9.3084300280716015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18.5</v>
      </c>
      <c r="AI99" s="13">
        <f>IF('Données projet'!$A$62&gt;35,AI98+AH99-AQ98,IF(A99&lt;'Données projet'!$A$62,$AF$205^A99,IF(A99='Données projet'!$A$62,'Données projet'!$B$62,AI98+AH99-AQ98)))</f>
        <v>652.19999999999993</v>
      </c>
      <c r="AJ99" s="13">
        <f>AI99*VLOOKUP('Données projet'!$B$10,Paramètres!$A$1:$I$89,3,0)*VLOOKUP('Données projet'!$B$10,Paramètres!$A$1:$I$89,5,0)</f>
        <v>305.22959999999995</v>
      </c>
      <c r="AK99" s="13">
        <f t="shared" si="89"/>
        <v>72.271683388093081</v>
      </c>
      <c r="AL99" s="20">
        <f t="shared" si="58"/>
        <v>657.48140190092874</v>
      </c>
      <c r="AM99" s="59">
        <f t="shared" si="59"/>
        <v>950.81473523426212</v>
      </c>
      <c r="AN99" s="59">
        <f ca="1">AVERAGE(OFFSET($AM$3,0,0,'Données projet'!$E$10+1,1))-AVERAGE(OFFSET($H$3,0,0,'Données projet'!$E$10+1,1))</f>
        <v>252.98248842635206</v>
      </c>
      <c r="AO99" s="59">
        <f t="shared" si="90"/>
        <v>207.11938580878308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0.84824833714941783</v>
      </c>
      <c r="AV99" s="21">
        <f>EXP(-LN(2)/25)*AV98+(1-EXP(-LN(2)/25))/(LN(2)/25)*Calculateur!AQ99*Calculateur!AS99*VLOOKUP('Données projet'!$B$10,Paramètres!$A$1:$I$89,3,0)*0.475*44/12</f>
        <v>1.2602382986621448</v>
      </c>
      <c r="AW99" s="21">
        <f>EXP(-LN(2)/2)*AW98+(1-EXP(-LN(2)/2))/(LN(2)/2)*AQ99*AT99*VLOOKUP('Données projet'!$B$10,Paramètres!$A$1:$I$89,3,0)*0.475*44/12</f>
        <v>1.1446159892128771E-9</v>
      </c>
      <c r="AX99" s="21">
        <f t="shared" si="60"/>
        <v>2.1084866369561786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3.7</v>
      </c>
      <c r="BD99" s="12">
        <f>IF('Données projet'!$A$88&gt;35,BD98+BC99-BL98,IF(A99&lt;'Données projet'!$A$88,$BA$205^A99,IF(A99='Données projet'!$A$88,'Données projet'!$B$88,BD98+BC99-BL98)))</f>
        <v>215.20000000000002</v>
      </c>
      <c r="BE99" s="13">
        <f>BD99*VLOOKUP('Données projet'!$B$11,Paramètres!$A$1:$I$89,3,0)*VLOOKUP('Données projet'!$B$11,Paramètres!$A$1:$I$89,5,0)</f>
        <v>140.99904000000001</v>
      </c>
      <c r="BF99" s="13">
        <f t="shared" si="91"/>
        <v>36.525776729948824</v>
      </c>
      <c r="BG99" s="20">
        <f t="shared" si="61"/>
        <v>309.18905580466088</v>
      </c>
      <c r="BH99" s="59">
        <f t="shared" si="62"/>
        <v>602.5223891379942</v>
      </c>
      <c r="BI99" s="59">
        <f ca="1">AVERAGE(OFFSET($BH$3,0,0,'Données projet'!$E$11+1,1))-AVERAGE(OFFSET($H$3,0,0,'Données projet'!$E$11+1,1))</f>
        <v>114.23168847330004</v>
      </c>
      <c r="BJ99" s="59">
        <f t="shared" si="92"/>
        <v>42.34857998136755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3.7</v>
      </c>
      <c r="BY99" s="12">
        <f>IF('Données projet'!$A$114&gt;35,BY98+BX99-CG98,IF(A99&lt;'Données projet'!$A$114,$BV$205^A99,IF(A99='Données projet'!$A$114,'Données projet'!$B$114,BY98+BX99-CG98)))</f>
        <v>215.20000000000002</v>
      </c>
      <c r="BZ99" s="13">
        <f>BY99*VLOOKUP('Données projet'!$B$12,Paramètres!$A$1:$I$89,3,0)*VLOOKUP('Données projet'!$B$12,Paramètres!$A$1:$I$89,5,0)</f>
        <v>208.14144000000002</v>
      </c>
      <c r="CA99" s="13">
        <f t="shared" si="93"/>
        <v>51.529233687000762</v>
      </c>
      <c r="CB99" s="20">
        <f t="shared" si="64"/>
        <v>452.2597566715263</v>
      </c>
      <c r="CC99" s="59">
        <f t="shared" si="65"/>
        <v>745.59309000485962</v>
      </c>
      <c r="CD99" s="59">
        <f ca="1">AVERAGE(OFFSET($CC$3,0,0,'Données projet'!$E$12+1,1))-AVERAGE(OFFSET($H$3,0,0,'Données projet'!$E$12+1,1))</f>
        <v>201.36664523637006</v>
      </c>
      <c r="CE99" s="59">
        <f t="shared" si="94"/>
        <v>79.394119001888555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20.583733925356736</v>
      </c>
      <c r="CM99" s="21">
        <f>EXP(-LN(2)/2)*CM98+(1-EXP(-LN(2)/2))/(LN(2)/2)*CG99*CJ99*VLOOKUP('Données projet'!$B$12,Paramètres!$A$1:$I$89,3,0)*0.475*44/12</f>
        <v>4.5894904544150368E-8</v>
      </c>
      <c r="CN99" s="22">
        <f t="shared" si="66"/>
        <v>20.58373397125164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4.5999999999999996</v>
      </c>
      <c r="CT99" s="12">
        <f>IF('Données projet'!$A$140&gt;35,CT98+CS99-DB98,IF(A99&lt;'Données projet'!$A$140,$CQ$205^A99,IF(A99='Données projet'!$A$140,'Données projet'!$B$140,CT98+CS99-DB98)))</f>
        <v>281.59999999999991</v>
      </c>
      <c r="CU99" s="17">
        <f>CT99*VLOOKUP('Données projet'!$B$13,Paramètres!$A$1:$I$89,3,0)*VLOOKUP('Données projet'!$B$13,Paramètres!$A$1:$I$89,5,0)</f>
        <v>254.79167999999993</v>
      </c>
      <c r="CV99" s="13">
        <f t="shared" si="95"/>
        <v>61.610870508448471</v>
      </c>
      <c r="CW99" s="20">
        <f t="shared" si="67"/>
        <v>551.06777546888088</v>
      </c>
      <c r="CX99" s="59">
        <f t="shared" si="68"/>
        <v>844.40110880221414</v>
      </c>
      <c r="CY99" s="59">
        <f ca="1">AVERAGE(OFFSET($CX$3,0,0,'Données projet'!$E$13+1,1))-AVERAGE(OFFSET($H$3,0,0,'Données projet'!$E$13+1,1))</f>
        <v>282.08542131880455</v>
      </c>
      <c r="CZ99" s="59">
        <f t="shared" si="96"/>
        <v>174.27503468762325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23.537609262231765</v>
      </c>
      <c r="DG99" s="21">
        <f>EXP(-LN(2)/25)*DG98+(1-EXP(-LN(2)/25))/(LN(2)/25)*Calculateur!DB99*Calculateur!DD99*VLOOKUP('Données projet'!$B$13,Paramètres!$A$1:$I$89,3,0)*0.475*44/12</f>
        <v>29.948202662033879</v>
      </c>
      <c r="DH99" s="21">
        <f>EXP(-LN(2)/2)*DH98+(1-EXP(-LN(2)/2))/(LN(2)/2)*DB99*DE99*VLOOKUP('Données projet'!$B$13,Paramètres!$A$1:$I$89,3,0)*0.475*44/12</f>
        <v>6.8227203339099266E-8</v>
      </c>
      <c r="DI99" s="22">
        <f t="shared" si="69"/>
        <v>53.485811992492849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5.6843418860808015E-14</v>
      </c>
      <c r="DP99" s="17">
        <f>DO99*VLOOKUP('Données projet'!$B$14,Paramètres!$A$1:$I$89,3,0)*VLOOKUP('Données projet'!$B$14,Paramètres!$A$1:$I$89,5,0)</f>
        <v>4.6111381379887463E-14</v>
      </c>
      <c r="DQ99" s="13">
        <f t="shared" si="97"/>
        <v>7.5804141040779151E-13</v>
      </c>
      <c r="DR99" s="20">
        <f t="shared" si="70"/>
        <v>1.4005661123635408E-12</v>
      </c>
      <c r="DS99" s="59">
        <f t="shared" si="71"/>
        <v>293.33333333333474</v>
      </c>
      <c r="DT99" s="59">
        <f ca="1">AVERAGE(OFFSET($DS$3,0,0,'Données projet'!$E$14+1,1))-AVERAGE(OFFSET($H$3,0,0,'Données projet'!$E$14+1,1))</f>
        <v>235.31102883830971</v>
      </c>
      <c r="DU99" s="59">
        <f t="shared" si="98"/>
        <v>271.48630853790422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41.30090250675309</v>
      </c>
      <c r="EB99" s="21">
        <f>EXP(-LN(2)/25)*EB98+(1-EXP(-LN(2)/25))/(LN(2)/25)*Calculateur!DW99*Calculateur!DY99*VLOOKUP('Données projet'!$B$14,Paramètres!$A$1:$I$89,3,0)*0.475*44/12</f>
        <v>50.083931835596054</v>
      </c>
      <c r="EC99" s="21">
        <f>EXP(-LN(2)/2)*EC98+(1-EXP(-LN(2)/2))/(LN(2)/2)*DW99*DZ99*VLOOKUP('Données projet'!$B$14,Paramètres!$A$1:$I$89,3,0)*0.475*44/12</f>
        <v>8.2331181807696637E-8</v>
      </c>
      <c r="ED99" s="22">
        <f t="shared" si="72"/>
        <v>91.384834424680321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-1.2505552149377763E-12</v>
      </c>
      <c r="O100" s="13">
        <f>N100*VLOOKUP('Données projet'!$B$9,Paramètres!$A$1:$I$89,3,0)*VLOOKUP('Données projet'!$B$9,Paramètres!$A$1:$I$89,5,0)</f>
        <v>-6.9906036515021697E-13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446.28010102877403</v>
      </c>
      <c r="T100" s="59">
        <f t="shared" si="88"/>
        <v>445.84011537290456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3.0297267743419689</v>
      </c>
      <c r="AA100" s="21">
        <f>EXP(-LN(2)/25)*AA99+(1-EXP(-LN(2)/25))/(LN(2)/25)*Calculateur!V100*Calculateur!X100*VLOOKUP('Données projet'!$B$9,Paramètres!$A$1:$I$89,3,0)*0.475*44/12</f>
        <v>6.048069461447426</v>
      </c>
      <c r="AB100" s="21">
        <f>EXP(-LN(2)/2)*AB99+(1-EXP(-LN(2)/2))/(LN(2)/2)*V100*Y100*VLOOKUP('Données projet'!$B$9,Paramètres!$A$1:$I$89,3,0)*0.475*44/12</f>
        <v>3.0022954684500151E-9</v>
      </c>
      <c r="AC100" s="22">
        <f t="shared" si="57"/>
        <v>9.0777962387916897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18.5</v>
      </c>
      <c r="AI100" s="13">
        <f>IF('Données projet'!$A$62&gt;35,AI99+AH100-AQ99,IF(A100&lt;'Données projet'!$A$62,$AF$205^A100,IF(A100='Données projet'!$A$62,'Données projet'!$B$62,AI99+AH100-AQ99)))</f>
        <v>670.69999999999993</v>
      </c>
      <c r="AJ100" s="13">
        <f>AI100*VLOOKUP('Données projet'!$B$10,Paramètres!$A$1:$I$89,3,0)*VLOOKUP('Données projet'!$B$10,Paramètres!$A$1:$I$89,5,0)</f>
        <v>313.88759999999996</v>
      </c>
      <c r="AK100" s="13">
        <f t="shared" si="89"/>
        <v>74.080125962367049</v>
      </c>
      <c r="AL100" s="20">
        <f t="shared" si="58"/>
        <v>675.71045605112249</v>
      </c>
      <c r="AM100" s="59">
        <f t="shared" si="59"/>
        <v>969.04378938445575</v>
      </c>
      <c r="AN100" s="59">
        <f ca="1">AVERAGE(OFFSET($AM$3,0,0,'Données projet'!$E$10+1,1))-AVERAGE(OFFSET($H$3,0,0,'Données projet'!$E$10+1,1))</f>
        <v>252.98248842635206</v>
      </c>
      <c r="AO100" s="59">
        <f t="shared" si="90"/>
        <v>207.11938580878308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0.83161470463831633</v>
      </c>
      <c r="AV100" s="21">
        <f>EXP(-LN(2)/25)*AV99+(1-EXP(-LN(2)/25))/(LN(2)/25)*Calculateur!AQ100*Calculateur!AS100*VLOOKUP('Données projet'!$B$10,Paramètres!$A$1:$I$89,3,0)*0.475*44/12</f>
        <v>1.2257770161121766</v>
      </c>
      <c r="AW100" s="21">
        <f>EXP(-LN(2)/2)*AW99+(1-EXP(-LN(2)/2))/(LN(2)/2)*AQ100*AT100*VLOOKUP('Données projet'!$B$10,Paramètres!$A$1:$I$89,3,0)*0.475*44/12</f>
        <v>8.0936572782697355E-10</v>
      </c>
      <c r="AX100" s="21">
        <f t="shared" si="60"/>
        <v>2.0573917215598589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3.7</v>
      </c>
      <c r="BD100" s="12">
        <f>IF('Données projet'!$A$88&gt;35,BD99+BC100-BL99,IF(A100&lt;'Données projet'!$A$88,$BA$205^A100,IF(A100='Données projet'!$A$88,'Données projet'!$B$88,BD99+BC100-BL99)))</f>
        <v>218.9</v>
      </c>
      <c r="BE100" s="13">
        <f>BD100*VLOOKUP('Données projet'!$B$11,Paramètres!$A$1:$I$89,3,0)*VLOOKUP('Données projet'!$B$11,Paramètres!$A$1:$I$89,5,0)</f>
        <v>143.42328000000001</v>
      </c>
      <c r="BF100" s="13">
        <f t="shared" si="91"/>
        <v>37.080124861426938</v>
      </c>
      <c r="BG100" s="20">
        <f t="shared" si="61"/>
        <v>314.37676346698521</v>
      </c>
      <c r="BH100" s="59">
        <f t="shared" si="62"/>
        <v>607.71009680031852</v>
      </c>
      <c r="BI100" s="59">
        <f ca="1">AVERAGE(OFFSET($BH$3,0,0,'Données projet'!$E$11+1,1))-AVERAGE(OFFSET($H$3,0,0,'Données projet'!$E$11+1,1))</f>
        <v>114.23168847330004</v>
      </c>
      <c r="BJ100" s="59">
        <f t="shared" si="92"/>
        <v>42.34857998136755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3.7</v>
      </c>
      <c r="BY100" s="12">
        <f>IF('Données projet'!$A$114&gt;35,BY99+BX100-CG99,IF(A100&lt;'Données projet'!$A$114,$BV$205^A100,IF(A100='Données projet'!$A$114,'Données projet'!$B$114,BY99+BX100-CG99)))</f>
        <v>218.9</v>
      </c>
      <c r="BZ100" s="13">
        <f>BY100*VLOOKUP('Données projet'!$B$12,Paramètres!$A$1:$I$89,3,0)*VLOOKUP('Données projet'!$B$12,Paramètres!$A$1:$I$89,5,0)</f>
        <v>211.72008</v>
      </c>
      <c r="CA100" s="13">
        <f t="shared" si="93"/>
        <v>52.31128781338063</v>
      </c>
      <c r="CB100" s="20">
        <f t="shared" si="64"/>
        <v>459.85463227497115</v>
      </c>
      <c r="CC100" s="59">
        <f t="shared" si="65"/>
        <v>753.18796560830447</v>
      </c>
      <c r="CD100" s="59">
        <f ca="1">AVERAGE(OFFSET($CC$3,0,0,'Données projet'!$E$12+1,1))-AVERAGE(OFFSET($H$3,0,0,'Données projet'!$E$12+1,1))</f>
        <v>201.36664523637006</v>
      </c>
      <c r="CE100" s="59">
        <f t="shared" si="94"/>
        <v>79.394119001888555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20.020870638716332</v>
      </c>
      <c r="CM100" s="21">
        <f>EXP(-LN(2)/2)*CM99+(1-EXP(-LN(2)/2))/(LN(2)/2)*CG100*CJ100*VLOOKUP('Données projet'!$B$12,Paramètres!$A$1:$I$89,3,0)*0.475*44/12</f>
        <v>3.2452598225078019E-8</v>
      </c>
      <c r="CN100" s="22">
        <f t="shared" si="66"/>
        <v>20.020870671168929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4.5999999999999996</v>
      </c>
      <c r="CT100" s="12">
        <f>IF('Données projet'!$A$140&gt;35,CT99+CS100-DB99,IF(A100&lt;'Données projet'!$A$140,$CQ$205^A100,IF(A100='Données projet'!$A$140,'Données projet'!$B$140,CT99+CS100-DB99)))</f>
        <v>286.19999999999993</v>
      </c>
      <c r="CU100" s="17">
        <f>CT100*VLOOKUP('Données projet'!$B$13,Paramètres!$A$1:$I$89,3,0)*VLOOKUP('Données projet'!$B$13,Paramètres!$A$1:$I$89,5,0)</f>
        <v>258.95375999999993</v>
      </c>
      <c r="CV100" s="13">
        <f t="shared" si="95"/>
        <v>62.499309559645262</v>
      </c>
      <c r="CW100" s="20">
        <f t="shared" si="67"/>
        <v>559.86409614971535</v>
      </c>
      <c r="CX100" s="59">
        <f t="shared" si="68"/>
        <v>853.19742948304861</v>
      </c>
      <c r="CY100" s="59">
        <f ca="1">AVERAGE(OFFSET($CX$3,0,0,'Données projet'!$E$13+1,1))-AVERAGE(OFFSET($H$3,0,0,'Données projet'!$E$13+1,1))</f>
        <v>282.08542131880455</v>
      </c>
      <c r="CZ100" s="59">
        <f t="shared" si="96"/>
        <v>174.27503468762325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23.076051101123461</v>
      </c>
      <c r="DG100" s="21">
        <f>EXP(-LN(2)/25)*DG99+(1-EXP(-LN(2)/25))/(LN(2)/25)*Calculateur!DB100*Calculateur!DD100*VLOOKUP('Données projet'!$B$13,Paramètres!$A$1:$I$89,3,0)*0.475*44/12</f>
        <v>29.129267485333031</v>
      </c>
      <c r="DH100" s="21">
        <f>EXP(-LN(2)/2)*DH99+(1-EXP(-LN(2)/2))/(LN(2)/2)*DB100*DE100*VLOOKUP('Données projet'!$B$13,Paramètres!$A$1:$I$89,3,0)*0.475*44/12</f>
        <v>4.824391814247055E-8</v>
      </c>
      <c r="DI100" s="22">
        <f t="shared" si="69"/>
        <v>52.205318634700411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5.6843418860808015E-14</v>
      </c>
      <c r="DP100" s="17">
        <f>DO100*VLOOKUP('Données projet'!$B$14,Paramètres!$A$1:$I$89,3,0)*VLOOKUP('Données projet'!$B$14,Paramètres!$A$1:$I$89,5,0)</f>
        <v>4.6111381379887463E-14</v>
      </c>
      <c r="DQ100" s="13">
        <f t="shared" si="97"/>
        <v>7.5804141040779151E-13</v>
      </c>
      <c r="DR100" s="20">
        <f t="shared" si="70"/>
        <v>1.4005661123635408E-12</v>
      </c>
      <c r="DS100" s="59">
        <f t="shared" si="71"/>
        <v>293.33333333333474</v>
      </c>
      <c r="DT100" s="59">
        <f ca="1">AVERAGE(OFFSET($DS$3,0,0,'Données projet'!$E$14+1,1))-AVERAGE(OFFSET($H$3,0,0,'Données projet'!$E$14+1,1))</f>
        <v>235.31102883830971</v>
      </c>
      <c r="DU100" s="59">
        <f t="shared" si="98"/>
        <v>271.48630853790422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40.491016999658783</v>
      </c>
      <c r="EB100" s="21">
        <f>EXP(-LN(2)/25)*EB99+(1-EXP(-LN(2)/25))/(LN(2)/25)*Calculateur!DW100*Calculateur!DY100*VLOOKUP('Données projet'!$B$14,Paramètres!$A$1:$I$89,3,0)*0.475*44/12</f>
        <v>48.714384085752172</v>
      </c>
      <c r="EC100" s="21">
        <f>EXP(-LN(2)/2)*EC99+(1-EXP(-LN(2)/2))/(LN(2)/2)*DW100*DZ100*VLOOKUP('Données projet'!$B$14,Paramètres!$A$1:$I$89,3,0)*0.475*44/12</f>
        <v>5.821693695932481E-8</v>
      </c>
      <c r="ED100" s="22">
        <f t="shared" si="72"/>
        <v>89.205401143627896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-1.2505552149377763E-12</v>
      </c>
      <c r="O101" s="13">
        <f>N101*VLOOKUP('Données projet'!$B$9,Paramètres!$A$1:$I$89,3,0)*VLOOKUP('Données projet'!$B$9,Paramètres!$A$1:$I$89,5,0)</f>
        <v>-6.9906036515021697E-13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446.28010102877403</v>
      </c>
      <c r="T101" s="59">
        <f t="shared" si="88"/>
        <v>445.84011537290456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2.9703156802479853</v>
      </c>
      <c r="AA101" s="21">
        <f>EXP(-LN(2)/25)*AA100+(1-EXP(-LN(2)/25))/(LN(2)/25)*Calculateur!V101*Calculateur!X101*VLOOKUP('Données projet'!$B$9,Paramètres!$A$1:$I$89,3,0)*0.475*44/12</f>
        <v>5.8826846839699964</v>
      </c>
      <c r="AB101" s="21">
        <f>EXP(-LN(2)/2)*AB100+(1-EXP(-LN(2)/2))/(LN(2)/2)*V101*Y101*VLOOKUP('Données projet'!$B$9,Paramètres!$A$1:$I$89,3,0)*0.475*44/12</f>
        <v>2.122943484866648E-9</v>
      </c>
      <c r="AC101" s="22">
        <f t="shared" si="57"/>
        <v>8.8530003663409254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18.5</v>
      </c>
      <c r="AI101" s="13">
        <f>IF('Données projet'!$A$62&gt;35,AI100+AH101-AQ100,IF(A101&lt;'Données projet'!$A$62,$AF$205^A101,IF(A101='Données projet'!$A$62,'Données projet'!$B$62,AI100+AH101-AQ100)))</f>
        <v>689.19999999999993</v>
      </c>
      <c r="AJ101" s="13">
        <f>AI101*VLOOKUP('Données projet'!$B$10,Paramètres!$A$1:$I$89,3,0)*VLOOKUP('Données projet'!$B$10,Paramètres!$A$1:$I$89,5,0)</f>
        <v>322.54559999999998</v>
      </c>
      <c r="AK101" s="13">
        <f t="shared" si="89"/>
        <v>75.882770748800752</v>
      </c>
      <c r="AL101" s="20">
        <f t="shared" si="58"/>
        <v>693.92941238749461</v>
      </c>
      <c r="AM101" s="59">
        <f t="shared" si="59"/>
        <v>987.26274572082798</v>
      </c>
      <c r="AN101" s="59">
        <f ca="1">AVERAGE(OFFSET($AM$3,0,0,'Données projet'!$E$10+1,1))-AVERAGE(OFFSET($H$3,0,0,'Données projet'!$E$10+1,1))</f>
        <v>252.98248842635206</v>
      </c>
      <c r="AO101" s="59">
        <f t="shared" si="90"/>
        <v>207.11938580878308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0.81530724751524353</v>
      </c>
      <c r="AV101" s="21">
        <f>EXP(-LN(2)/25)*AV100+(1-EXP(-LN(2)/25))/(LN(2)/25)*Calculateur!AQ101*Calculateur!AS101*VLOOKUP('Données projet'!$B$10,Paramètres!$A$1:$I$89,3,0)*0.475*44/12</f>
        <v>1.1922580791457773</v>
      </c>
      <c r="AW101" s="21">
        <f>EXP(-LN(2)/2)*AW100+(1-EXP(-LN(2)/2))/(LN(2)/2)*AQ101*AT101*VLOOKUP('Données projet'!$B$10,Paramètres!$A$1:$I$89,3,0)*0.475*44/12</f>
        <v>5.7230799460643855E-10</v>
      </c>
      <c r="AX101" s="21">
        <f t="shared" si="60"/>
        <v>2.0075653272333289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3.7</v>
      </c>
      <c r="BD101" s="12">
        <f>IF('Données projet'!$A$88&gt;35,BD100+BC101-BL100,IF(A101&lt;'Données projet'!$A$88,$BA$205^A101,IF(A101='Données projet'!$A$88,'Données projet'!$B$88,BD100+BC101-BL100)))</f>
        <v>222.6</v>
      </c>
      <c r="BE101" s="13">
        <f>BD101*VLOOKUP('Données projet'!$B$11,Paramètres!$A$1:$I$89,3,0)*VLOOKUP('Données projet'!$B$11,Paramètres!$A$1:$I$89,5,0)</f>
        <v>145.84752</v>
      </c>
      <c r="BF101" s="13">
        <f t="shared" si="91"/>
        <v>37.633383344887065</v>
      </c>
      <c r="BG101" s="20">
        <f t="shared" si="61"/>
        <v>319.56257332567822</v>
      </c>
      <c r="BH101" s="59">
        <f t="shared" si="62"/>
        <v>612.89590665901153</v>
      </c>
      <c r="BI101" s="59">
        <f ca="1">AVERAGE(OFFSET($BH$3,0,0,'Données projet'!$E$11+1,1))-AVERAGE(OFFSET($H$3,0,0,'Données projet'!$E$11+1,1))</f>
        <v>114.23168847330004</v>
      </c>
      <c r="BJ101" s="59">
        <f t="shared" si="92"/>
        <v>42.34857998136755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3.7</v>
      </c>
      <c r="BY101" s="12">
        <f>IF('Données projet'!$A$114&gt;35,BY100+BX101-CG100,IF(A101&lt;'Données projet'!$A$114,$BV$205^A101,IF(A101='Données projet'!$A$114,'Données projet'!$B$114,BY100+BX101-CG100)))</f>
        <v>222.6</v>
      </c>
      <c r="BZ101" s="13">
        <f>BY101*VLOOKUP('Données projet'!$B$12,Paramètres!$A$1:$I$89,3,0)*VLOOKUP('Données projet'!$B$12,Paramètres!$A$1:$I$89,5,0)</f>
        <v>215.29872</v>
      </c>
      <c r="CA101" s="13">
        <f t="shared" si="93"/>
        <v>53.091804704077127</v>
      </c>
      <c r="CB101" s="20">
        <f t="shared" si="64"/>
        <v>467.4468305262676</v>
      </c>
      <c r="CC101" s="59">
        <f t="shared" si="65"/>
        <v>760.78016385960086</v>
      </c>
      <c r="CD101" s="59">
        <f ca="1">AVERAGE(OFFSET($CC$3,0,0,'Données projet'!$E$12+1,1))-AVERAGE(OFFSET($H$3,0,0,'Données projet'!$E$12+1,1))</f>
        <v>201.36664523637006</v>
      </c>
      <c r="CE101" s="59">
        <f t="shared" si="94"/>
        <v>79.394119001888555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19.473398878248805</v>
      </c>
      <c r="CM101" s="21">
        <f>EXP(-LN(2)/2)*CM100+(1-EXP(-LN(2)/2))/(LN(2)/2)*CG101*CJ101*VLOOKUP('Données projet'!$B$12,Paramètres!$A$1:$I$89,3,0)*0.475*44/12</f>
        <v>2.2947452272075184E-8</v>
      </c>
      <c r="CN101" s="22">
        <f t="shared" si="66"/>
        <v>19.473398901196258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4.5999999999999996</v>
      </c>
      <c r="CT101" s="12">
        <f>IF('Données projet'!$A$140&gt;35,CT100+CS101-DB100,IF(A101&lt;'Données projet'!$A$140,$CQ$205^A101,IF(A101='Données projet'!$A$140,'Données projet'!$B$140,CT100+CS101-DB100)))</f>
        <v>290.79999999999995</v>
      </c>
      <c r="CU101" s="17">
        <f>CT101*VLOOKUP('Données projet'!$B$13,Paramètres!$A$1:$I$89,3,0)*VLOOKUP('Données projet'!$B$13,Paramètres!$A$1:$I$89,5,0)</f>
        <v>263.11583999999993</v>
      </c>
      <c r="CV101" s="13">
        <f t="shared" si="95"/>
        <v>63.386087944423387</v>
      </c>
      <c r="CW101" s="20">
        <f t="shared" si="67"/>
        <v>568.65752450320394</v>
      </c>
      <c r="CX101" s="59">
        <f t="shared" si="68"/>
        <v>861.99085783653732</v>
      </c>
      <c r="CY101" s="59">
        <f ca="1">AVERAGE(OFFSET($CX$3,0,0,'Données projet'!$E$13+1,1))-AVERAGE(OFFSET($H$3,0,0,'Données projet'!$E$13+1,1))</f>
        <v>282.08542131880455</v>
      </c>
      <c r="CZ101" s="59">
        <f t="shared" si="96"/>
        <v>174.27503468762325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22.623543814031812</v>
      </c>
      <c r="DG101" s="21">
        <f>EXP(-LN(2)/25)*DG100+(1-EXP(-LN(2)/25))/(LN(2)/25)*Calculateur!DB101*Calculateur!DD101*VLOOKUP('Données projet'!$B$13,Paramètres!$A$1:$I$89,3,0)*0.475*44/12</f>
        <v>28.332726134104998</v>
      </c>
      <c r="DH101" s="21">
        <f>EXP(-LN(2)/2)*DH100+(1-EXP(-LN(2)/2))/(LN(2)/2)*DB101*DE101*VLOOKUP('Données projet'!$B$13,Paramètres!$A$1:$I$89,3,0)*0.475*44/12</f>
        <v>3.4113601669549633E-8</v>
      </c>
      <c r="DI101" s="22">
        <f t="shared" si="69"/>
        <v>50.956269982250411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5.6843418860808015E-14</v>
      </c>
      <c r="DP101" s="17">
        <f>DO101*VLOOKUP('Données projet'!$B$14,Paramètres!$A$1:$I$89,3,0)*VLOOKUP('Données projet'!$B$14,Paramètres!$A$1:$I$89,5,0)</f>
        <v>4.6111381379887463E-14</v>
      </c>
      <c r="DQ101" s="13">
        <f t="shared" si="97"/>
        <v>7.5804141040779151E-13</v>
      </c>
      <c r="DR101" s="20">
        <f t="shared" si="70"/>
        <v>1.4005661123635408E-12</v>
      </c>
      <c r="DS101" s="59">
        <f t="shared" si="71"/>
        <v>293.33333333333474</v>
      </c>
      <c r="DT101" s="59">
        <f ca="1">AVERAGE(OFFSET($DS$3,0,0,'Données projet'!$E$14+1,1))-AVERAGE(OFFSET($H$3,0,0,'Données projet'!$E$14+1,1))</f>
        <v>235.31102883830971</v>
      </c>
      <c r="DU101" s="59">
        <f t="shared" si="98"/>
        <v>271.48630853790422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39.69701285337721</v>
      </c>
      <c r="EB101" s="21">
        <f>EXP(-LN(2)/25)*EB100+(1-EXP(-LN(2)/25))/(LN(2)/25)*Calculateur!DW101*Calculateur!DY101*VLOOKUP('Données projet'!$B$14,Paramètres!$A$1:$I$89,3,0)*0.475*44/12</f>
        <v>47.382286691149162</v>
      </c>
      <c r="EC101" s="21">
        <f>EXP(-LN(2)/2)*EC100+(1-EXP(-LN(2)/2))/(LN(2)/2)*DW101*DZ101*VLOOKUP('Données projet'!$B$14,Paramètres!$A$1:$I$89,3,0)*0.475*44/12</f>
        <v>4.1165590903848325E-8</v>
      </c>
      <c r="ED101" s="22">
        <f t="shared" si="72"/>
        <v>87.07929958569197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-1.2505552149377763E-12</v>
      </c>
      <c r="O102" s="13">
        <f>N102*VLOOKUP('Données projet'!$B$9,Paramètres!$A$1:$I$89,3,0)*VLOOKUP('Données projet'!$B$9,Paramètres!$A$1:$I$89,5,0)</f>
        <v>-6.9906036515021697E-13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446.28010102877403</v>
      </c>
      <c r="T102" s="59">
        <f t="shared" si="88"/>
        <v>445.84011537290456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2.9120696014719956</v>
      </c>
      <c r="AA102" s="21">
        <f>EXP(-LN(2)/25)*AA101+(1-EXP(-LN(2)/25))/(LN(2)/25)*Calculateur!V102*Calculateur!X102*VLOOKUP('Données projet'!$B$9,Paramètres!$A$1:$I$89,3,0)*0.475*44/12</f>
        <v>5.7218223619298945</v>
      </c>
      <c r="AB102" s="21">
        <f>EXP(-LN(2)/2)*AB101+(1-EXP(-LN(2)/2))/(LN(2)/2)*V102*Y102*VLOOKUP('Données projet'!$B$9,Paramètres!$A$1:$I$89,3,0)*0.475*44/12</f>
        <v>1.5011477342250075E-9</v>
      </c>
      <c r="AC102" s="22">
        <f t="shared" si="57"/>
        <v>8.6338919649030377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18.5</v>
      </c>
      <c r="AI102" s="13">
        <f>IF('Données projet'!$A$62&gt;35,AI101+AH102-AQ101,IF(A102&lt;'Données projet'!$A$62,$AF$205^A102,IF(A102='Données projet'!$A$62,'Données projet'!$B$62,AI101+AH102-AQ101)))</f>
        <v>707.69999999999993</v>
      </c>
      <c r="AJ102" s="13">
        <f>AI102*VLOOKUP('Données projet'!$B$10,Paramètres!$A$1:$I$89,3,0)*VLOOKUP('Données projet'!$B$10,Paramètres!$A$1:$I$89,5,0)</f>
        <v>331.20359999999994</v>
      </c>
      <c r="AK102" s="13">
        <f t="shared" si="89"/>
        <v>77.67979126195354</v>
      </c>
      <c r="AL102" s="20">
        <f t="shared" si="58"/>
        <v>712.13857311456889</v>
      </c>
      <c r="AM102" s="59">
        <f t="shared" si="59"/>
        <v>1005.4719064479023</v>
      </c>
      <c r="AN102" s="59">
        <f ca="1">AVERAGE(OFFSET($AM$3,0,0,'Données projet'!$E$10+1,1))-AVERAGE(OFFSET($H$3,0,0,'Données projet'!$E$10+1,1))</f>
        <v>252.98248842635206</v>
      </c>
      <c r="AO102" s="59">
        <f t="shared" si="90"/>
        <v>207.11938580878308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0.79931956967978746</v>
      </c>
      <c r="AV102" s="21">
        <f>EXP(-LN(2)/25)*AV101+(1-EXP(-LN(2)/25))/(LN(2)/25)*Calculateur!AQ102*Calculateur!AS102*VLOOKUP('Données projet'!$B$10,Paramètres!$A$1:$I$89,3,0)*0.475*44/12</f>
        <v>1.1596557192734085</v>
      </c>
      <c r="AW102" s="21">
        <f>EXP(-LN(2)/2)*AW101+(1-EXP(-LN(2)/2))/(LN(2)/2)*AQ102*AT102*VLOOKUP('Données projet'!$B$10,Paramètres!$A$1:$I$89,3,0)*0.475*44/12</f>
        <v>4.0468286391348677E-10</v>
      </c>
      <c r="AX102" s="21">
        <f t="shared" si="60"/>
        <v>1.9589752893578789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3.7</v>
      </c>
      <c r="BD102" s="12">
        <f>IF('Données projet'!$A$88&gt;35,BD101+BC102-BL101,IF(A102&lt;'Données projet'!$A$88,$BA$205^A102,IF(A102='Données projet'!$A$88,'Données projet'!$B$88,BD101+BC102-BL101)))</f>
        <v>226.29999999999998</v>
      </c>
      <c r="BE102" s="13">
        <f>BD102*VLOOKUP('Données projet'!$B$11,Paramètres!$A$1:$I$89,3,0)*VLOOKUP('Données projet'!$B$11,Paramètres!$A$1:$I$89,5,0)</f>
        <v>148.27176</v>
      </c>
      <c r="BF102" s="13">
        <f t="shared" si="91"/>
        <v>38.185572382724459</v>
      </c>
      <c r="BG102" s="20">
        <f t="shared" si="61"/>
        <v>324.74652056657845</v>
      </c>
      <c r="BH102" s="59">
        <f t="shared" si="62"/>
        <v>618.07985389991177</v>
      </c>
      <c r="BI102" s="59">
        <f ca="1">AVERAGE(OFFSET($BH$3,0,0,'Données projet'!$E$11+1,1))-AVERAGE(OFFSET($H$3,0,0,'Données projet'!$E$11+1,1))</f>
        <v>114.23168847330004</v>
      </c>
      <c r="BJ102" s="59">
        <f t="shared" si="92"/>
        <v>42.34857998136755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3.7</v>
      </c>
      <c r="BY102" s="12">
        <f>IF('Données projet'!$A$114&gt;35,BY101+BX102-CG101,IF(A102&lt;'Données projet'!$A$114,$BV$205^A102,IF(A102='Données projet'!$A$114,'Données projet'!$B$114,BY101+BX102-CG101)))</f>
        <v>226.29999999999998</v>
      </c>
      <c r="BZ102" s="13">
        <f>BY102*VLOOKUP('Données projet'!$B$12,Paramètres!$A$1:$I$89,3,0)*VLOOKUP('Données projet'!$B$12,Paramètres!$A$1:$I$89,5,0)</f>
        <v>218.87735999999998</v>
      </c>
      <c r="CA102" s="13">
        <f t="shared" si="93"/>
        <v>53.870812859892503</v>
      </c>
      <c r="CB102" s="20">
        <f t="shared" si="64"/>
        <v>475.03640106431271</v>
      </c>
      <c r="CC102" s="59">
        <f t="shared" si="65"/>
        <v>768.36973439764597</v>
      </c>
      <c r="CD102" s="59">
        <f ca="1">AVERAGE(OFFSET($CC$3,0,0,'Données projet'!$E$12+1,1))-AVERAGE(OFFSET($H$3,0,0,'Données projet'!$E$12+1,1))</f>
        <v>201.36664523637006</v>
      </c>
      <c r="CE102" s="59">
        <f t="shared" si="94"/>
        <v>79.394119001888555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18.940897761861549</v>
      </c>
      <c r="CM102" s="21">
        <f>EXP(-LN(2)/2)*CM101+(1-EXP(-LN(2)/2))/(LN(2)/2)*CG102*CJ102*VLOOKUP('Données projet'!$B$12,Paramètres!$A$1:$I$89,3,0)*0.475*44/12</f>
        <v>1.6226299112539009E-8</v>
      </c>
      <c r="CN102" s="22">
        <f t="shared" si="66"/>
        <v>18.940897778087848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4.5999999999999996</v>
      </c>
      <c r="CT102" s="12">
        <f>IF('Données projet'!$A$140&gt;35,CT101+CS102-DB101,IF(A102&lt;'Données projet'!$A$140,$CQ$205^A102,IF(A102='Données projet'!$A$140,'Données projet'!$B$140,CT101+CS102-DB101)))</f>
        <v>295.39999999999998</v>
      </c>
      <c r="CU102" s="17">
        <f>CT102*VLOOKUP('Données projet'!$B$13,Paramètres!$A$1:$I$89,3,0)*VLOOKUP('Données projet'!$B$13,Paramètres!$A$1:$I$89,5,0)</f>
        <v>267.27791999999994</v>
      </c>
      <c r="CV102" s="13">
        <f t="shared" si="95"/>
        <v>64.271234965128073</v>
      </c>
      <c r="CW102" s="20">
        <f t="shared" si="67"/>
        <v>577.44811156426465</v>
      </c>
      <c r="CX102" s="59">
        <f t="shared" si="68"/>
        <v>870.78144489759802</v>
      </c>
      <c r="CY102" s="59">
        <f ca="1">AVERAGE(OFFSET($CX$3,0,0,'Données projet'!$E$13+1,1))-AVERAGE(OFFSET($H$3,0,0,'Données projet'!$E$13+1,1))</f>
        <v>282.08542131880455</v>
      </c>
      <c r="CZ102" s="59">
        <f t="shared" si="96"/>
        <v>174.27503468762325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22.179909918837836</v>
      </c>
      <c r="DG102" s="21">
        <f>EXP(-LN(2)/25)*DG101+(1-EXP(-LN(2)/25))/(LN(2)/25)*Calculateur!DB102*Calculateur!DD102*VLOOKUP('Données projet'!$B$13,Paramètres!$A$1:$I$89,3,0)*0.475*44/12</f>
        <v>27.557966248014583</v>
      </c>
      <c r="DH102" s="21">
        <f>EXP(-LN(2)/2)*DH101+(1-EXP(-LN(2)/2))/(LN(2)/2)*DB102*DE102*VLOOKUP('Données projet'!$B$13,Paramètres!$A$1:$I$89,3,0)*0.475*44/12</f>
        <v>2.4121959071235275E-8</v>
      </c>
      <c r="DI102" s="22">
        <f t="shared" si="69"/>
        <v>49.737876190974376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5.6843418860808015E-14</v>
      </c>
      <c r="DP102" s="17">
        <f>DO102*VLOOKUP('Données projet'!$B$14,Paramètres!$A$1:$I$89,3,0)*VLOOKUP('Données projet'!$B$14,Paramètres!$A$1:$I$89,5,0)</f>
        <v>4.6111381379887463E-14</v>
      </c>
      <c r="DQ102" s="13">
        <f t="shared" si="97"/>
        <v>7.5804141040779151E-13</v>
      </c>
      <c r="DR102" s="20">
        <f t="shared" si="70"/>
        <v>1.4005661123635408E-12</v>
      </c>
      <c r="DS102" s="59">
        <f t="shared" si="71"/>
        <v>293.33333333333474</v>
      </c>
      <c r="DT102" s="59">
        <f ca="1">AVERAGE(OFFSET($DS$3,0,0,'Données projet'!$E$14+1,1))-AVERAGE(OFFSET($H$3,0,0,'Données projet'!$E$14+1,1))</f>
        <v>235.31102883830971</v>
      </c>
      <c r="DU102" s="59">
        <f t="shared" si="98"/>
        <v>271.48630853790422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38.918578644109509</v>
      </c>
      <c r="EB102" s="21">
        <f>EXP(-LN(2)/25)*EB101+(1-EXP(-LN(2)/25))/(LN(2)/25)*Calculateur!DW102*Calculateur!DY102*VLOOKUP('Données projet'!$B$14,Paramètres!$A$1:$I$89,3,0)*0.475*44/12</f>
        <v>46.086615569853521</v>
      </c>
      <c r="EC102" s="21">
        <f>EXP(-LN(2)/2)*EC101+(1-EXP(-LN(2)/2))/(LN(2)/2)*DW102*DZ102*VLOOKUP('Données projet'!$B$14,Paramètres!$A$1:$I$89,3,0)*0.475*44/12</f>
        <v>2.9108468479662412E-8</v>
      </c>
      <c r="ED102" s="22">
        <f t="shared" si="72"/>
        <v>85.005194243071486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-1.2505552149377763E-12</v>
      </c>
      <c r="O103" s="13">
        <f>N103*VLOOKUP('Données projet'!$B$9,Paramètres!$A$1:$I$89,3,0)*VLOOKUP('Données projet'!$B$9,Paramètres!$A$1:$I$89,5,0)</f>
        <v>-6.9906036515021697E-13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446.28010102877403</v>
      </c>
      <c r="T103" s="59">
        <f t="shared" si="88"/>
        <v>445.84011537290456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2.8549656927742029</v>
      </c>
      <c r="AA103" s="21">
        <f>EXP(-LN(2)/25)*AA102+(1-EXP(-LN(2)/25))/(LN(2)/25)*Calculateur!V103*Calculateur!X103*VLOOKUP('Données projet'!$B$9,Paramètres!$A$1:$I$89,3,0)*0.475*44/12</f>
        <v>5.565358828545361</v>
      </c>
      <c r="AB103" s="21">
        <f>EXP(-LN(2)/2)*AB102+(1-EXP(-LN(2)/2))/(LN(2)/2)*V103*Y103*VLOOKUP('Données projet'!$B$9,Paramètres!$A$1:$I$89,3,0)*0.475*44/12</f>
        <v>1.061471742433324E-9</v>
      </c>
      <c r="AC103" s="22">
        <f t="shared" si="57"/>
        <v>8.4203245223810352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726.2</v>
      </c>
      <c r="AG103" s="12">
        <f>VLOOKUP(A103,'Données projet'!$A$61:$I$81,9,0)</f>
        <v>18.5</v>
      </c>
      <c r="AH103" s="12">
        <f t="array" ref="AH103">INDEX(AG:AG,MIN(IF(ISNUMBER(AG103:AG299),ROW(AG103:AG299),"")))</f>
        <v>18.5</v>
      </c>
      <c r="AI103" s="13">
        <f>IF('Données projet'!$A$62&gt;35,AI102+AH103-AQ102,IF(A103&lt;'Données projet'!$A$62,$AF$205^A103,IF(A103='Données projet'!$A$62,'Données projet'!$B$62,AI102+AH103-AQ102)))</f>
        <v>726.19999999999993</v>
      </c>
      <c r="AJ103" s="13">
        <f>AI103*VLOOKUP('Données projet'!$B$10,Paramètres!$A$1:$I$89,3,0)*VLOOKUP('Données projet'!$B$10,Paramètres!$A$1:$I$89,5,0)</f>
        <v>339.86159999999995</v>
      </c>
      <c r="AK103" s="13">
        <f t="shared" si="89"/>
        <v>79.47135142801136</v>
      </c>
      <c r="AL103" s="20">
        <f t="shared" si="58"/>
        <v>730.33822373711973</v>
      </c>
      <c r="AM103" s="59">
        <f t="shared" si="59"/>
        <v>1023.671557070453</v>
      </c>
      <c r="AN103" s="59">
        <f ca="1">AVERAGE(OFFSET($AM$3,0,0,'Données projet'!$E$10+1,1))-AVERAGE(OFFSET($H$3,0,0,'Données projet'!$E$10+1,1))</f>
        <v>252.98248842635206</v>
      </c>
      <c r="AO103" s="59">
        <f t="shared" si="90"/>
        <v>207.11938580878308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726.2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0.78364540045516407</v>
      </c>
      <c r="AV103" s="21">
        <f>EXP(-LN(2)/25)*AV102+(1-EXP(-LN(2)/25))/(LN(2)/25)*Calculateur!AQ103*Calculateur!AS103*VLOOKUP('Données projet'!$B$10,Paramètres!$A$1:$I$89,3,0)*0.475*44/12</f>
        <v>1.1279448726462333</v>
      </c>
      <c r="AW103" s="21">
        <f>EXP(-LN(2)/2)*AW102+(1-EXP(-LN(2)/2))/(LN(2)/2)*AQ103*AT103*VLOOKUP('Données projet'!$B$10,Paramètres!$A$1:$I$89,3,0)*0.475*44/12</f>
        <v>2.8615399730321928E-10</v>
      </c>
      <c r="AX103" s="21">
        <f t="shared" si="60"/>
        <v>1.9115902733875514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230</v>
      </c>
      <c r="BB103" s="12">
        <f>VLOOKUP(A103,'Données projet'!$A$87:$I$107,9,0)</f>
        <v>3.7</v>
      </c>
      <c r="BC103" s="12">
        <f t="array" ref="BC103">INDEX(BB:BB,MIN(IF(ISNUMBER(BB103:BB299),ROW(BB103:BB299),"")))</f>
        <v>3.7</v>
      </c>
      <c r="BD103" s="12">
        <f>IF('Données projet'!$A$88&gt;35,BD102+BC103-BL102,IF(A103&lt;'Données projet'!$A$88,$BA$205^A103,IF(A103='Données projet'!$A$88,'Données projet'!$B$88,BD102+BC103-BL102)))</f>
        <v>229.99999999999997</v>
      </c>
      <c r="BE103" s="13">
        <f>BD103*VLOOKUP('Données projet'!$B$11,Paramètres!$A$1:$I$89,3,0)*VLOOKUP('Données projet'!$B$11,Paramètres!$A$1:$I$89,5,0)</f>
        <v>150.69599999999997</v>
      </c>
      <c r="BF103" s="13">
        <f t="shared" si="91"/>
        <v>38.736711478840633</v>
      </c>
      <c r="BG103" s="20">
        <f t="shared" si="61"/>
        <v>329.92863915898073</v>
      </c>
      <c r="BH103" s="59">
        <f t="shared" si="62"/>
        <v>623.26197249231404</v>
      </c>
      <c r="BI103" s="59">
        <f ca="1">AVERAGE(OFFSET($BH$3,0,0,'Données projet'!$E$11+1,1))-AVERAGE(OFFSET($H$3,0,0,'Données projet'!$E$11+1,1))</f>
        <v>114.23168847330004</v>
      </c>
      <c r="BJ103" s="59">
        <f t="shared" si="92"/>
        <v>42.34857998136755</v>
      </c>
      <c r="BK103" s="15">
        <f>IF(ISNA(VLOOKUP(A103,'Données projet'!$A$87:$I$107,3,0)),0,VLOOKUP(A103,'Données projet'!$A$87:$I$107,3,0))</f>
        <v>7</v>
      </c>
      <c r="BL103" s="15">
        <f>IF(ISNA(VLOOKUP(A103,'Données projet'!$A$87:$I$107,4,0)),0,VLOOKUP(A103,'Données projet'!$A$87:$I$107,4,0))</f>
        <v>28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230</v>
      </c>
      <c r="BW103" s="12">
        <f>VLOOKUP(A103,'Données projet'!$A$113:$I$133,9,0)</f>
        <v>3.7</v>
      </c>
      <c r="BX103" s="12">
        <f t="array" ref="BX103">INDEX(BW:BW,MIN(IF(ISNUMBER(BW103:BW299),ROW(BW103:BW299),"")))</f>
        <v>3.7</v>
      </c>
      <c r="BY103" s="12">
        <f>IF('Données projet'!$A$114&gt;35,BY102+BX103-CG102,IF(A103&lt;'Données projet'!$A$114,$BV$205^A103,IF(A103='Données projet'!$A$114,'Données projet'!$B$114,BY102+BX103-CG102)))</f>
        <v>229.99999999999997</v>
      </c>
      <c r="BZ103" s="13">
        <f>BY103*VLOOKUP('Données projet'!$B$12,Paramètres!$A$1:$I$89,3,0)*VLOOKUP('Données projet'!$B$12,Paramètres!$A$1:$I$89,5,0)</f>
        <v>222.45599999999999</v>
      </c>
      <c r="CA103" s="13">
        <f t="shared" si="93"/>
        <v>54.648339796219865</v>
      </c>
      <c r="CB103" s="20">
        <f t="shared" si="64"/>
        <v>482.62339181174951</v>
      </c>
      <c r="CC103" s="59">
        <f t="shared" si="65"/>
        <v>775.95672514508283</v>
      </c>
      <c r="CD103" s="59">
        <f ca="1">AVERAGE(OFFSET($CC$3,0,0,'Données projet'!$E$12+1,1))-AVERAGE(OFFSET($H$3,0,0,'Données projet'!$E$12+1,1))</f>
        <v>201.36664523637006</v>
      </c>
      <c r="CE103" s="59">
        <f t="shared" si="94"/>
        <v>79.394119001888555</v>
      </c>
      <c r="CF103" s="15">
        <f>IF(ISNA(VLOOKUP(A103,'Données projet'!$A$113:$I$133,3,0)),0,VLOOKUP(A103,'Données projet'!$A$113:$I$133,3,0))</f>
        <v>7</v>
      </c>
      <c r="CG103" s="15">
        <f>IF(ISNA(VLOOKUP(A103,'Données projet'!$A$113:$I$133,4,0)),0,VLOOKUP(A103,'Données projet'!$A$113:$I$133,4,0))</f>
        <v>28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0.19350000000000001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24.193133660498066</v>
      </c>
      <c r="CM103" s="21">
        <f>EXP(-LN(2)/2)*CM102+(1-EXP(-LN(2)/2))/(LN(2)/2)*CG103*CJ103*VLOOKUP('Données projet'!$B$12,Paramètres!$A$1:$I$89,3,0)*0.475*44/12</f>
        <v>1.1473726136037592E-8</v>
      </c>
      <c r="CN103" s="22">
        <f t="shared" si="66"/>
        <v>24.193133671971793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300</v>
      </c>
      <c r="CR103" s="12">
        <f>VLOOKUP(A103,'Données projet'!$A$139:$I$159,9,0)</f>
        <v>4.5999999999999996</v>
      </c>
      <c r="CS103" s="12">
        <f t="array" ref="CS103">INDEX(CR:CR,MIN(IF(ISNUMBER(CR103:CR299),ROW(CR103:CR299),"")))</f>
        <v>4.5999999999999996</v>
      </c>
      <c r="CT103" s="12">
        <f>IF('Données projet'!$A$140&gt;35,CT102+CS103-DB102,IF(A103&lt;'Données projet'!$A$140,$CQ$205^A103,IF(A103='Données projet'!$A$140,'Données projet'!$B$140,CT102+CS103-DB102)))</f>
        <v>300</v>
      </c>
      <c r="CU103" s="17">
        <f>CT103*VLOOKUP('Données projet'!$B$13,Paramètres!$A$1:$I$89,3,0)*VLOOKUP('Données projet'!$B$13,Paramètres!$A$1:$I$89,5,0)</f>
        <v>271.44</v>
      </c>
      <c r="CV103" s="13">
        <f t="shared" si="95"/>
        <v>65.154778959151173</v>
      </c>
      <c r="CW103" s="20">
        <f t="shared" si="67"/>
        <v>586.23590668718828</v>
      </c>
      <c r="CX103" s="59">
        <f t="shared" si="68"/>
        <v>879.56924002052165</v>
      </c>
      <c r="CY103" s="59">
        <f ca="1">AVERAGE(OFFSET($CX$3,0,0,'Données projet'!$E$13+1,1))-AVERAGE(OFFSET($H$3,0,0,'Données projet'!$E$13+1,1))</f>
        <v>282.08542131880455</v>
      </c>
      <c r="CZ103" s="59">
        <f t="shared" si="96"/>
        <v>174.27503468762325</v>
      </c>
      <c r="DA103" s="15">
        <f>IF(ISNA(VLOOKUP(A103,'Données projet'!$A$139:$I$159,3,0)),0,VLOOKUP(A103,'Données projet'!$A$139:$I$159,3,0))</f>
        <v>9</v>
      </c>
      <c r="DB103" s="15">
        <f>IF(ISNA(VLOOKUP(A103,'Données projet'!$A$139:$I$159,4,0)),0,VLOOKUP(A103,'Données projet'!$A$139:$I$159,4,0))</f>
        <v>42</v>
      </c>
      <c r="DC103" s="16">
        <f>IF(ISNA(VLOOKUP(A103,'Données projet'!$A$139:$I$159,5,0)),0%,VLOOKUP(A103,'Données projet'!$A$139:$I$159,5,0)*VLOOKUP('Données projet'!$B$13,Paramètres!$A$1:$I$89,7,0))</f>
        <v>0.23650000000000002</v>
      </c>
      <c r="DD103" s="16">
        <f>IF(ISNA(VLOOKUP(A103,'Données projet'!$A$139:$I$159,6,0)),0%,VLOOKUP(A103,'Données projet'!$A$139:$I$159,6,0)*VLOOKUP('Données projet'!$B$13,Paramètres!$A$1:$I$89,7,0))</f>
        <v>0.19350000000000001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31.680256024592897</v>
      </c>
      <c r="DG103" s="21">
        <f>EXP(-LN(2)/25)*DG102+(1-EXP(-LN(2)/25))/(LN(2)/25)*Calculateur!DB103*Calculateur!DD103*VLOOKUP('Données projet'!$B$13,Paramètres!$A$1:$I$89,3,0)*0.475*44/12</f>
        <v>34.901251723484478</v>
      </c>
      <c r="DH103" s="21">
        <f>EXP(-LN(2)/2)*DH102+(1-EXP(-LN(2)/2))/(LN(2)/2)*DB103*DE103*VLOOKUP('Données projet'!$B$13,Paramètres!$A$1:$I$89,3,0)*0.475*44/12</f>
        <v>1.7056800834774816E-8</v>
      </c>
      <c r="DI103" s="22">
        <f t="shared" si="69"/>
        <v>66.581507765134177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5.6843418860808015E-14</v>
      </c>
      <c r="DP103" s="17">
        <f>DO103*VLOOKUP('Données projet'!$B$14,Paramètres!$A$1:$I$89,3,0)*VLOOKUP('Données projet'!$B$14,Paramètres!$A$1:$I$89,5,0)</f>
        <v>4.6111381379887463E-14</v>
      </c>
      <c r="DQ103" s="13">
        <f t="shared" si="97"/>
        <v>7.5804141040779151E-13</v>
      </c>
      <c r="DR103" s="20">
        <f t="shared" si="70"/>
        <v>1.4005661123635408E-12</v>
      </c>
      <c r="DS103" s="59">
        <f t="shared" si="71"/>
        <v>293.33333333333474</v>
      </c>
      <c r="DT103" s="59">
        <f ca="1">AVERAGE(OFFSET($DS$3,0,0,'Données projet'!$E$14+1,1))-AVERAGE(OFFSET($H$3,0,0,'Données projet'!$E$14+1,1))</f>
        <v>235.31102883830971</v>
      </c>
      <c r="DU103" s="59">
        <f t="shared" si="98"/>
        <v>271.48630853790422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38.155409054887564</v>
      </c>
      <c r="EB103" s="21">
        <f>EXP(-LN(2)/25)*EB102+(1-EXP(-LN(2)/25))/(LN(2)/25)*Calculateur!DW103*Calculateur!DY103*VLOOKUP('Données projet'!$B$14,Paramètres!$A$1:$I$89,3,0)*0.475*44/12</f>
        <v>44.826374643506099</v>
      </c>
      <c r="EC103" s="21">
        <f>EXP(-LN(2)/2)*EC102+(1-EXP(-LN(2)/2))/(LN(2)/2)*DW103*DZ103*VLOOKUP('Données projet'!$B$14,Paramètres!$A$1:$I$89,3,0)*0.475*44/12</f>
        <v>2.0582795451924166E-8</v>
      </c>
      <c r="ED103" s="22">
        <f t="shared" si="72"/>
        <v>82.981783718976445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-1.2505552149377763E-12</v>
      </c>
      <c r="O104" s="13">
        <f>N104*VLOOKUP('Données projet'!$B$9,Paramètres!$A$1:$I$89,3,0)*VLOOKUP('Données projet'!$B$9,Paramètres!$A$1:$I$89,5,0)</f>
        <v>-6.9906036515021697E-13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446.28010102877403</v>
      </c>
      <c r="T104" s="59">
        <f t="shared" si="88"/>
        <v>445.84011537290456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2.7989815568960288</v>
      </c>
      <c r="AA104" s="21">
        <f>EXP(-LN(2)/25)*AA103+(1-EXP(-LN(2)/25))/(LN(2)/25)*Calculateur!V104*Calculateur!X104*VLOOKUP('Données projet'!$B$9,Paramètres!$A$1:$I$89,3,0)*0.475*44/12</f>
        <v>5.4131737987092867</v>
      </c>
      <c r="AB104" s="21">
        <f>EXP(-LN(2)/2)*AB103+(1-EXP(-LN(2)/2))/(LN(2)/2)*V104*Y104*VLOOKUP('Données projet'!$B$9,Paramètres!$A$1:$I$89,3,0)*0.475*44/12</f>
        <v>7.5057386711250376E-10</v>
      </c>
      <c r="AC104" s="22">
        <f t="shared" si="57"/>
        <v>8.2121553563558898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-5.3205440053716299E-14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252.98248842635206</v>
      </c>
      <c r="AO104" s="59">
        <f t="shared" si="90"/>
        <v>207.11938580878308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0.76827859212873628</v>
      </c>
      <c r="AV104" s="21">
        <f>EXP(-LN(2)/25)*AV103+(1-EXP(-LN(2)/25))/(LN(2)/25)*Calculateur!AQ104*Calculateur!AS104*VLOOKUP('Données projet'!$B$10,Paramètres!$A$1:$I$89,3,0)*0.475*44/12</f>
        <v>1.0971011607876793</v>
      </c>
      <c r="AW104" s="21">
        <f>EXP(-LN(2)/2)*AW103+(1-EXP(-LN(2)/2))/(LN(2)/2)*AQ104*AT104*VLOOKUP('Données projet'!$B$10,Paramètres!$A$1:$I$89,3,0)*0.475*44/12</f>
        <v>2.0234143195674339E-10</v>
      </c>
      <c r="AX104" s="21">
        <f t="shared" si="60"/>
        <v>1.865379753118757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3.1</v>
      </c>
      <c r="BD104" s="12">
        <f>IF('Données projet'!$A$88&gt;35,BD103+BC104-BL103,IF(A104&lt;'Données projet'!$A$88,$BA$205^A104,IF(A104='Données projet'!$A$88,'Données projet'!$B$88,BD103+BC104-BL103)))</f>
        <v>205.09999999999997</v>
      </c>
      <c r="BE104" s="13">
        <f>BD104*VLOOKUP('Données projet'!$B$11,Paramètres!$A$1:$I$89,3,0)*VLOOKUP('Données projet'!$B$11,Paramètres!$A$1:$I$89,5,0)</f>
        <v>134.38151999999997</v>
      </c>
      <c r="BF104" s="13">
        <f t="shared" si="91"/>
        <v>35.006838457555631</v>
      </c>
      <c r="BG104" s="20">
        <f t="shared" si="61"/>
        <v>295.01805764690931</v>
      </c>
      <c r="BH104" s="59">
        <f t="shared" si="62"/>
        <v>588.35139098024263</v>
      </c>
      <c r="BI104" s="59">
        <f ca="1">AVERAGE(OFFSET($BH$3,0,0,'Données projet'!$E$11+1,1))-AVERAGE(OFFSET($H$3,0,0,'Données projet'!$E$11+1,1))</f>
        <v>114.23168847330004</v>
      </c>
      <c r="BJ104" s="59">
        <f t="shared" si="92"/>
        <v>42.34857998136755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3.1</v>
      </c>
      <c r="BY104" s="12">
        <f>IF('Données projet'!$A$114&gt;35,BY103+BX104-CG103,IF(A104&lt;'Données projet'!$A$114,$BV$205^A104,IF(A104='Données projet'!$A$114,'Données projet'!$B$114,BY103+BX104-CG103)))</f>
        <v>205.09999999999997</v>
      </c>
      <c r="BZ104" s="13">
        <f>BY104*VLOOKUP('Données projet'!$B$12,Paramètres!$A$1:$I$89,3,0)*VLOOKUP('Données projet'!$B$12,Paramètres!$A$1:$I$89,5,0)</f>
        <v>198.37271999999996</v>
      </c>
      <c r="CA104" s="13">
        <f t="shared" si="93"/>
        <v>49.38637096917374</v>
      </c>
      <c r="CB104" s="20">
        <f t="shared" si="64"/>
        <v>431.5137501046442</v>
      </c>
      <c r="CC104" s="59">
        <f t="shared" si="65"/>
        <v>724.84708343797752</v>
      </c>
      <c r="CD104" s="59">
        <f ca="1">AVERAGE(OFFSET($CC$3,0,0,'Données projet'!$E$12+1,1))-AVERAGE(OFFSET($H$3,0,0,'Données projet'!$E$12+1,1))</f>
        <v>201.36664523637006</v>
      </c>
      <c r="CE104" s="59">
        <f t="shared" si="94"/>
        <v>79.394119001888555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23.531571148290141</v>
      </c>
      <c r="CM104" s="21">
        <f>EXP(-LN(2)/2)*CM103+(1-EXP(-LN(2)/2))/(LN(2)/2)*CG104*CJ104*VLOOKUP('Données projet'!$B$12,Paramètres!$A$1:$I$89,3,0)*0.475*44/12</f>
        <v>8.1131495562695047E-9</v>
      </c>
      <c r="CN104" s="22">
        <f t="shared" si="66"/>
        <v>23.531571156403292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4.5999999999999996</v>
      </c>
      <c r="CT104" s="12">
        <f>IF('Données projet'!$A$140&gt;35,CT103+CS104-DB103,IF(A104&lt;'Données projet'!$A$140,$CQ$205^A104,IF(A104='Données projet'!$A$140,'Données projet'!$B$140,CT103+CS104-DB103)))</f>
        <v>262.60000000000002</v>
      </c>
      <c r="CU104" s="17">
        <f>CT104*VLOOKUP('Données projet'!$B$13,Paramètres!$A$1:$I$89,3,0)*VLOOKUP('Données projet'!$B$13,Paramètres!$A$1:$I$89,5,0)</f>
        <v>237.60048</v>
      </c>
      <c r="CV104" s="13">
        <f t="shared" si="95"/>
        <v>57.922960533442108</v>
      </c>
      <c r="CW104" s="20">
        <f t="shared" si="67"/>
        <v>514.70332559574501</v>
      </c>
      <c r="CX104" s="59">
        <f t="shared" si="68"/>
        <v>808.03665892907838</v>
      </c>
      <c r="CY104" s="59">
        <f ca="1">AVERAGE(OFFSET($CX$3,0,0,'Données projet'!$E$13+1,1))-AVERAGE(OFFSET($H$3,0,0,'Données projet'!$E$13+1,1))</f>
        <v>282.08542131880455</v>
      </c>
      <c r="CZ104" s="59">
        <f t="shared" si="96"/>
        <v>174.27503468762325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31.059025526998813</v>
      </c>
      <c r="DG104" s="21">
        <f>EXP(-LN(2)/25)*DG103+(1-EXP(-LN(2)/25))/(LN(2)/25)*Calculateur!DB104*Calculateur!DD104*VLOOKUP('Données projet'!$B$13,Paramètres!$A$1:$I$89,3,0)*0.475*44/12</f>
        <v>33.946875159728734</v>
      </c>
      <c r="DH104" s="21">
        <f>EXP(-LN(2)/2)*DH103+(1-EXP(-LN(2)/2))/(LN(2)/2)*DB104*DE104*VLOOKUP('Données projet'!$B$13,Paramètres!$A$1:$I$89,3,0)*0.475*44/12</f>
        <v>1.2060979535617638E-8</v>
      </c>
      <c r="DI104" s="22">
        <f t="shared" si="69"/>
        <v>65.005900698788523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5.6843418860808015E-14</v>
      </c>
      <c r="DP104" s="17">
        <f>DO104*VLOOKUP('Données projet'!$B$14,Paramètres!$A$1:$I$89,3,0)*VLOOKUP('Données projet'!$B$14,Paramètres!$A$1:$I$89,5,0)</f>
        <v>4.6111381379887463E-14</v>
      </c>
      <c r="DQ104" s="13">
        <f t="shared" si="97"/>
        <v>7.5804141040779151E-13</v>
      </c>
      <c r="DR104" s="20">
        <f t="shared" si="70"/>
        <v>1.4005661123635408E-12</v>
      </c>
      <c r="DS104" s="59">
        <f t="shared" si="71"/>
        <v>293.33333333333474</v>
      </c>
      <c r="DT104" s="59">
        <f ca="1">AVERAGE(OFFSET($DS$3,0,0,'Données projet'!$E$14+1,1))-AVERAGE(OFFSET($H$3,0,0,'Données projet'!$E$14+1,1))</f>
        <v>235.31102883830971</v>
      </c>
      <c r="DU104" s="59">
        <f t="shared" si="98"/>
        <v>271.48630853790422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37.407204755822775</v>
      </c>
      <c r="EB104" s="21">
        <f>EXP(-LN(2)/25)*EB103+(1-EXP(-LN(2)/25))/(LN(2)/25)*Calculateur!DW104*Calculateur!DY104*VLOOKUP('Données projet'!$B$14,Paramètres!$A$1:$I$89,3,0)*0.475*44/12</f>
        <v>43.600595071562836</v>
      </c>
      <c r="EC104" s="21">
        <f>EXP(-LN(2)/2)*EC103+(1-EXP(-LN(2)/2))/(LN(2)/2)*DW104*DZ104*VLOOKUP('Données projet'!$B$14,Paramètres!$A$1:$I$89,3,0)*0.475*44/12</f>
        <v>1.4554234239831208E-8</v>
      </c>
      <c r="ED104" s="22">
        <f t="shared" si="72"/>
        <v>81.007799841939843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-1.2505552149377763E-12</v>
      </c>
      <c r="O105" s="13">
        <f>N105*VLOOKUP('Données projet'!$B$9,Paramètres!$A$1:$I$89,3,0)*VLOOKUP('Données projet'!$B$9,Paramètres!$A$1:$I$89,5,0)</f>
        <v>-6.9906036515021697E-13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446.28010102877403</v>
      </c>
      <c r="T105" s="59">
        <f t="shared" si="88"/>
        <v>445.84011537290456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2.7440952357754744</v>
      </c>
      <c r="AA105" s="21">
        <f>EXP(-LN(2)/25)*AA104+(1-EXP(-LN(2)/25))/(LN(2)/25)*Calculateur!V105*Calculateur!X105*VLOOKUP('Données projet'!$B$9,Paramètres!$A$1:$I$89,3,0)*0.475*44/12</f>
        <v>5.2651502765171427</v>
      </c>
      <c r="AB105" s="21">
        <f>EXP(-LN(2)/2)*AB104+(1-EXP(-LN(2)/2))/(LN(2)/2)*V105*Y105*VLOOKUP('Données projet'!$B$9,Paramètres!$A$1:$I$89,3,0)*0.475*44/12</f>
        <v>5.3073587121666199E-10</v>
      </c>
      <c r="AC105" s="22">
        <f t="shared" si="57"/>
        <v>8.0092455128233535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-5.3205440053716299E-14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252.98248842635206</v>
      </c>
      <c r="AO105" s="59">
        <f t="shared" si="90"/>
        <v>207.11938580878308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0.75321311754076214</v>
      </c>
      <c r="AV105" s="21">
        <f>EXP(-LN(2)/25)*AV104+(1-EXP(-LN(2)/25))/(LN(2)/25)*Calculateur!AQ105*Calculateur!AS105*VLOOKUP('Données projet'!$B$10,Paramètres!$A$1:$I$89,3,0)*0.475*44/12</f>
        <v>1.0671008718518975</v>
      </c>
      <c r="AW105" s="21">
        <f>EXP(-LN(2)/2)*AW104+(1-EXP(-LN(2)/2))/(LN(2)/2)*AQ105*AT105*VLOOKUP('Données projet'!$B$10,Paramètres!$A$1:$I$89,3,0)*0.475*44/12</f>
        <v>1.4307699865160964E-10</v>
      </c>
      <c r="AX105" s="21">
        <f t="shared" si="60"/>
        <v>1.8203139895357368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3.1</v>
      </c>
      <c r="BD105" s="12">
        <f>IF('Données projet'!$A$88&gt;35,BD104+BC105-BL104,IF(A105&lt;'Données projet'!$A$88,$BA$205^A105,IF(A105='Données projet'!$A$88,'Données projet'!$B$88,BD104+BC105-BL104)))</f>
        <v>208.19999999999996</v>
      </c>
      <c r="BE105" s="13">
        <f>BD105*VLOOKUP('Données projet'!$B$11,Paramètres!$A$1:$I$89,3,0)*VLOOKUP('Données projet'!$B$11,Paramètres!$A$1:$I$89,5,0)</f>
        <v>136.41263999999995</v>
      </c>
      <c r="BF105" s="13">
        <f t="shared" si="91"/>
        <v>35.473954262008618</v>
      </c>
      <c r="BG105" s="20">
        <f t="shared" si="61"/>
        <v>299.36915167299821</v>
      </c>
      <c r="BH105" s="59">
        <f t="shared" si="62"/>
        <v>592.70248500633147</v>
      </c>
      <c r="BI105" s="59">
        <f ca="1">AVERAGE(OFFSET($BH$3,0,0,'Données projet'!$E$11+1,1))-AVERAGE(OFFSET($H$3,0,0,'Données projet'!$E$11+1,1))</f>
        <v>114.23168847330004</v>
      </c>
      <c r="BJ105" s="59">
        <f t="shared" si="92"/>
        <v>42.34857998136755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3.1</v>
      </c>
      <c r="BY105" s="12">
        <f>IF('Données projet'!$A$114&gt;35,BY104+BX105-CG104,IF(A105&lt;'Données projet'!$A$114,$BV$205^A105,IF(A105='Données projet'!$A$114,'Données projet'!$B$114,BY104+BX105-CG104)))</f>
        <v>208.19999999999996</v>
      </c>
      <c r="BZ105" s="13">
        <f>BY105*VLOOKUP('Données projet'!$B$12,Paramètres!$A$1:$I$89,3,0)*VLOOKUP('Données projet'!$B$12,Paramètres!$A$1:$I$89,5,0)</f>
        <v>201.37103999999997</v>
      </c>
      <c r="CA105" s="13">
        <f t="shared" si="93"/>
        <v>50.045360910017756</v>
      </c>
      <c r="CB105" s="20">
        <f t="shared" si="64"/>
        <v>437.88356491828085</v>
      </c>
      <c r="CC105" s="59">
        <f t="shared" si="65"/>
        <v>731.21689825161411</v>
      </c>
      <c r="CD105" s="59">
        <f ca="1">AVERAGE(OFFSET($CC$3,0,0,'Données projet'!$E$12+1,1))-AVERAGE(OFFSET($H$3,0,0,'Données projet'!$E$12+1,1))</f>
        <v>201.36664523637006</v>
      </c>
      <c r="CE105" s="59">
        <f t="shared" si="94"/>
        <v>79.394119001888555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22.888099097768603</v>
      </c>
      <c r="CM105" s="21">
        <f>EXP(-LN(2)/2)*CM104+(1-EXP(-LN(2)/2))/(LN(2)/2)*CG105*CJ105*VLOOKUP('Données projet'!$B$12,Paramètres!$A$1:$I$89,3,0)*0.475*44/12</f>
        <v>5.7368630680187959E-9</v>
      </c>
      <c r="CN105" s="22">
        <f t="shared" si="66"/>
        <v>22.888099103505464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4.5999999999999996</v>
      </c>
      <c r="CT105" s="12">
        <f>IF('Données projet'!$A$140&gt;35,CT104+CS105-DB104,IF(A105&lt;'Données projet'!$A$140,$CQ$205^A105,IF(A105='Données projet'!$A$140,'Données projet'!$B$140,CT104+CS105-DB104)))</f>
        <v>267.20000000000005</v>
      </c>
      <c r="CU105" s="17">
        <f>CT105*VLOOKUP('Données projet'!$B$13,Paramètres!$A$1:$I$89,3,0)*VLOOKUP('Données projet'!$B$13,Paramètres!$A$1:$I$89,5,0)</f>
        <v>241.76256000000006</v>
      </c>
      <c r="CV105" s="13">
        <f t="shared" si="95"/>
        <v>58.818592205643412</v>
      </c>
      <c r="CW105" s="20">
        <f t="shared" si="67"/>
        <v>523.51217342482903</v>
      </c>
      <c r="CX105" s="59">
        <f t="shared" si="68"/>
        <v>816.8455067581624</v>
      </c>
      <c r="CY105" s="59">
        <f ca="1">AVERAGE(OFFSET($CX$3,0,0,'Données projet'!$E$13+1,1))-AVERAGE(OFFSET($H$3,0,0,'Données projet'!$E$13+1,1))</f>
        <v>282.08542131880455</v>
      </c>
      <c r="CZ105" s="59">
        <f t="shared" si="96"/>
        <v>174.27503468762325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30.449976980549359</v>
      </c>
      <c r="DG105" s="21">
        <f>EXP(-LN(2)/25)*DG104+(1-EXP(-LN(2)/25))/(LN(2)/25)*Calculateur!DB105*Calculateur!DD105*VLOOKUP('Données projet'!$B$13,Paramètres!$A$1:$I$89,3,0)*0.475*44/12</f>
        <v>33.018596073297374</v>
      </c>
      <c r="DH105" s="21">
        <f>EXP(-LN(2)/2)*DH104+(1-EXP(-LN(2)/2))/(LN(2)/2)*DB105*DE105*VLOOKUP('Données projet'!$B$13,Paramètres!$A$1:$I$89,3,0)*0.475*44/12</f>
        <v>8.5284004173874082E-9</v>
      </c>
      <c r="DI105" s="22">
        <f t="shared" si="69"/>
        <v>63.468573062375135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5.6843418860808015E-14</v>
      </c>
      <c r="DP105" s="17">
        <f>DO105*VLOOKUP('Données projet'!$B$14,Paramètres!$A$1:$I$89,3,0)*VLOOKUP('Données projet'!$B$14,Paramètres!$A$1:$I$89,5,0)</f>
        <v>4.6111381379887463E-14</v>
      </c>
      <c r="DQ105" s="13">
        <f t="shared" si="97"/>
        <v>7.5804141040779151E-13</v>
      </c>
      <c r="DR105" s="20">
        <f t="shared" si="70"/>
        <v>1.4005661123635408E-12</v>
      </c>
      <c r="DS105" s="59">
        <f t="shared" si="71"/>
        <v>293.33333333333474</v>
      </c>
      <c r="DT105" s="59">
        <f ca="1">AVERAGE(OFFSET($DS$3,0,0,'Données projet'!$E$14+1,1))-AVERAGE(OFFSET($H$3,0,0,'Données projet'!$E$14+1,1))</f>
        <v>235.31102883830971</v>
      </c>
      <c r="DU105" s="59">
        <f t="shared" si="98"/>
        <v>271.48630853790422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36.673672286703088</v>
      </c>
      <c r="EB105" s="21">
        <f>EXP(-LN(2)/25)*EB104+(1-EXP(-LN(2)/25))/(LN(2)/25)*Calculateur!DW105*Calculateur!DY105*VLOOKUP('Données projet'!$B$14,Paramètres!$A$1:$I$89,3,0)*0.475*44/12</f>
        <v>42.408334506475306</v>
      </c>
      <c r="EC105" s="21">
        <f>EXP(-LN(2)/2)*EC104+(1-EXP(-LN(2)/2))/(LN(2)/2)*DW105*DZ105*VLOOKUP('Données projet'!$B$14,Paramètres!$A$1:$I$89,3,0)*0.475*44/12</f>
        <v>1.0291397725962085E-8</v>
      </c>
      <c r="ED105" s="22">
        <f t="shared" si="72"/>
        <v>79.082006803469795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-1.2505552149377763E-12</v>
      </c>
      <c r="O106" s="13">
        <f>N106*VLOOKUP('Données projet'!$B$9,Paramètres!$A$1:$I$89,3,0)*VLOOKUP('Données projet'!$B$9,Paramètres!$A$1:$I$89,5,0)</f>
        <v>-6.9906036515021697E-13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446.28010102877403</v>
      </c>
      <c r="T106" s="59">
        <f t="shared" si="88"/>
        <v>445.84011537290456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2.6902852019347439</v>
      </c>
      <c r="AA106" s="21">
        <f>EXP(-LN(2)/25)*AA105+(1-EXP(-LN(2)/25))/(LN(2)/25)*Calculateur!V106*Calculateur!X106*VLOOKUP('Données projet'!$B$9,Paramètres!$A$1:$I$89,3,0)*0.475*44/12</f>
        <v>5.1211744653235618</v>
      </c>
      <c r="AB106" s="21">
        <f>EXP(-LN(2)/2)*AB105+(1-EXP(-LN(2)/2))/(LN(2)/2)*V106*Y106*VLOOKUP('Données projet'!$B$9,Paramètres!$A$1:$I$89,3,0)*0.475*44/12</f>
        <v>3.7528693355625188E-10</v>
      </c>
      <c r="AC106" s="22">
        <f t="shared" si="57"/>
        <v>7.811459667633593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-5.3205440053716299E-14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252.98248842635206</v>
      </c>
      <c r="AO106" s="59">
        <f t="shared" si="90"/>
        <v>207.11938580878308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0.73844306772042612</v>
      </c>
      <c r="AV106" s="21">
        <f>EXP(-LN(2)/25)*AV105+(1-EXP(-LN(2)/25))/(LN(2)/25)*Calculateur!AQ106*Calculateur!AS106*VLOOKUP('Données projet'!$B$10,Paramètres!$A$1:$I$89,3,0)*0.475*44/12</f>
        <v>1.0379209423947113</v>
      </c>
      <c r="AW106" s="21">
        <f>EXP(-LN(2)/2)*AW105+(1-EXP(-LN(2)/2))/(LN(2)/2)*AQ106*AT106*VLOOKUP('Données projet'!$B$10,Paramètres!$A$1:$I$89,3,0)*0.475*44/12</f>
        <v>1.0117071597837169E-10</v>
      </c>
      <c r="AX106" s="21">
        <f t="shared" si="60"/>
        <v>1.7763640102163081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3.1</v>
      </c>
      <c r="BD106" s="12">
        <f>IF('Données projet'!$A$88&gt;35,BD105+BC106-BL105,IF(A106&lt;'Données projet'!$A$88,$BA$205^A106,IF(A106='Données projet'!$A$88,'Données projet'!$B$88,BD105+BC106-BL105)))</f>
        <v>211.29999999999995</v>
      </c>
      <c r="BE106" s="13">
        <f>BD106*VLOOKUP('Données projet'!$B$11,Paramètres!$A$1:$I$89,3,0)*VLOOKUP('Données projet'!$B$11,Paramètres!$A$1:$I$89,5,0)</f>
        <v>138.44375999999997</v>
      </c>
      <c r="BF106" s="13">
        <f t="shared" si="91"/>
        <v>35.940261158359235</v>
      </c>
      <c r="BG106" s="20">
        <f t="shared" si="61"/>
        <v>303.71883685080894</v>
      </c>
      <c r="BH106" s="59">
        <f t="shared" si="62"/>
        <v>597.05217018414226</v>
      </c>
      <c r="BI106" s="59">
        <f ca="1">AVERAGE(OFFSET($BH$3,0,0,'Données projet'!$E$11+1,1))-AVERAGE(OFFSET($H$3,0,0,'Données projet'!$E$11+1,1))</f>
        <v>114.23168847330004</v>
      </c>
      <c r="BJ106" s="59">
        <f t="shared" si="92"/>
        <v>42.34857998136755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3.1</v>
      </c>
      <c r="BY106" s="12">
        <f>IF('Données projet'!$A$114&gt;35,BY105+BX106-CG105,IF(A106&lt;'Données projet'!$A$114,$BV$205^A106,IF(A106='Données projet'!$A$114,'Données projet'!$B$114,BY105+BX106-CG105)))</f>
        <v>211.29999999999995</v>
      </c>
      <c r="BZ106" s="13">
        <f>BY106*VLOOKUP('Données projet'!$B$12,Paramètres!$A$1:$I$89,3,0)*VLOOKUP('Données projet'!$B$12,Paramètres!$A$1:$I$89,5,0)</f>
        <v>204.36935999999997</v>
      </c>
      <c r="CA106" s="13">
        <f t="shared" si="93"/>
        <v>50.703209672812427</v>
      </c>
      <c r="CB106" s="20">
        <f t="shared" si="64"/>
        <v>444.25139218014823</v>
      </c>
      <c r="CC106" s="59">
        <f t="shared" si="65"/>
        <v>737.58472551348154</v>
      </c>
      <c r="CD106" s="59">
        <f ca="1">AVERAGE(OFFSET($CC$3,0,0,'Données projet'!$E$12+1,1))-AVERAGE(OFFSET($H$3,0,0,'Données projet'!$E$12+1,1))</f>
        <v>201.36664523637006</v>
      </c>
      <c r="CE106" s="59">
        <f t="shared" si="94"/>
        <v>79.394119001888555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22.262222824307301</v>
      </c>
      <c r="CM106" s="21">
        <f>EXP(-LN(2)/2)*CM105+(1-EXP(-LN(2)/2))/(LN(2)/2)*CG106*CJ106*VLOOKUP('Données projet'!$B$12,Paramètres!$A$1:$I$89,3,0)*0.475*44/12</f>
        <v>4.0565747781347524E-9</v>
      </c>
      <c r="CN106" s="22">
        <f t="shared" si="66"/>
        <v>22.262222828363875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4.5999999999999996</v>
      </c>
      <c r="CT106" s="12">
        <f>IF('Données projet'!$A$140&gt;35,CT105+CS106-DB105,IF(A106&lt;'Données projet'!$A$140,$CQ$205^A106,IF(A106='Données projet'!$A$140,'Données projet'!$B$140,CT105+CS106-DB105)))</f>
        <v>271.80000000000007</v>
      </c>
      <c r="CU106" s="17">
        <f>CT106*VLOOKUP('Données projet'!$B$13,Paramètres!$A$1:$I$89,3,0)*VLOOKUP('Données projet'!$B$13,Paramètres!$A$1:$I$89,5,0)</f>
        <v>245.92464000000007</v>
      </c>
      <c r="CV106" s="13">
        <f t="shared" si="95"/>
        <v>59.712430831913537</v>
      </c>
      <c r="CW106" s="20">
        <f t="shared" si="67"/>
        <v>532.31789836558289</v>
      </c>
      <c r="CX106" s="59">
        <f t="shared" si="68"/>
        <v>825.65123169891626</v>
      </c>
      <c r="CY106" s="59">
        <f ca="1">AVERAGE(OFFSET($CX$3,0,0,'Données projet'!$E$13+1,1))-AVERAGE(OFFSET($H$3,0,0,'Données projet'!$E$13+1,1))</f>
        <v>282.08542131880455</v>
      </c>
      <c r="CZ106" s="59">
        <f t="shared" si="96"/>
        <v>174.27503468762325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29.852871504612846</v>
      </c>
      <c r="DG106" s="21">
        <f>EXP(-LN(2)/25)*DG105+(1-EXP(-LN(2)/25))/(LN(2)/25)*Calculateur!DB106*Calculateur!DD106*VLOOKUP('Données projet'!$B$13,Paramètres!$A$1:$I$89,3,0)*0.475*44/12</f>
        <v>32.115700827300557</v>
      </c>
      <c r="DH106" s="21">
        <f>EXP(-LN(2)/2)*DH105+(1-EXP(-LN(2)/2))/(LN(2)/2)*DB106*DE106*VLOOKUP('Données projet'!$B$13,Paramètres!$A$1:$I$89,3,0)*0.475*44/12</f>
        <v>6.0304897678088188E-9</v>
      </c>
      <c r="DI106" s="22">
        <f t="shared" si="69"/>
        <v>61.968572337943897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5.6843418860808015E-14</v>
      </c>
      <c r="DP106" s="17">
        <f>DO106*VLOOKUP('Données projet'!$B$14,Paramètres!$A$1:$I$89,3,0)*VLOOKUP('Données projet'!$B$14,Paramètres!$A$1:$I$89,5,0)</f>
        <v>4.6111381379887463E-14</v>
      </c>
      <c r="DQ106" s="13">
        <f t="shared" si="97"/>
        <v>7.5804141040779151E-13</v>
      </c>
      <c r="DR106" s="20">
        <f t="shared" si="70"/>
        <v>1.4005661123635408E-12</v>
      </c>
      <c r="DS106" s="59">
        <f t="shared" si="71"/>
        <v>293.33333333333474</v>
      </c>
      <c r="DT106" s="59">
        <f ca="1">AVERAGE(OFFSET($DS$3,0,0,'Données projet'!$E$14+1,1))-AVERAGE(OFFSET($H$3,0,0,'Données projet'!$E$14+1,1))</f>
        <v>235.31102883830971</v>
      </c>
      <c r="DU106" s="59">
        <f t="shared" si="98"/>
        <v>271.48630853790422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35.954523941892205</v>
      </c>
      <c r="EB106" s="21">
        <f>EXP(-LN(2)/25)*EB105+(1-EXP(-LN(2)/25))/(LN(2)/25)*Calculateur!DW106*Calculateur!DY106*VLOOKUP('Données projet'!$B$14,Paramètres!$A$1:$I$89,3,0)*0.475*44/12</f>
        <v>41.248676369238353</v>
      </c>
      <c r="EC106" s="21">
        <f>EXP(-LN(2)/2)*EC105+(1-EXP(-LN(2)/2))/(LN(2)/2)*DW106*DZ106*VLOOKUP('Données projet'!$B$14,Paramètres!$A$1:$I$89,3,0)*0.475*44/12</f>
        <v>7.2771171199156054E-9</v>
      </c>
      <c r="ED106" s="22">
        <f t="shared" si="72"/>
        <v>77.203200318407681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-1.2505552149377763E-12</v>
      </c>
      <c r="O107" s="13">
        <f>N107*VLOOKUP('Données projet'!$B$9,Paramètres!$A$1:$I$89,3,0)*VLOOKUP('Données projet'!$B$9,Paramètres!$A$1:$I$89,5,0)</f>
        <v>-6.9906036515021697E-13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446.28010102877403</v>
      </c>
      <c r="T107" s="59">
        <f t="shared" si="88"/>
        <v>445.84011537290456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2.6375303500367502</v>
      </c>
      <c r="AA107" s="21">
        <f>EXP(-LN(2)/25)*AA106+(1-EXP(-LN(2)/25))/(LN(2)/25)*Calculateur!V107*Calculateur!X107*VLOOKUP('Données projet'!$B$9,Paramètres!$A$1:$I$89,3,0)*0.475*44/12</f>
        <v>4.9811356802584283</v>
      </c>
      <c r="AB107" s="21">
        <f>EXP(-LN(2)/2)*AB106+(1-EXP(-LN(2)/2))/(LN(2)/2)*V107*Y107*VLOOKUP('Données projet'!$B$9,Paramètres!$A$1:$I$89,3,0)*0.475*44/12</f>
        <v>2.65367935608331E-10</v>
      </c>
      <c r="AC107" s="22">
        <f t="shared" si="57"/>
        <v>7.6186660305605471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-5.3205440053716299E-14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252.98248842635206</v>
      </c>
      <c r="AO107" s="59">
        <f t="shared" si="90"/>
        <v>207.11938580878308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0.72396264956822598</v>
      </c>
      <c r="AV107" s="21">
        <f>EXP(-LN(2)/25)*AV106+(1-EXP(-LN(2)/25))/(LN(2)/25)*Calculateur!AQ107*Calculateur!AS107*VLOOKUP('Données projet'!$B$10,Paramètres!$A$1:$I$89,3,0)*0.475*44/12</f>
        <v>1.0095389396430379</v>
      </c>
      <c r="AW107" s="21">
        <f>EXP(-LN(2)/2)*AW106+(1-EXP(-LN(2)/2))/(LN(2)/2)*AQ107*AT107*VLOOKUP('Données projet'!$B$10,Paramètres!$A$1:$I$89,3,0)*0.475*44/12</f>
        <v>7.1538499325804819E-11</v>
      </c>
      <c r="AX107" s="21">
        <f t="shared" si="60"/>
        <v>1.7335015892828023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3.1</v>
      </c>
      <c r="BD107" s="12">
        <f>IF('Données projet'!$A$88&gt;35,BD106+BC107-BL106,IF(A107&lt;'Données projet'!$A$88,$BA$205^A107,IF(A107='Données projet'!$A$88,'Données projet'!$B$88,BD106+BC107-BL106)))</f>
        <v>214.39999999999995</v>
      </c>
      <c r="BE107" s="13">
        <f>BD107*VLOOKUP('Données projet'!$B$11,Paramètres!$A$1:$I$89,3,0)*VLOOKUP('Données projet'!$B$11,Paramètres!$A$1:$I$89,5,0)</f>
        <v>140.47487999999996</v>
      </c>
      <c r="BF107" s="13">
        <f t="shared" si="91"/>
        <v>36.405772385199683</v>
      </c>
      <c r="BG107" s="20">
        <f t="shared" si="61"/>
        <v>308.06713623755604</v>
      </c>
      <c r="BH107" s="59">
        <f t="shared" si="62"/>
        <v>601.4004695708893</v>
      </c>
      <c r="BI107" s="59">
        <f ca="1">AVERAGE(OFFSET($BH$3,0,0,'Données projet'!$E$11+1,1))-AVERAGE(OFFSET($H$3,0,0,'Données projet'!$E$11+1,1))</f>
        <v>114.23168847330004</v>
      </c>
      <c r="BJ107" s="59">
        <f t="shared" si="92"/>
        <v>42.34857998136755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3.1</v>
      </c>
      <c r="BY107" s="12">
        <f>IF('Données projet'!$A$114&gt;35,BY106+BX107-CG106,IF(A107&lt;'Données projet'!$A$114,$BV$205^A107,IF(A107='Données projet'!$A$114,'Données projet'!$B$114,BY106+BX107-CG106)))</f>
        <v>214.39999999999995</v>
      </c>
      <c r="BZ107" s="13">
        <f>BY107*VLOOKUP('Données projet'!$B$12,Paramètres!$A$1:$I$89,3,0)*VLOOKUP('Données projet'!$B$12,Paramètres!$A$1:$I$89,5,0)</f>
        <v>207.36767999999995</v>
      </c>
      <c r="CA107" s="13">
        <f t="shared" si="93"/>
        <v>51.359935934080831</v>
      </c>
      <c r="CB107" s="20">
        <f t="shared" si="64"/>
        <v>450.61726441852403</v>
      </c>
      <c r="CC107" s="59">
        <f t="shared" si="65"/>
        <v>743.95059775185734</v>
      </c>
      <c r="CD107" s="59">
        <f ca="1">AVERAGE(OFFSET($CC$3,0,0,'Données projet'!$E$12+1,1))-AVERAGE(OFFSET($H$3,0,0,'Données projet'!$E$12+1,1))</f>
        <v>201.36664523637006</v>
      </c>
      <c r="CE107" s="59">
        <f t="shared" si="94"/>
        <v>79.394119001888555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21.653461170457202</v>
      </c>
      <c r="CM107" s="21">
        <f>EXP(-LN(2)/2)*CM106+(1-EXP(-LN(2)/2))/(LN(2)/2)*CG107*CJ107*VLOOKUP('Données projet'!$B$12,Paramètres!$A$1:$I$89,3,0)*0.475*44/12</f>
        <v>2.868431534009398E-9</v>
      </c>
      <c r="CN107" s="22">
        <f t="shared" si="66"/>
        <v>21.653461173325635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4.5999999999999996</v>
      </c>
      <c r="CT107" s="12">
        <f>IF('Données projet'!$A$140&gt;35,CT106+CS107-DB106,IF(A107&lt;'Données projet'!$A$140,$CQ$205^A107,IF(A107='Données projet'!$A$140,'Données projet'!$B$140,CT106+CS107-DB106)))</f>
        <v>276.40000000000009</v>
      </c>
      <c r="CU107" s="17">
        <f>CT107*VLOOKUP('Données projet'!$B$13,Paramètres!$A$1:$I$89,3,0)*VLOOKUP('Données projet'!$B$13,Paramètres!$A$1:$I$89,5,0)</f>
        <v>250.08672000000007</v>
      </c>
      <c r="CV107" s="13">
        <f t="shared" si="95"/>
        <v>60.604510260306157</v>
      </c>
      <c r="CW107" s="20">
        <f t="shared" si="67"/>
        <v>541.12055937003333</v>
      </c>
      <c r="CX107" s="59">
        <f t="shared" si="68"/>
        <v>834.45389270336659</v>
      </c>
      <c r="CY107" s="59">
        <f ca="1">AVERAGE(OFFSET($CX$3,0,0,'Données projet'!$E$13+1,1))-AVERAGE(OFFSET($H$3,0,0,'Données projet'!$E$13+1,1))</f>
        <v>282.08542131880455</v>
      </c>
      <c r="CZ107" s="59">
        <f t="shared" si="96"/>
        <v>174.27503468762325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29.267474902861071</v>
      </c>
      <c r="DG107" s="21">
        <f>EXP(-LN(2)/25)*DG106+(1-EXP(-LN(2)/25))/(LN(2)/25)*Calculateur!DB107*Calculateur!DD107*VLOOKUP('Données projet'!$B$13,Paramètres!$A$1:$I$89,3,0)*0.475*44/12</f>
        <v>31.237495299286717</v>
      </c>
      <c r="DH107" s="21">
        <f>EXP(-LN(2)/2)*DH106+(1-EXP(-LN(2)/2))/(LN(2)/2)*DB107*DE107*VLOOKUP('Données projet'!$B$13,Paramètres!$A$1:$I$89,3,0)*0.475*44/12</f>
        <v>4.2642002086937041E-9</v>
      </c>
      <c r="DI107" s="22">
        <f t="shared" si="69"/>
        <v>60.50497020641199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5.6843418860808015E-14</v>
      </c>
      <c r="DP107" s="17">
        <f>DO107*VLOOKUP('Données projet'!$B$14,Paramètres!$A$1:$I$89,3,0)*VLOOKUP('Données projet'!$B$14,Paramètres!$A$1:$I$89,5,0)</f>
        <v>4.6111381379887463E-14</v>
      </c>
      <c r="DQ107" s="13">
        <f t="shared" si="97"/>
        <v>7.5804141040779151E-13</v>
      </c>
      <c r="DR107" s="20">
        <f t="shared" si="70"/>
        <v>1.4005661123635408E-12</v>
      </c>
      <c r="DS107" s="59">
        <f t="shared" si="71"/>
        <v>293.33333333333474</v>
      </c>
      <c r="DT107" s="59">
        <f ca="1">AVERAGE(OFFSET($DS$3,0,0,'Données projet'!$E$14+1,1))-AVERAGE(OFFSET($H$3,0,0,'Données projet'!$E$14+1,1))</f>
        <v>235.31102883830971</v>
      </c>
      <c r="DU107" s="59">
        <f t="shared" si="98"/>
        <v>271.48630853790422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35.249477657485883</v>
      </c>
      <c r="EB107" s="21">
        <f>EXP(-LN(2)/25)*EB106+(1-EXP(-LN(2)/25))/(LN(2)/25)*Calculateur!DW107*Calculateur!DY107*VLOOKUP('Données projet'!$B$14,Paramètres!$A$1:$I$89,3,0)*0.475*44/12</f>
        <v>40.120729144747912</v>
      </c>
      <c r="EC107" s="21">
        <f>EXP(-LN(2)/2)*EC106+(1-EXP(-LN(2)/2))/(LN(2)/2)*DW107*DZ107*VLOOKUP('Données projet'!$B$14,Paramètres!$A$1:$I$89,3,0)*0.475*44/12</f>
        <v>5.1456988629810431E-9</v>
      </c>
      <c r="ED107" s="22">
        <f t="shared" si="72"/>
        <v>75.370206807379489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-1.2505552149377763E-12</v>
      </c>
      <c r="O108" s="13">
        <f>N108*VLOOKUP('Données projet'!$B$9,Paramètres!$A$1:$I$89,3,0)*VLOOKUP('Données projet'!$B$9,Paramètres!$A$1:$I$89,5,0)</f>
        <v>-6.9906036515021697E-13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446.28010102877403</v>
      </c>
      <c r="T108" s="59">
        <f t="shared" si="88"/>
        <v>445.84011537290456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2.5858099886071937</v>
      </c>
      <c r="AA108" s="21">
        <f>EXP(-LN(2)/25)*AA107+(1-EXP(-LN(2)/25))/(LN(2)/25)*Calculateur!V108*Calculateur!X108*VLOOKUP('Données projet'!$B$9,Paramètres!$A$1:$I$89,3,0)*0.475*44/12</f>
        <v>4.8449262631352203</v>
      </c>
      <c r="AB108" s="21">
        <f>EXP(-LN(2)/2)*AB107+(1-EXP(-LN(2)/2))/(LN(2)/2)*V108*Y108*VLOOKUP('Données projet'!$B$9,Paramètres!$A$1:$I$89,3,0)*0.475*44/12</f>
        <v>1.8764346677812594E-10</v>
      </c>
      <c r="AC108" s="22">
        <f t="shared" si="57"/>
        <v>7.4307362519300577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-5.3205440053716299E-14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252.98248842635206</v>
      </c>
      <c r="AO108" s="59">
        <f t="shared" si="90"/>
        <v>207.11938580878308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0.7097661835838075</v>
      </c>
      <c r="AV108" s="21">
        <f>EXP(-LN(2)/25)*AV107+(1-EXP(-LN(2)/25))/(LN(2)/25)*Calculateur!AQ108*Calculateur!AS108*VLOOKUP('Données projet'!$B$10,Paramètres!$A$1:$I$89,3,0)*0.475*44/12</f>
        <v>0.98193304424915351</v>
      </c>
      <c r="AW108" s="21">
        <f>EXP(-LN(2)/2)*AW107+(1-EXP(-LN(2)/2))/(LN(2)/2)*AQ108*AT108*VLOOKUP('Données projet'!$B$10,Paramètres!$A$1:$I$89,3,0)*0.475*44/12</f>
        <v>5.0585357989185847E-11</v>
      </c>
      <c r="AX108" s="21">
        <f t="shared" si="60"/>
        <v>1.6916992278835463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3.1</v>
      </c>
      <c r="BD108" s="12">
        <f>IF('Données projet'!$A$88&gt;35,BD107+BC108-BL107,IF(A108&lt;'Données projet'!$A$88,$BA$205^A108,IF(A108='Données projet'!$A$88,'Données projet'!$B$88,BD107+BC108-BL107)))</f>
        <v>217.49999999999994</v>
      </c>
      <c r="BE108" s="13">
        <f>BD108*VLOOKUP('Données projet'!$B$11,Paramètres!$A$1:$I$89,3,0)*VLOOKUP('Données projet'!$B$11,Paramètres!$A$1:$I$89,5,0)</f>
        <v>142.50599999999994</v>
      </c>
      <c r="BF108" s="13">
        <f t="shared" si="91"/>
        <v>36.870500776307537</v>
      </c>
      <c r="BG108" s="20">
        <f t="shared" si="61"/>
        <v>312.41407218540218</v>
      </c>
      <c r="BH108" s="59">
        <f t="shared" si="62"/>
        <v>605.74740551873549</v>
      </c>
      <c r="BI108" s="59">
        <f ca="1">AVERAGE(OFFSET($BH$3,0,0,'Données projet'!$E$11+1,1))-AVERAGE(OFFSET($H$3,0,0,'Données projet'!$E$11+1,1))</f>
        <v>114.23168847330004</v>
      </c>
      <c r="BJ108" s="59">
        <f t="shared" si="92"/>
        <v>42.34857998136755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3.1</v>
      </c>
      <c r="BY108" s="12">
        <f>IF('Données projet'!$A$114&gt;35,BY107+BX108-CG107,IF(A108&lt;'Données projet'!$A$114,$BV$205^A108,IF(A108='Données projet'!$A$114,'Données projet'!$B$114,BY107+BX108-CG107)))</f>
        <v>217.49999999999994</v>
      </c>
      <c r="BZ108" s="13">
        <f>BY108*VLOOKUP('Données projet'!$B$12,Paramètres!$A$1:$I$89,3,0)*VLOOKUP('Données projet'!$B$12,Paramètres!$A$1:$I$89,5,0)</f>
        <v>210.36599999999996</v>
      </c>
      <c r="CA108" s="13">
        <f t="shared" si="93"/>
        <v>52.01555779924837</v>
      </c>
      <c r="CB108" s="20">
        <f t="shared" si="64"/>
        <v>456.98121316702412</v>
      </c>
      <c r="CC108" s="59">
        <f t="shared" si="65"/>
        <v>750.31454650035744</v>
      </c>
      <c r="CD108" s="59">
        <f ca="1">AVERAGE(OFFSET($CC$3,0,0,'Données projet'!$E$12+1,1))-AVERAGE(OFFSET($H$3,0,0,'Données projet'!$E$12+1,1))</f>
        <v>201.36664523637006</v>
      </c>
      <c r="CE108" s="59">
        <f t="shared" si="94"/>
        <v>79.394119001888555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21.061346136045017</v>
      </c>
      <c r="CM108" s="21">
        <f>EXP(-LN(2)/2)*CM107+(1-EXP(-LN(2)/2))/(LN(2)/2)*CG108*CJ108*VLOOKUP('Données projet'!$B$12,Paramètres!$A$1:$I$89,3,0)*0.475*44/12</f>
        <v>2.0282873890673762E-9</v>
      </c>
      <c r="CN108" s="22">
        <f t="shared" si="66"/>
        <v>21.061346138073304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4.5999999999999996</v>
      </c>
      <c r="CT108" s="12">
        <f>IF('Données projet'!$A$140&gt;35,CT107+CS108-DB107,IF(A108&lt;'Données projet'!$A$140,$CQ$205^A108,IF(A108='Données projet'!$A$140,'Données projet'!$B$140,CT107+CS108-DB107)))</f>
        <v>281.00000000000011</v>
      </c>
      <c r="CU108" s="17">
        <f>CT108*VLOOKUP('Données projet'!$B$13,Paramètres!$A$1:$I$89,3,0)*VLOOKUP('Données projet'!$B$13,Paramètres!$A$1:$I$89,5,0)</f>
        <v>254.24880000000007</v>
      </c>
      <c r="CV108" s="13">
        <f t="shared" si="95"/>
        <v>61.494863147658911</v>
      </c>
      <c r="CW108" s="20">
        <f t="shared" si="67"/>
        <v>549.92021331550598</v>
      </c>
      <c r="CX108" s="59">
        <f t="shared" si="68"/>
        <v>843.25354664883935</v>
      </c>
      <c r="CY108" s="59">
        <f ca="1">AVERAGE(OFFSET($CX$3,0,0,'Données projet'!$E$13+1,1))-AVERAGE(OFFSET($H$3,0,0,'Données projet'!$E$13+1,1))</f>
        <v>282.08542131880455</v>
      </c>
      <c r="CZ108" s="59">
        <f t="shared" si="96"/>
        <v>174.27503468762325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28.693557571412978</v>
      </c>
      <c r="DG108" s="21">
        <f>EXP(-LN(2)/25)*DG107+(1-EXP(-LN(2)/25))/(LN(2)/25)*Calculateur!DB108*Calculateur!DD108*VLOOKUP('Données projet'!$B$13,Paramètres!$A$1:$I$89,3,0)*0.475*44/12</f>
        <v>30.383304347619237</v>
      </c>
      <c r="DH108" s="21">
        <f>EXP(-LN(2)/2)*DH107+(1-EXP(-LN(2)/2))/(LN(2)/2)*DB108*DE108*VLOOKUP('Données projet'!$B$13,Paramètres!$A$1:$I$89,3,0)*0.475*44/12</f>
        <v>3.0152448839044094E-9</v>
      </c>
      <c r="DI108" s="22">
        <f t="shared" si="69"/>
        <v>59.076861922047456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5.6843418860808015E-14</v>
      </c>
      <c r="DP108" s="17">
        <f>DO108*VLOOKUP('Données projet'!$B$14,Paramètres!$A$1:$I$89,3,0)*VLOOKUP('Données projet'!$B$14,Paramètres!$A$1:$I$89,5,0)</f>
        <v>4.6111381379887463E-14</v>
      </c>
      <c r="DQ108" s="13">
        <f t="shared" si="97"/>
        <v>7.5804141040779151E-13</v>
      </c>
      <c r="DR108" s="20">
        <f t="shared" si="70"/>
        <v>1.4005661123635408E-12</v>
      </c>
      <c r="DS108" s="59">
        <f t="shared" si="71"/>
        <v>293.33333333333474</v>
      </c>
      <c r="DT108" s="59">
        <f ca="1">AVERAGE(OFFSET($DS$3,0,0,'Données projet'!$E$14+1,1))-AVERAGE(OFFSET($H$3,0,0,'Données projet'!$E$14+1,1))</f>
        <v>235.31102883830971</v>
      </c>
      <c r="DU108" s="59">
        <f t="shared" si="98"/>
        <v>271.48630853790422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34.558256900681002</v>
      </c>
      <c r="EB108" s="21">
        <f>EXP(-LN(2)/25)*EB107+(1-EXP(-LN(2)/25))/(LN(2)/25)*Calculateur!DW108*Calculateur!DY108*VLOOKUP('Données projet'!$B$14,Paramètres!$A$1:$I$89,3,0)*0.475*44/12</f>
        <v>39.023625696427331</v>
      </c>
      <c r="EC108" s="21">
        <f>EXP(-LN(2)/2)*EC107+(1-EXP(-LN(2)/2))/(LN(2)/2)*DW108*DZ108*VLOOKUP('Données projet'!$B$14,Paramètres!$A$1:$I$89,3,0)*0.475*44/12</f>
        <v>3.6385585599578031E-9</v>
      </c>
      <c r="ED108" s="22">
        <f t="shared" si="72"/>
        <v>73.581882600746894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-1.2505552149377763E-12</v>
      </c>
      <c r="O109" s="13">
        <f>N109*VLOOKUP('Données projet'!$B$9,Paramètres!$A$1:$I$89,3,0)*VLOOKUP('Données projet'!$B$9,Paramètres!$A$1:$I$89,5,0)</f>
        <v>-6.9906036515021697E-13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446.28010102877403</v>
      </c>
      <c r="T109" s="59">
        <f t="shared" si="88"/>
        <v>445.84011537290456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2.5351038319189652</v>
      </c>
      <c r="AA109" s="21">
        <f>EXP(-LN(2)/25)*AA108+(1-EXP(-LN(2)/25))/(LN(2)/25)*Calculateur!V109*Calculateur!X109*VLOOKUP('Données projet'!$B$9,Paramètres!$A$1:$I$89,3,0)*0.475*44/12</f>
        <v>4.7124414996861885</v>
      </c>
      <c r="AB109" s="21">
        <f>EXP(-LN(2)/2)*AB108+(1-EXP(-LN(2)/2))/(LN(2)/2)*V109*Y109*VLOOKUP('Données projet'!$B$9,Paramètres!$A$1:$I$89,3,0)*0.475*44/12</f>
        <v>1.326839678041655E-10</v>
      </c>
      <c r="AC109" s="22">
        <f t="shared" si="57"/>
        <v>7.2475453317378378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-5.3205440053716299E-14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252.98248842635206</v>
      </c>
      <c r="AO109" s="59">
        <f t="shared" si="90"/>
        <v>207.11938580878308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0.6958481016383542</v>
      </c>
      <c r="AV109" s="21">
        <f>EXP(-LN(2)/25)*AV108+(1-EXP(-LN(2)/25))/(LN(2)/25)*Calculateur!AQ109*Calculateur!AS109*VLOOKUP('Données projet'!$B$10,Paramètres!$A$1:$I$89,3,0)*0.475*44/12</f>
        <v>0.95508203351654586</v>
      </c>
      <c r="AW109" s="21">
        <f>EXP(-LN(2)/2)*AW108+(1-EXP(-LN(2)/2))/(LN(2)/2)*AQ109*AT109*VLOOKUP('Données projet'!$B$10,Paramètres!$A$1:$I$89,3,0)*0.475*44/12</f>
        <v>3.576924966290241E-11</v>
      </c>
      <c r="AX109" s="21">
        <f t="shared" si="60"/>
        <v>1.6509301351906691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3.1</v>
      </c>
      <c r="BD109" s="12">
        <f>IF('Données projet'!$A$88&gt;35,BD108+BC109-BL108,IF(A109&lt;'Données projet'!$A$88,$BA$205^A109,IF(A109='Données projet'!$A$88,'Données projet'!$B$88,BD108+BC109-BL108)))</f>
        <v>220.59999999999994</v>
      </c>
      <c r="BE109" s="13">
        <f>BD109*VLOOKUP('Données projet'!$B$11,Paramètres!$A$1:$I$89,3,0)*VLOOKUP('Données projet'!$B$11,Paramètres!$A$1:$I$89,5,0)</f>
        <v>144.53711999999996</v>
      </c>
      <c r="BF109" s="13">
        <f t="shared" si="91"/>
        <v>37.334458778614163</v>
      </c>
      <c r="BG109" s="20">
        <f t="shared" si="61"/>
        <v>316.75966637275292</v>
      </c>
      <c r="BH109" s="59">
        <f t="shared" si="62"/>
        <v>610.09299970608618</v>
      </c>
      <c r="BI109" s="59">
        <f ca="1">AVERAGE(OFFSET($BH$3,0,0,'Données projet'!$E$11+1,1))-AVERAGE(OFFSET($H$3,0,0,'Données projet'!$E$11+1,1))</f>
        <v>114.23168847330004</v>
      </c>
      <c r="BJ109" s="59">
        <f t="shared" si="92"/>
        <v>42.34857998136755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3.1</v>
      </c>
      <c r="BY109" s="12">
        <f>IF('Données projet'!$A$114&gt;35,BY108+BX109-CG108,IF(A109&lt;'Données projet'!$A$114,$BV$205^A109,IF(A109='Données projet'!$A$114,'Données projet'!$B$114,BY108+BX109-CG108)))</f>
        <v>220.59999999999994</v>
      </c>
      <c r="BZ109" s="13">
        <f>BY109*VLOOKUP('Données projet'!$B$12,Paramètres!$A$1:$I$89,3,0)*VLOOKUP('Données projet'!$B$12,Paramètres!$A$1:$I$89,5,0)</f>
        <v>213.36431999999994</v>
      </c>
      <c r="CA109" s="13">
        <f t="shared" si="93"/>
        <v>52.670092827991724</v>
      </c>
      <c r="CB109" s="20">
        <f t="shared" si="64"/>
        <v>463.3432690087522</v>
      </c>
      <c r="CC109" s="59">
        <f t="shared" si="65"/>
        <v>756.67660234208552</v>
      </c>
      <c r="CD109" s="59">
        <f ca="1">AVERAGE(OFFSET($CC$3,0,0,'Données projet'!$E$12+1,1))-AVERAGE(OFFSET($H$3,0,0,'Données projet'!$E$12+1,1))</f>
        <v>201.36664523637006</v>
      </c>
      <c r="CE109" s="59">
        <f t="shared" si="94"/>
        <v>79.394119001888555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20.485422518386809</v>
      </c>
      <c r="CM109" s="21">
        <f>EXP(-LN(2)/2)*CM108+(1-EXP(-LN(2)/2))/(LN(2)/2)*CG109*CJ109*VLOOKUP('Données projet'!$B$12,Paramètres!$A$1:$I$89,3,0)*0.475*44/12</f>
        <v>1.434215767004699E-9</v>
      </c>
      <c r="CN109" s="22">
        <f t="shared" si="66"/>
        <v>20.485422519821025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4.5999999999999996</v>
      </c>
      <c r="CT109" s="12">
        <f>IF('Données projet'!$A$140&gt;35,CT108+CS109-DB108,IF(A109&lt;'Données projet'!$A$140,$CQ$205^A109,IF(A109='Données projet'!$A$140,'Données projet'!$B$140,CT108+CS109-DB108)))</f>
        <v>285.60000000000014</v>
      </c>
      <c r="CU109" s="17">
        <f>CT109*VLOOKUP('Données projet'!$B$13,Paramètres!$A$1:$I$89,3,0)*VLOOKUP('Données projet'!$B$13,Paramètres!$A$1:$I$89,5,0)</f>
        <v>258.41088000000013</v>
      </c>
      <c r="CV109" s="13">
        <f t="shared" si="95"/>
        <v>62.383521020316813</v>
      </c>
      <c r="CW109" s="20">
        <f t="shared" si="67"/>
        <v>558.71691511038534</v>
      </c>
      <c r="CX109" s="59">
        <f t="shared" si="68"/>
        <v>852.0502484437186</v>
      </c>
      <c r="CY109" s="59">
        <f ca="1">AVERAGE(OFFSET($CX$3,0,0,'Données projet'!$E$13+1,1))-AVERAGE(OFFSET($H$3,0,0,'Données projet'!$E$13+1,1))</f>
        <v>282.08542131880455</v>
      </c>
      <c r="CZ109" s="59">
        <f t="shared" si="96"/>
        <v>174.27503468762325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28.130894408779575</v>
      </c>
      <c r="DG109" s="21">
        <f>EXP(-LN(2)/25)*DG108+(1-EXP(-LN(2)/25))/(LN(2)/25)*Calculateur!DB109*Calculateur!DD109*VLOOKUP('Données projet'!$B$13,Paramètres!$A$1:$I$89,3,0)*0.475*44/12</f>
        <v>29.552471292445055</v>
      </c>
      <c r="DH109" s="21">
        <f>EXP(-LN(2)/2)*DH108+(1-EXP(-LN(2)/2))/(LN(2)/2)*DB109*DE109*VLOOKUP('Données projet'!$B$13,Paramètres!$A$1:$I$89,3,0)*0.475*44/12</f>
        <v>2.132100104346852E-9</v>
      </c>
      <c r="DI109" s="22">
        <f t="shared" si="69"/>
        <v>57.683365703356728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5.6843418860808015E-14</v>
      </c>
      <c r="DP109" s="17">
        <f>DO109*VLOOKUP('Données projet'!$B$14,Paramètres!$A$1:$I$89,3,0)*VLOOKUP('Données projet'!$B$14,Paramètres!$A$1:$I$89,5,0)</f>
        <v>4.6111381379887463E-14</v>
      </c>
      <c r="DQ109" s="13">
        <f t="shared" si="97"/>
        <v>7.5804141040779151E-13</v>
      </c>
      <c r="DR109" s="20">
        <f t="shared" si="70"/>
        <v>1.4005661123635408E-12</v>
      </c>
      <c r="DS109" s="59">
        <f t="shared" si="71"/>
        <v>293.33333333333474</v>
      </c>
      <c r="DT109" s="59">
        <f ca="1">AVERAGE(OFFSET($DS$3,0,0,'Données projet'!$E$14+1,1))-AVERAGE(OFFSET($H$3,0,0,'Données projet'!$E$14+1,1))</f>
        <v>235.31102883830971</v>
      </c>
      <c r="DU109" s="59">
        <f t="shared" si="98"/>
        <v>271.48630853790422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33.88059056131403</v>
      </c>
      <c r="EB109" s="21">
        <f>EXP(-LN(2)/25)*EB108+(1-EXP(-LN(2)/25))/(LN(2)/25)*Calculateur!DW109*Calculateur!DY109*VLOOKUP('Données projet'!$B$14,Paramètres!$A$1:$I$89,3,0)*0.475*44/12</f>
        <v>37.956522599595239</v>
      </c>
      <c r="EC109" s="21">
        <f>EXP(-LN(2)/2)*EC108+(1-EXP(-LN(2)/2))/(LN(2)/2)*DW109*DZ109*VLOOKUP('Données projet'!$B$14,Paramètres!$A$1:$I$89,3,0)*0.475*44/12</f>
        <v>2.572849431490522E-9</v>
      </c>
      <c r="ED109" s="22">
        <f t="shared" si="72"/>
        <v>71.837113163482115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-1.2505552149377763E-12</v>
      </c>
      <c r="O110" s="13">
        <f>N110*VLOOKUP('Données projet'!$B$9,Paramètres!$A$1:$I$89,3,0)*VLOOKUP('Données projet'!$B$9,Paramètres!$A$1:$I$89,5,0)</f>
        <v>-6.9906036515021697E-13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446.28010102877403</v>
      </c>
      <c r="T110" s="59">
        <f t="shared" si="88"/>
        <v>445.84011537290456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2.4853919920356913</v>
      </c>
      <c r="AA110" s="21">
        <f>EXP(-LN(2)/25)*AA109+(1-EXP(-LN(2)/25))/(LN(2)/25)*Calculateur!V110*Calculateur!X110*VLOOKUP('Données projet'!$B$9,Paramètres!$A$1:$I$89,3,0)*0.475*44/12</f>
        <v>4.5835795390607412</v>
      </c>
      <c r="AB110" s="21">
        <f>EXP(-LN(2)/2)*AB109+(1-EXP(-LN(2)/2))/(LN(2)/2)*V110*Y110*VLOOKUP('Données projet'!$B$9,Paramètres!$A$1:$I$89,3,0)*0.475*44/12</f>
        <v>9.3821733389062971E-11</v>
      </c>
      <c r="AC110" s="22">
        <f t="shared" si="57"/>
        <v>7.0689715311902539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-5.3205440053716299E-14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252.98248842635206</v>
      </c>
      <c r="AO110" s="59">
        <f t="shared" si="90"/>
        <v>207.11938580878308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0.68220294479065957</v>
      </c>
      <c r="AV110" s="21">
        <f>EXP(-LN(2)/25)*AV109+(1-EXP(-LN(2)/25))/(LN(2)/25)*Calculateur!AQ110*Calculateur!AS110*VLOOKUP('Données projet'!$B$10,Paramètres!$A$1:$I$89,3,0)*0.475*44/12</f>
        <v>0.92896526508445465</v>
      </c>
      <c r="AW110" s="21">
        <f>EXP(-LN(2)/2)*AW109+(1-EXP(-LN(2)/2))/(LN(2)/2)*AQ110*AT110*VLOOKUP('Données projet'!$B$10,Paramètres!$A$1:$I$89,3,0)*0.475*44/12</f>
        <v>2.5292678994592923E-11</v>
      </c>
      <c r="AX110" s="21">
        <f t="shared" si="60"/>
        <v>1.611168209900407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3.1</v>
      </c>
      <c r="BD110" s="12">
        <f>IF('Données projet'!$A$88&gt;35,BD109+BC110-BL109,IF(A110&lt;'Données projet'!$A$88,$BA$205^A110,IF(A110='Données projet'!$A$88,'Données projet'!$B$88,BD109+BC110-BL109)))</f>
        <v>223.69999999999993</v>
      </c>
      <c r="BE110" s="13">
        <f>BD110*VLOOKUP('Données projet'!$B$11,Paramètres!$A$1:$I$89,3,0)*VLOOKUP('Données projet'!$B$11,Paramètres!$A$1:$I$89,5,0)</f>
        <v>146.56823999999995</v>
      </c>
      <c r="BF110" s="13">
        <f t="shared" si="91"/>
        <v>37.79765846913439</v>
      </c>
      <c r="BG110" s="20">
        <f t="shared" si="61"/>
        <v>321.10393983374229</v>
      </c>
      <c r="BH110" s="59">
        <f t="shared" si="62"/>
        <v>614.43727316707555</v>
      </c>
      <c r="BI110" s="59">
        <f ca="1">AVERAGE(OFFSET($BH$3,0,0,'Données projet'!$E$11+1,1))-AVERAGE(OFFSET($H$3,0,0,'Données projet'!$E$11+1,1))</f>
        <v>114.23168847330004</v>
      </c>
      <c r="BJ110" s="59">
        <f t="shared" si="92"/>
        <v>42.34857998136755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3.1</v>
      </c>
      <c r="BY110" s="12">
        <f>IF('Données projet'!$A$114&gt;35,BY109+BX110-CG109,IF(A110&lt;'Données projet'!$A$114,$BV$205^A110,IF(A110='Données projet'!$A$114,'Données projet'!$B$114,BY109+BX110-CG109)))</f>
        <v>223.69999999999993</v>
      </c>
      <c r="BZ110" s="13">
        <f>BY110*VLOOKUP('Données projet'!$B$12,Paramètres!$A$1:$I$89,3,0)*VLOOKUP('Données projet'!$B$12,Paramètres!$A$1:$I$89,5,0)</f>
        <v>216.36263999999994</v>
      </c>
      <c r="CA110" s="13">
        <f t="shared" si="93"/>
        <v>53.323558058123105</v>
      </c>
      <c r="CB110" s="20">
        <f t="shared" si="64"/>
        <v>469.70346161789774</v>
      </c>
      <c r="CC110" s="59">
        <f t="shared" si="65"/>
        <v>763.03679495123106</v>
      </c>
      <c r="CD110" s="59">
        <f ca="1">AVERAGE(OFFSET($CC$3,0,0,'Données projet'!$E$12+1,1))-AVERAGE(OFFSET($H$3,0,0,'Données projet'!$E$12+1,1))</f>
        <v>201.36664523637006</v>
      </c>
      <c r="CE110" s="59">
        <f t="shared" si="94"/>
        <v>79.394119001888555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19.925247562339973</v>
      </c>
      <c r="CM110" s="21">
        <f>EXP(-LN(2)/2)*CM109+(1-EXP(-LN(2)/2))/(LN(2)/2)*CG110*CJ110*VLOOKUP('Données projet'!$B$12,Paramètres!$A$1:$I$89,3,0)*0.475*44/12</f>
        <v>1.0141436945336881E-9</v>
      </c>
      <c r="CN110" s="22">
        <f t="shared" si="66"/>
        <v>19.925247563354116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4.5999999999999996</v>
      </c>
      <c r="CT110" s="12">
        <f>IF('Données projet'!$A$140&gt;35,CT109+CS110-DB109,IF(A110&lt;'Données projet'!$A$140,$CQ$205^A110,IF(A110='Données projet'!$A$140,'Données projet'!$B$140,CT109+CS110-DB109)))</f>
        <v>290.20000000000016</v>
      </c>
      <c r="CU110" s="17">
        <f>CT110*VLOOKUP('Données projet'!$B$13,Paramètres!$A$1:$I$89,3,0)*VLOOKUP('Données projet'!$B$13,Paramètres!$A$1:$I$89,5,0)</f>
        <v>262.57296000000014</v>
      </c>
      <c r="CV110" s="13">
        <f t="shared" si="95"/>
        <v>63.270514330833223</v>
      </c>
      <c r="CW110" s="20">
        <f t="shared" si="67"/>
        <v>567.51071779286804</v>
      </c>
      <c r="CX110" s="59">
        <f t="shared" si="68"/>
        <v>860.84405112620129</v>
      </c>
      <c r="CY110" s="59">
        <f ca="1">AVERAGE(OFFSET($CX$3,0,0,'Données projet'!$E$13+1,1))-AVERAGE(OFFSET($H$3,0,0,'Données projet'!$E$13+1,1))</f>
        <v>282.08542131880455</v>
      </c>
      <c r="CZ110" s="59">
        <f t="shared" si="96"/>
        <v>174.27503468762325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27.57926472757477</v>
      </c>
      <c r="DG110" s="21">
        <f>EXP(-LN(2)/25)*DG109+(1-EXP(-LN(2)/25))/(LN(2)/25)*Calculateur!DB110*Calculateur!DD110*VLOOKUP('Données projet'!$B$13,Paramètres!$A$1:$I$89,3,0)*0.475*44/12</f>
        <v>28.744357410856225</v>
      </c>
      <c r="DH110" s="21">
        <f>EXP(-LN(2)/2)*DH109+(1-EXP(-LN(2)/2))/(LN(2)/2)*DB110*DE110*VLOOKUP('Données projet'!$B$13,Paramètres!$A$1:$I$89,3,0)*0.475*44/12</f>
        <v>1.5076224419522047E-9</v>
      </c>
      <c r="DI110" s="22">
        <f t="shared" si="69"/>
        <v>56.323622139938614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5.6843418860808015E-14</v>
      </c>
      <c r="DP110" s="17">
        <f>DO110*VLOOKUP('Données projet'!$B$14,Paramètres!$A$1:$I$89,3,0)*VLOOKUP('Données projet'!$B$14,Paramètres!$A$1:$I$89,5,0)</f>
        <v>4.6111381379887463E-14</v>
      </c>
      <c r="DQ110" s="13">
        <f t="shared" si="97"/>
        <v>7.5804141040779151E-13</v>
      </c>
      <c r="DR110" s="20">
        <f t="shared" si="70"/>
        <v>1.4005661123635408E-12</v>
      </c>
      <c r="DS110" s="59">
        <f t="shared" si="71"/>
        <v>293.33333333333474</v>
      </c>
      <c r="DT110" s="59">
        <f ca="1">AVERAGE(OFFSET($DS$3,0,0,'Données projet'!$E$14+1,1))-AVERAGE(OFFSET($H$3,0,0,'Données projet'!$E$14+1,1))</f>
        <v>235.31102883830971</v>
      </c>
      <c r="DU110" s="59">
        <f t="shared" si="98"/>
        <v>271.48630853790422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33.216212845526393</v>
      </c>
      <c r="EB110" s="21">
        <f>EXP(-LN(2)/25)*EB109+(1-EXP(-LN(2)/25))/(LN(2)/25)*Calculateur!DW110*Calculateur!DY110*VLOOKUP('Données projet'!$B$14,Paramètres!$A$1:$I$89,3,0)*0.475*44/12</f>
        <v>36.918599493062537</v>
      </c>
      <c r="EC110" s="21">
        <f>EXP(-LN(2)/2)*EC109+(1-EXP(-LN(2)/2))/(LN(2)/2)*DW110*DZ110*VLOOKUP('Données projet'!$B$14,Paramètres!$A$1:$I$89,3,0)*0.475*44/12</f>
        <v>1.8192792799789018E-9</v>
      </c>
      <c r="ED110" s="22">
        <f t="shared" si="72"/>
        <v>70.134812340408203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-1.2505552149377763E-12</v>
      </c>
      <c r="O111" s="13">
        <f>N111*VLOOKUP('Données projet'!$B$9,Paramètres!$A$1:$I$89,3,0)*VLOOKUP('Données projet'!$B$9,Paramètres!$A$1:$I$89,5,0)</f>
        <v>-6.9906036515021697E-13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446.28010102877403</v>
      </c>
      <c r="T111" s="59">
        <f t="shared" si="88"/>
        <v>445.84011537290456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2.4366549710113001</v>
      </c>
      <c r="AA111" s="21">
        <f>EXP(-LN(2)/25)*AA110+(1-EXP(-LN(2)/25))/(LN(2)/25)*Calculateur!V111*Calculateur!X111*VLOOKUP('Données projet'!$B$9,Paramètres!$A$1:$I$89,3,0)*0.475*44/12</f>
        <v>4.4582413155251528</v>
      </c>
      <c r="AB111" s="21">
        <f>EXP(-LN(2)/2)*AB110+(1-EXP(-LN(2)/2))/(LN(2)/2)*V111*Y111*VLOOKUP('Données projet'!$B$9,Paramètres!$A$1:$I$89,3,0)*0.475*44/12</f>
        <v>6.6341983902082749E-11</v>
      </c>
      <c r="AC111" s="22">
        <f t="shared" si="57"/>
        <v>6.8948962866027941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-5.3205440053716299E-14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252.98248842635206</v>
      </c>
      <c r="AO111" s="59">
        <f t="shared" si="90"/>
        <v>207.11938580878308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0.66882536114602431</v>
      </c>
      <c r="AV111" s="21">
        <f>EXP(-LN(2)/25)*AV110+(1-EXP(-LN(2)/25))/(LN(2)/25)*Calculateur!AQ111*Calculateur!AS111*VLOOKUP('Données projet'!$B$10,Paramètres!$A$1:$I$89,3,0)*0.475*44/12</f>
        <v>0.90356266105856009</v>
      </c>
      <c r="AW111" s="21">
        <f>EXP(-LN(2)/2)*AW110+(1-EXP(-LN(2)/2))/(LN(2)/2)*AQ111*AT111*VLOOKUP('Données projet'!$B$10,Paramètres!$A$1:$I$89,3,0)*0.475*44/12</f>
        <v>1.7884624831451205E-11</v>
      </c>
      <c r="AX111" s="21">
        <f t="shared" si="60"/>
        <v>1.5723880222224691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3.1</v>
      </c>
      <c r="BD111" s="12">
        <f>IF('Données projet'!$A$88&gt;35,BD110+BC111-BL110,IF(A111&lt;'Données projet'!$A$88,$BA$205^A111,IF(A111='Données projet'!$A$88,'Données projet'!$B$88,BD110+BC111-BL110)))</f>
        <v>226.79999999999993</v>
      </c>
      <c r="BE111" s="13">
        <f>BD111*VLOOKUP('Données projet'!$B$11,Paramètres!$A$1:$I$89,3,0)*VLOOKUP('Données projet'!$B$11,Paramètres!$A$1:$I$89,5,0)</f>
        <v>148.59935999999996</v>
      </c>
      <c r="BF111" s="13">
        <f t="shared" si="91"/>
        <v>38.260111570931144</v>
      </c>
      <c r="BG111" s="20">
        <f t="shared" si="61"/>
        <v>325.44691298603828</v>
      </c>
      <c r="BH111" s="59">
        <f t="shared" si="62"/>
        <v>618.7802463193716</v>
      </c>
      <c r="BI111" s="59">
        <f ca="1">AVERAGE(OFFSET($BH$3,0,0,'Données projet'!$E$11+1,1))-AVERAGE(OFFSET($H$3,0,0,'Données projet'!$E$11+1,1))</f>
        <v>114.23168847330004</v>
      </c>
      <c r="BJ111" s="59">
        <f t="shared" si="92"/>
        <v>42.34857998136755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3.1</v>
      </c>
      <c r="BY111" s="12">
        <f>IF('Données projet'!$A$114&gt;35,BY110+BX111-CG110,IF(A111&lt;'Données projet'!$A$114,$BV$205^A111,IF(A111='Données projet'!$A$114,'Données projet'!$B$114,BY110+BX111-CG110)))</f>
        <v>226.79999999999993</v>
      </c>
      <c r="BZ111" s="13">
        <f>BY111*VLOOKUP('Données projet'!$B$12,Paramètres!$A$1:$I$89,3,0)*VLOOKUP('Données projet'!$B$12,Paramètres!$A$1:$I$89,5,0)</f>
        <v>219.36095999999995</v>
      </c>
      <c r="CA111" s="13">
        <f t="shared" si="93"/>
        <v>53.975970028112116</v>
      </c>
      <c r="CB111" s="20">
        <f t="shared" si="64"/>
        <v>476.06181979896178</v>
      </c>
      <c r="CC111" s="59">
        <f t="shared" si="65"/>
        <v>769.39515313229504</v>
      </c>
      <c r="CD111" s="59">
        <f ca="1">AVERAGE(OFFSET($CC$3,0,0,'Données projet'!$E$12+1,1))-AVERAGE(OFFSET($H$3,0,0,'Données projet'!$E$12+1,1))</f>
        <v>201.36664523637006</v>
      </c>
      <c r="CE111" s="59">
        <f t="shared" si="94"/>
        <v>79.394119001888555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19.380390619924558</v>
      </c>
      <c r="CM111" s="21">
        <f>EXP(-LN(2)/2)*CM110+(1-EXP(-LN(2)/2))/(LN(2)/2)*CG111*CJ111*VLOOKUP('Données projet'!$B$12,Paramètres!$A$1:$I$89,3,0)*0.475*44/12</f>
        <v>7.1710788350234949E-10</v>
      </c>
      <c r="CN111" s="22">
        <f t="shared" si="66"/>
        <v>19.380390620641666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4.5999999999999996</v>
      </c>
      <c r="CT111" s="12">
        <f>IF('Données projet'!$A$140&gt;35,CT110+CS111-DB110,IF(A111&lt;'Données projet'!$A$140,$CQ$205^A111,IF(A111='Données projet'!$A$140,'Données projet'!$B$140,CT110+CS111-DB110)))</f>
        <v>294.80000000000018</v>
      </c>
      <c r="CU111" s="17">
        <f>CT111*VLOOKUP('Données projet'!$B$13,Paramètres!$A$1:$I$89,3,0)*VLOOKUP('Données projet'!$B$13,Paramètres!$A$1:$I$89,5,0)</f>
        <v>266.73504000000014</v>
      </c>
      <c r="CV111" s="13">
        <f t="shared" si="95"/>
        <v>64.155872510973282</v>
      </c>
      <c r="CW111" s="20">
        <f t="shared" si="67"/>
        <v>576.30167262327871</v>
      </c>
      <c r="CX111" s="59">
        <f t="shared" si="68"/>
        <v>869.63500595661208</v>
      </c>
      <c r="CY111" s="59">
        <f ca="1">AVERAGE(OFFSET($CX$3,0,0,'Données projet'!$E$13+1,1))-AVERAGE(OFFSET($H$3,0,0,'Données projet'!$E$13+1,1))</f>
        <v>282.08542131880455</v>
      </c>
      <c r="CZ111" s="59">
        <f t="shared" si="96"/>
        <v>174.27503468762325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27.038452167957509</v>
      </c>
      <c r="DG111" s="21">
        <f>EXP(-LN(2)/25)*DG110+(1-EXP(-LN(2)/25))/(LN(2)/25)*Calculateur!DB111*Calculateur!DD111*VLOOKUP('Données projet'!$B$13,Paramètres!$A$1:$I$89,3,0)*0.475*44/12</f>
        <v>27.958341445856302</v>
      </c>
      <c r="DH111" s="21">
        <f>EXP(-LN(2)/2)*DH110+(1-EXP(-LN(2)/2))/(LN(2)/2)*DB111*DE111*VLOOKUP('Données projet'!$B$13,Paramètres!$A$1:$I$89,3,0)*0.475*44/12</f>
        <v>1.066050052173426E-9</v>
      </c>
      <c r="DI111" s="22">
        <f t="shared" si="69"/>
        <v>54.996793614879856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5.6843418860808015E-14</v>
      </c>
      <c r="DP111" s="17">
        <f>DO111*VLOOKUP('Données projet'!$B$14,Paramètres!$A$1:$I$89,3,0)*VLOOKUP('Données projet'!$B$14,Paramètres!$A$1:$I$89,5,0)</f>
        <v>4.6111381379887463E-14</v>
      </c>
      <c r="DQ111" s="13">
        <f t="shared" si="97"/>
        <v>7.5804141040779151E-13</v>
      </c>
      <c r="DR111" s="20">
        <f t="shared" si="70"/>
        <v>1.4005661123635408E-12</v>
      </c>
      <c r="DS111" s="59">
        <f t="shared" si="71"/>
        <v>293.33333333333474</v>
      </c>
      <c r="DT111" s="59">
        <f ca="1">AVERAGE(OFFSET($DS$3,0,0,'Données projet'!$E$14+1,1))-AVERAGE(OFFSET($H$3,0,0,'Données projet'!$E$14+1,1))</f>
        <v>235.31102883830971</v>
      </c>
      <c r="DU111" s="59">
        <f t="shared" si="98"/>
        <v>271.48630853790422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32.564863171514958</v>
      </c>
      <c r="EB111" s="21">
        <f>EXP(-LN(2)/25)*EB110+(1-EXP(-LN(2)/25))/(LN(2)/25)*Calculateur!DW111*Calculateur!DY111*VLOOKUP('Données projet'!$B$14,Paramètres!$A$1:$I$89,3,0)*0.475*44/12</f>
        <v>35.909058448459973</v>
      </c>
      <c r="EC111" s="21">
        <f>EXP(-LN(2)/2)*EC110+(1-EXP(-LN(2)/2))/(LN(2)/2)*DW111*DZ111*VLOOKUP('Données projet'!$B$14,Paramètres!$A$1:$I$89,3,0)*0.475*44/12</f>
        <v>1.2864247157452612E-9</v>
      </c>
      <c r="ED111" s="22">
        <f t="shared" si="72"/>
        <v>68.473921621261354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-1.2505552149377763E-12</v>
      </c>
      <c r="O112" s="13">
        <f>N112*VLOOKUP('Données projet'!$B$9,Paramètres!$A$1:$I$89,3,0)*VLOOKUP('Données projet'!$B$9,Paramètres!$A$1:$I$89,5,0)</f>
        <v>-6.9906036515021697E-13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446.28010102877403</v>
      </c>
      <c r="T112" s="59">
        <f t="shared" si="88"/>
        <v>445.84011537290456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2.3888736532425496</v>
      </c>
      <c r="AA112" s="21">
        <f>EXP(-LN(2)/25)*AA111+(1-EXP(-LN(2)/25))/(LN(2)/25)*Calculateur!V112*Calculateur!X112*VLOOKUP('Données projet'!$B$9,Paramètres!$A$1:$I$89,3,0)*0.475*44/12</f>
        <v>4.3363304723033957</v>
      </c>
      <c r="AB112" s="21">
        <f>EXP(-LN(2)/2)*AB111+(1-EXP(-LN(2)/2))/(LN(2)/2)*V112*Y112*VLOOKUP('Données projet'!$B$9,Paramètres!$A$1:$I$89,3,0)*0.475*44/12</f>
        <v>4.6910866694531485E-11</v>
      </c>
      <c r="AC112" s="22">
        <f t="shared" si="57"/>
        <v>6.7252041255928559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-5.3205440053716299E-14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252.98248842635206</v>
      </c>
      <c r="AO112" s="59">
        <f t="shared" si="90"/>
        <v>207.11938580878308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0.65571010375714001</v>
      </c>
      <c r="AV112" s="21">
        <f>EXP(-LN(2)/25)*AV111+(1-EXP(-LN(2)/25))/(LN(2)/25)*Calculateur!AQ112*Calculateur!AS112*VLOOKUP('Données projet'!$B$10,Paramètres!$A$1:$I$89,3,0)*0.475*44/12</f>
        <v>0.87885469257561855</v>
      </c>
      <c r="AW112" s="21">
        <f>EXP(-LN(2)/2)*AW111+(1-EXP(-LN(2)/2))/(LN(2)/2)*AQ112*AT112*VLOOKUP('Données projet'!$B$10,Paramètres!$A$1:$I$89,3,0)*0.475*44/12</f>
        <v>1.2646339497296462E-11</v>
      </c>
      <c r="AX112" s="21">
        <f t="shared" si="60"/>
        <v>1.5345647963454048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3.1</v>
      </c>
      <c r="BD112" s="12">
        <f>IF('Données projet'!$A$88&gt;35,BD111+BC112-BL111,IF(A112&lt;'Données projet'!$A$88,$BA$205^A112,IF(A112='Données projet'!$A$88,'Données projet'!$B$88,BD111+BC112-BL111)))</f>
        <v>229.89999999999992</v>
      </c>
      <c r="BE112" s="13">
        <f>BD112*VLOOKUP('Données projet'!$B$11,Paramètres!$A$1:$I$89,3,0)*VLOOKUP('Données projet'!$B$11,Paramètres!$A$1:$I$89,5,0)</f>
        <v>150.63047999999995</v>
      </c>
      <c r="BF112" s="13">
        <f t="shared" si="91"/>
        <v>38.721829468182364</v>
      </c>
      <c r="BG112" s="20">
        <f t="shared" si="61"/>
        <v>329.78860565708419</v>
      </c>
      <c r="BH112" s="59">
        <f t="shared" si="62"/>
        <v>623.12193899041745</v>
      </c>
      <c r="BI112" s="59">
        <f ca="1">AVERAGE(OFFSET($BH$3,0,0,'Données projet'!$E$11+1,1))-AVERAGE(OFFSET($H$3,0,0,'Données projet'!$E$11+1,1))</f>
        <v>114.23168847330004</v>
      </c>
      <c r="BJ112" s="59">
        <f t="shared" si="92"/>
        <v>42.34857998136755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3.1</v>
      </c>
      <c r="BY112" s="12">
        <f>IF('Données projet'!$A$114&gt;35,BY111+BX112-CG111,IF(A112&lt;'Données projet'!$A$114,$BV$205^A112,IF(A112='Données projet'!$A$114,'Données projet'!$B$114,BY111+BX112-CG111)))</f>
        <v>229.89999999999992</v>
      </c>
      <c r="BZ112" s="13">
        <f>BY112*VLOOKUP('Données projet'!$B$12,Paramètres!$A$1:$I$89,3,0)*VLOOKUP('Données projet'!$B$12,Paramètres!$A$1:$I$89,5,0)</f>
        <v>222.35927999999993</v>
      </c>
      <c r="CA112" s="13">
        <f t="shared" si="93"/>
        <v>54.627344798341738</v>
      </c>
      <c r="CB112" s="20">
        <f t="shared" si="64"/>
        <v>482.41837152377838</v>
      </c>
      <c r="CC112" s="59">
        <f t="shared" si="65"/>
        <v>775.75170485711169</v>
      </c>
      <c r="CD112" s="59">
        <f ca="1">AVERAGE(OFFSET($CC$3,0,0,'Données projet'!$E$12+1,1))-AVERAGE(OFFSET($H$3,0,0,'Données projet'!$E$12+1,1))</f>
        <v>201.36664523637006</v>
      </c>
      <c r="CE112" s="59">
        <f t="shared" si="94"/>
        <v>79.394119001888555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18.850432819252273</v>
      </c>
      <c r="CM112" s="21">
        <f>EXP(-LN(2)/2)*CM111+(1-EXP(-LN(2)/2))/(LN(2)/2)*CG112*CJ112*VLOOKUP('Données projet'!$B$12,Paramètres!$A$1:$I$89,3,0)*0.475*44/12</f>
        <v>5.0707184726684405E-10</v>
      </c>
      <c r="CN112" s="22">
        <f t="shared" si="66"/>
        <v>18.850432819759344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4.5999999999999996</v>
      </c>
      <c r="CT112" s="12">
        <f>IF('Données projet'!$A$140&gt;35,CT111+CS112-DB111,IF(A112&lt;'Données projet'!$A$140,$CQ$205^A112,IF(A112='Données projet'!$A$140,'Données projet'!$B$140,CT111+CS112-DB111)))</f>
        <v>299.4000000000002</v>
      </c>
      <c r="CU112" s="17">
        <f>CT112*VLOOKUP('Données projet'!$B$13,Paramètres!$A$1:$I$89,3,0)*VLOOKUP('Données projet'!$B$13,Paramètres!$A$1:$I$89,5,0)</f>
        <v>270.89712000000014</v>
      </c>
      <c r="CV112" s="13">
        <f t="shared" si="95"/>
        <v>65.039624021315475</v>
      </c>
      <c r="CW112" s="20">
        <f t="shared" si="67"/>
        <v>585.08982917045807</v>
      </c>
      <c r="CX112" s="59">
        <f t="shared" si="68"/>
        <v>878.42316250379145</v>
      </c>
      <c r="CY112" s="59">
        <f ca="1">AVERAGE(OFFSET($CX$3,0,0,'Données projet'!$E$13+1,1))-AVERAGE(OFFSET($H$3,0,0,'Données projet'!$E$13+1,1))</f>
        <v>282.08542131880455</v>
      </c>
      <c r="CZ112" s="59">
        <f t="shared" si="96"/>
        <v>174.27503468762325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26.50824461277125</v>
      </c>
      <c r="DG112" s="21">
        <f>EXP(-LN(2)/25)*DG111+(1-EXP(-LN(2)/25))/(LN(2)/25)*Calculateur!DB112*Calculateur!DD112*VLOOKUP('Données projet'!$B$13,Paramètres!$A$1:$I$89,3,0)*0.475*44/12</f>
        <v>27.193819128754086</v>
      </c>
      <c r="DH112" s="21">
        <f>EXP(-LN(2)/2)*DH111+(1-EXP(-LN(2)/2))/(LN(2)/2)*DB112*DE112*VLOOKUP('Données projet'!$B$13,Paramètres!$A$1:$I$89,3,0)*0.475*44/12</f>
        <v>7.5381122097610234E-10</v>
      </c>
      <c r="DI112" s="22">
        <f t="shared" si="69"/>
        <v>53.702063742279144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5.6843418860808015E-14</v>
      </c>
      <c r="DP112" s="17">
        <f>DO112*VLOOKUP('Données projet'!$B$14,Paramètres!$A$1:$I$89,3,0)*VLOOKUP('Données projet'!$B$14,Paramètres!$A$1:$I$89,5,0)</f>
        <v>4.6111381379887463E-14</v>
      </c>
      <c r="DQ112" s="13">
        <f t="shared" si="97"/>
        <v>7.5804141040779151E-13</v>
      </c>
      <c r="DR112" s="20">
        <f t="shared" si="70"/>
        <v>1.4005661123635408E-12</v>
      </c>
      <c r="DS112" s="59">
        <f t="shared" si="71"/>
        <v>293.33333333333474</v>
      </c>
      <c r="DT112" s="59">
        <f ca="1">AVERAGE(OFFSET($DS$3,0,0,'Données projet'!$E$14+1,1))-AVERAGE(OFFSET($H$3,0,0,'Données projet'!$E$14+1,1))</f>
        <v>235.31102883830971</v>
      </c>
      <c r="DU112" s="59">
        <f t="shared" si="98"/>
        <v>271.48630853790422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31.926286067326814</v>
      </c>
      <c r="EB112" s="21">
        <f>EXP(-LN(2)/25)*EB111+(1-EXP(-LN(2)/25))/(LN(2)/25)*Calculateur!DW112*Calculateur!DY112*VLOOKUP('Données projet'!$B$14,Paramètres!$A$1:$I$89,3,0)*0.475*44/12</f>
        <v>34.927123356811521</v>
      </c>
      <c r="EC112" s="21">
        <f>EXP(-LN(2)/2)*EC111+(1-EXP(-LN(2)/2))/(LN(2)/2)*DW112*DZ112*VLOOKUP('Données projet'!$B$14,Paramètres!$A$1:$I$89,3,0)*0.475*44/12</f>
        <v>9.0963963998945109E-10</v>
      </c>
      <c r="ED112" s="22">
        <f t="shared" si="72"/>
        <v>66.853409425047971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-1.2505552149377763E-12</v>
      </c>
      <c r="O113" s="13">
        <f>N113*VLOOKUP('Données projet'!$B$9,Paramètres!$A$1:$I$89,3,0)*VLOOKUP('Données projet'!$B$9,Paramètres!$A$1:$I$89,5,0)</f>
        <v>-6.9906036515021697E-13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446.28010102877403</v>
      </c>
      <c r="T113" s="59">
        <f t="shared" si="88"/>
        <v>445.84011537290456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2.3420292979715183</v>
      </c>
      <c r="AA113" s="21">
        <f>EXP(-LN(2)/25)*AA112+(1-EXP(-LN(2)/25))/(LN(2)/25)*Calculateur!V113*Calculateur!X113*VLOOKUP('Données projet'!$B$9,Paramètres!$A$1:$I$89,3,0)*0.475*44/12</f>
        <v>4.2177532875005506</v>
      </c>
      <c r="AB113" s="21">
        <f>EXP(-LN(2)/2)*AB112+(1-EXP(-LN(2)/2))/(LN(2)/2)*V113*Y113*VLOOKUP('Données projet'!$B$9,Paramètres!$A$1:$I$89,3,0)*0.475*44/12</f>
        <v>3.3170991951041374E-11</v>
      </c>
      <c r="AC113" s="22">
        <f t="shared" si="57"/>
        <v>6.5597825855052401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-5.3205440053716299E-14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252.98248842635206</v>
      </c>
      <c r="AO113" s="59">
        <f t="shared" si="90"/>
        <v>207.11938580878308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0.64285202856613466</v>
      </c>
      <c r="AV113" s="21">
        <f>EXP(-LN(2)/25)*AV112+(1-EXP(-LN(2)/25))/(LN(2)/25)*Calculateur!AQ113*Calculateur!AS113*VLOOKUP('Données projet'!$B$10,Paramètres!$A$1:$I$89,3,0)*0.475*44/12</f>
        <v>0.85482236479017859</v>
      </c>
      <c r="AW113" s="21">
        <f>EXP(-LN(2)/2)*AW112+(1-EXP(-LN(2)/2))/(LN(2)/2)*AQ113*AT113*VLOOKUP('Données projet'!$B$10,Paramètres!$A$1:$I$89,3,0)*0.475*44/12</f>
        <v>8.9423124157256024E-12</v>
      </c>
      <c r="AX113" s="21">
        <f t="shared" si="60"/>
        <v>1.4976743933652557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233</v>
      </c>
      <c r="BB113" s="12">
        <f>VLOOKUP(A113,'Données projet'!$A$87:$I$107,9,0)</f>
        <v>3.1</v>
      </c>
      <c r="BC113" s="12">
        <f t="array" ref="BC113">INDEX(BB:BB,MIN(IF(ISNUMBER(BB113:BB309),ROW(BB113:BB309),"")))</f>
        <v>3.1</v>
      </c>
      <c r="BD113" s="12">
        <f>IF('Données projet'!$A$88&gt;35,BD112+BC113-BL112,IF(A113&lt;'Données projet'!$A$88,$BA$205^A113,IF(A113='Données projet'!$A$88,'Données projet'!$B$88,BD112+BC113-BL112)))</f>
        <v>232.99999999999991</v>
      </c>
      <c r="BE113" s="13">
        <f>BD113*VLOOKUP('Données projet'!$B$11,Paramètres!$A$1:$I$89,3,0)*VLOOKUP('Données projet'!$B$11,Paramètres!$A$1:$I$89,5,0)</f>
        <v>152.66159999999994</v>
      </c>
      <c r="BF113" s="13">
        <f t="shared" si="91"/>
        <v>39.182823220412082</v>
      </c>
      <c r="BG113" s="20">
        <f t="shared" si="61"/>
        <v>334.12903710888423</v>
      </c>
      <c r="BH113" s="59">
        <f t="shared" si="62"/>
        <v>627.46237044221755</v>
      </c>
      <c r="BI113" s="59">
        <f ca="1">AVERAGE(OFFSET($BH$3,0,0,'Données projet'!$E$11+1,1))-AVERAGE(OFFSET($H$3,0,0,'Données projet'!$E$11+1,1))</f>
        <v>114.23168847330004</v>
      </c>
      <c r="BJ113" s="59">
        <f t="shared" si="92"/>
        <v>42.34857998136755</v>
      </c>
      <c r="BK113" s="15">
        <f>IF(ISNA(VLOOKUP(A113,'Données projet'!$A$87:$I$107,3,0)),0,VLOOKUP(A113,'Données projet'!$A$87:$I$107,3,0))</f>
        <v>8</v>
      </c>
      <c r="BL113" s="15">
        <f>IF(ISNA(VLOOKUP(A113,'Données projet'!$A$87:$I$107,4,0)),0,VLOOKUP(A113,'Données projet'!$A$87:$I$107,4,0))</f>
        <v>27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233</v>
      </c>
      <c r="BW113" s="12">
        <f>VLOOKUP(A113,'Données projet'!$A$113:$I$133,9,0)</f>
        <v>3.1</v>
      </c>
      <c r="BX113" s="12">
        <f t="array" ref="BX113">INDEX(BW:BW,MIN(IF(ISNUMBER(BW113:BW309),ROW(BW113:BW309),"")))</f>
        <v>3.1</v>
      </c>
      <c r="BY113" s="12">
        <f>IF('Données projet'!$A$114&gt;35,BY112+BX113-CG112,IF(A113&lt;'Données projet'!$A$114,$BV$205^A113,IF(A113='Données projet'!$A$114,'Données projet'!$B$114,BY112+BX113-CG112)))</f>
        <v>232.99999999999991</v>
      </c>
      <c r="BZ113" s="13">
        <f>BY113*VLOOKUP('Données projet'!$B$12,Paramètres!$A$1:$I$89,3,0)*VLOOKUP('Données projet'!$B$12,Paramètres!$A$1:$I$89,5,0)</f>
        <v>225.35759999999993</v>
      </c>
      <c r="CA113" s="13">
        <f t="shared" si="93"/>
        <v>55.277697971185155</v>
      </c>
      <c r="CB113" s="20">
        <f t="shared" si="64"/>
        <v>488.77314396648063</v>
      </c>
      <c r="CC113" s="59">
        <f t="shared" si="65"/>
        <v>782.10647729981395</v>
      </c>
      <c r="CD113" s="59">
        <f ca="1">AVERAGE(OFFSET($CC$3,0,0,'Données projet'!$E$12+1,1))-AVERAGE(OFFSET($H$3,0,0,'Données projet'!$E$12+1,1))</f>
        <v>201.36664523637006</v>
      </c>
      <c r="CE113" s="59">
        <f t="shared" si="94"/>
        <v>79.394119001888555</v>
      </c>
      <c r="CF113" s="15">
        <f>IF(ISNA(VLOOKUP(A113,'Données projet'!$A$113:$I$133,3,0)),0,VLOOKUP(A113,'Données projet'!$A$113:$I$133,3,0))</f>
        <v>8</v>
      </c>
      <c r="CG113" s="15">
        <f>IF(ISNA(VLOOKUP(A113,'Données projet'!$A$113:$I$133,4,0)),0,VLOOKUP(A113,'Données projet'!$A$113:$I$133,4,0))</f>
        <v>27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0.17200000000000001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23.280831665931334</v>
      </c>
      <c r="CM113" s="21">
        <f>EXP(-LN(2)/2)*CM112+(1-EXP(-LN(2)/2))/(LN(2)/2)*CG113*CJ113*VLOOKUP('Données projet'!$B$12,Paramètres!$A$1:$I$89,3,0)*0.475*44/12</f>
        <v>3.5855394175117475E-10</v>
      </c>
      <c r="CN113" s="22">
        <f t="shared" si="66"/>
        <v>23.280831666289888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304</v>
      </c>
      <c r="CR113" s="12">
        <f>VLOOKUP(A113,'Données projet'!$A$139:$I$159,9,0)</f>
        <v>4.5999999999999996</v>
      </c>
      <c r="CS113" s="12">
        <f t="array" ref="CS113">INDEX(CR:CR,MIN(IF(ISNUMBER(CR113:CR309),ROW(CR113:CR309),"")))</f>
        <v>4.5999999999999996</v>
      </c>
      <c r="CT113" s="12">
        <f>IF('Données projet'!$A$140&gt;35,CT112+CS113-DB112,IF(A113&lt;'Données projet'!$A$140,$CQ$205^A113,IF(A113='Données projet'!$A$140,'Données projet'!$B$140,CT112+CS113-DB112)))</f>
        <v>304.00000000000023</v>
      </c>
      <c r="CU113" s="17">
        <f>CT113*VLOOKUP('Données projet'!$B$13,Paramètres!$A$1:$I$89,3,0)*VLOOKUP('Données projet'!$B$13,Paramètres!$A$1:$I$89,5,0)</f>
        <v>275.0592000000002</v>
      </c>
      <c r="CV113" s="13">
        <f t="shared" si="95"/>
        <v>65.921796397718381</v>
      </c>
      <c r="CW113" s="20">
        <f t="shared" si="67"/>
        <v>593.87523539269307</v>
      </c>
      <c r="CX113" s="59">
        <f t="shared" si="68"/>
        <v>887.20856872602644</v>
      </c>
      <c r="CY113" s="59">
        <f ca="1">AVERAGE(OFFSET($CX$3,0,0,'Données projet'!$E$13+1,1))-AVERAGE(OFFSET($H$3,0,0,'Données projet'!$E$13+1,1))</f>
        <v>282.08542131880455</v>
      </c>
      <c r="CZ113" s="59">
        <f t="shared" si="96"/>
        <v>174.27503468762325</v>
      </c>
      <c r="DA113" s="15">
        <f>IF(ISNA(VLOOKUP(A113,'Données projet'!$A$139:$I$159,3,0)),0,VLOOKUP(A113,'Données projet'!$A$139:$I$159,3,0))</f>
        <v>10</v>
      </c>
      <c r="DB113" s="15">
        <f>IF(ISNA(VLOOKUP(A113,'Données projet'!$A$139:$I$159,4,0)),0,VLOOKUP(A113,'Données projet'!$A$139:$I$159,4,0))</f>
        <v>39</v>
      </c>
      <c r="DC113" s="16">
        <f>IF(ISNA(VLOOKUP(A113,'Données projet'!$A$139:$I$159,5,0)),0%,VLOOKUP(A113,'Données projet'!$A$139:$I$159,5,0)*VLOOKUP('Données projet'!$B$13,Paramètres!$A$1:$I$89,7,0))</f>
        <v>0.25800000000000001</v>
      </c>
      <c r="DD113" s="16">
        <f>IF(ISNA(VLOOKUP(A113,'Données projet'!$A$139:$I$159,6,0)),0%,VLOOKUP(A113,'Données projet'!$A$139:$I$159,6,0)*VLOOKUP('Données projet'!$B$13,Paramètres!$A$1:$I$89,7,0))</f>
        <v>0.17200000000000001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36.052744333524537</v>
      </c>
      <c r="DG113" s="21">
        <f>EXP(-LN(2)/25)*DG112+(1-EXP(-LN(2)/25))/(LN(2)/25)*Calculateur!DB113*Calculateur!DD113*VLOOKUP('Données projet'!$B$13,Paramètres!$A$1:$I$89,3,0)*0.475*44/12</f>
        <v>33.133324851285451</v>
      </c>
      <c r="DH113" s="21">
        <f>EXP(-LN(2)/2)*DH112+(1-EXP(-LN(2)/2))/(LN(2)/2)*DB113*DE113*VLOOKUP('Données projet'!$B$13,Paramètres!$A$1:$I$89,3,0)*0.475*44/12</f>
        <v>5.3302502608671301E-10</v>
      </c>
      <c r="DI113" s="22">
        <f t="shared" si="69"/>
        <v>69.186069185343001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5.6843418860808015E-14</v>
      </c>
      <c r="DP113" s="17">
        <f>DO113*VLOOKUP('Données projet'!$B$14,Paramètres!$A$1:$I$89,3,0)*VLOOKUP('Données projet'!$B$14,Paramètres!$A$1:$I$89,5,0)</f>
        <v>4.6111381379887463E-14</v>
      </c>
      <c r="DQ113" s="13">
        <f t="shared" si="97"/>
        <v>7.5804141040779151E-13</v>
      </c>
      <c r="DR113" s="20">
        <f t="shared" si="70"/>
        <v>1.4005661123635408E-12</v>
      </c>
      <c r="DS113" s="59">
        <f t="shared" si="71"/>
        <v>293.33333333333474</v>
      </c>
      <c r="DT113" s="59">
        <f ca="1">AVERAGE(OFFSET($DS$3,0,0,'Données projet'!$E$14+1,1))-AVERAGE(OFFSET($H$3,0,0,'Données projet'!$E$14+1,1))</f>
        <v>235.31102883830971</v>
      </c>
      <c r="DU113" s="59">
        <f t="shared" si="98"/>
        <v>271.48630853790422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31.300231070658224</v>
      </c>
      <c r="EB113" s="21">
        <f>EXP(-LN(2)/25)*EB112+(1-EXP(-LN(2)/25))/(LN(2)/25)*Calculateur!DW113*Calculateur!DY113*VLOOKUP('Données projet'!$B$14,Paramètres!$A$1:$I$89,3,0)*0.475*44/12</f>
        <v>33.972039331881916</v>
      </c>
      <c r="EC113" s="21">
        <f>EXP(-LN(2)/2)*EC112+(1-EXP(-LN(2)/2))/(LN(2)/2)*DW113*DZ113*VLOOKUP('Données projet'!$B$14,Paramètres!$A$1:$I$89,3,0)*0.475*44/12</f>
        <v>6.432123578726307E-10</v>
      </c>
      <c r="ED113" s="22">
        <f t="shared" si="72"/>
        <v>65.272270403183356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-1.2505552149377763E-12</v>
      </c>
      <c r="O114" s="13">
        <f>N114*VLOOKUP('Données projet'!$B$9,Paramètres!$A$1:$I$89,3,0)*VLOOKUP('Données projet'!$B$9,Paramètres!$A$1:$I$89,5,0)</f>
        <v>-6.9906036515021697E-13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446.28010102877403</v>
      </c>
      <c r="T114" s="59">
        <f t="shared" si="88"/>
        <v>445.84011537290456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2.2961035319351164</v>
      </c>
      <c r="AA114" s="21">
        <f>EXP(-LN(2)/25)*AA113+(1-EXP(-LN(2)/25))/(LN(2)/25)*Calculateur!V114*Calculateur!X114*VLOOKUP('Données projet'!$B$9,Paramètres!$A$1:$I$89,3,0)*0.475*44/12</f>
        <v>4.1024186020518423</v>
      </c>
      <c r="AB114" s="21">
        <f>EXP(-LN(2)/2)*AB113+(1-EXP(-LN(2)/2))/(LN(2)/2)*V114*Y114*VLOOKUP('Données projet'!$B$9,Paramètres!$A$1:$I$89,3,0)*0.475*44/12</f>
        <v>2.3455433347265743E-11</v>
      </c>
      <c r="AC114" s="22">
        <f t="shared" si="57"/>
        <v>6.3985221340104133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-5.3205440053716299E-14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252.98248842635206</v>
      </c>
      <c r="AO114" s="59">
        <f t="shared" si="90"/>
        <v>207.11938580878308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0.63024609238697338</v>
      </c>
      <c r="AV114" s="21">
        <f>EXP(-LN(2)/25)*AV113+(1-EXP(-LN(2)/25))/(LN(2)/25)*Calculateur!AQ114*Calculateur!AS114*VLOOKUP('Données projet'!$B$10,Paramètres!$A$1:$I$89,3,0)*0.475*44/12</f>
        <v>0.83144720227183666</v>
      </c>
      <c r="AW114" s="21">
        <f>EXP(-LN(2)/2)*AW113+(1-EXP(-LN(2)/2))/(LN(2)/2)*AQ114*AT114*VLOOKUP('Données projet'!$B$10,Paramètres!$A$1:$I$89,3,0)*0.475*44/12</f>
        <v>6.3231697486482308E-12</v>
      </c>
      <c r="AX114" s="21">
        <f t="shared" si="60"/>
        <v>1.4616932946651333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2.8</v>
      </c>
      <c r="BD114" s="12">
        <f>IF('Données projet'!$A$88&gt;35,BD113+BC114-BL113,IF(A114&lt;'Données projet'!$A$88,$BA$205^A114,IF(A114='Données projet'!$A$88,'Données projet'!$B$88,BD113+BC114-BL113)))</f>
        <v>208.79999999999993</v>
      </c>
      <c r="BE114" s="13">
        <f>BD114*VLOOKUP('Données projet'!$B$11,Paramètres!$A$1:$I$89,3,0)*VLOOKUP('Données projet'!$B$11,Paramètres!$A$1:$I$89,5,0)</f>
        <v>136.80575999999996</v>
      </c>
      <c r="BF114" s="13">
        <f t="shared" si="91"/>
        <v>35.564269922997305</v>
      </c>
      <c r="BG114" s="20">
        <f t="shared" si="61"/>
        <v>300.21113544922025</v>
      </c>
      <c r="BH114" s="59">
        <f t="shared" si="62"/>
        <v>593.54446878255362</v>
      </c>
      <c r="BI114" s="59">
        <f ca="1">AVERAGE(OFFSET($BH$3,0,0,'Données projet'!$E$11+1,1))-AVERAGE(OFFSET($H$3,0,0,'Données projet'!$E$11+1,1))</f>
        <v>114.23168847330004</v>
      </c>
      <c r="BJ114" s="59">
        <f t="shared" si="92"/>
        <v>42.34857998136755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2.8</v>
      </c>
      <c r="BY114" s="12">
        <f>IF('Données projet'!$A$114&gt;35,BY113+BX114-CG113,IF(A114&lt;'Données projet'!$A$114,$BV$205^A114,IF(A114='Données projet'!$A$114,'Données projet'!$B$114,BY113+BX114-CG113)))</f>
        <v>208.79999999999993</v>
      </c>
      <c r="BZ114" s="13">
        <f>BY114*VLOOKUP('Données projet'!$B$12,Paramètres!$A$1:$I$89,3,0)*VLOOKUP('Données projet'!$B$12,Paramètres!$A$1:$I$89,5,0)</f>
        <v>201.95135999999994</v>
      </c>
      <c r="CA114" s="13">
        <f t="shared" si="93"/>
        <v>50.172774950657889</v>
      </c>
      <c r="CB114" s="20">
        <f t="shared" si="64"/>
        <v>439.11620170572905</v>
      </c>
      <c r="CC114" s="59">
        <f t="shared" si="65"/>
        <v>732.44953503906231</v>
      </c>
      <c r="CD114" s="59">
        <f ca="1">AVERAGE(OFFSET($CC$3,0,0,'Données projet'!$E$12+1,1))-AVERAGE(OFFSET($H$3,0,0,'Données projet'!$E$12+1,1))</f>
        <v>201.36664523637006</v>
      </c>
      <c r="CE114" s="59">
        <f t="shared" si="94"/>
        <v>79.394119001888555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22.644216099740714</v>
      </c>
      <c r="CM114" s="21">
        <f>EXP(-LN(2)/2)*CM113+(1-EXP(-LN(2)/2))/(LN(2)/2)*CG114*CJ114*VLOOKUP('Données projet'!$B$12,Paramètres!$A$1:$I$89,3,0)*0.475*44/12</f>
        <v>2.5353592363342202E-10</v>
      </c>
      <c r="CN114" s="22">
        <f t="shared" si="66"/>
        <v>22.644216099994249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3.7</v>
      </c>
      <c r="CT114" s="12">
        <f>IF('Données projet'!$A$140&gt;35,CT113+CS114-DB113,IF(A114&lt;'Données projet'!$A$140,$CQ$205^A114,IF(A114='Données projet'!$A$140,'Données projet'!$B$140,CT113+CS114-DB113)))</f>
        <v>268.70000000000022</v>
      </c>
      <c r="CU114" s="17">
        <f>CT114*VLOOKUP('Données projet'!$B$13,Paramètres!$A$1:$I$89,3,0)*VLOOKUP('Données projet'!$B$13,Paramètres!$A$1:$I$89,5,0)</f>
        <v>243.11976000000018</v>
      </c>
      <c r="CV114" s="13">
        <f t="shared" si="95"/>
        <v>59.110256668778582</v>
      </c>
      <c r="CW114" s="20">
        <f t="shared" si="67"/>
        <v>526.38394569812306</v>
      </c>
      <c r="CX114" s="59">
        <f t="shared" si="68"/>
        <v>819.71727903145643</v>
      </c>
      <c r="CY114" s="59">
        <f ca="1">AVERAGE(OFFSET($CX$3,0,0,'Données projet'!$E$13+1,1))-AVERAGE(OFFSET($H$3,0,0,'Données projet'!$E$13+1,1))</f>
        <v>282.08542131880455</v>
      </c>
      <c r="CZ114" s="59">
        <f t="shared" si="96"/>
        <v>174.27503468762325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35.345772007146834</v>
      </c>
      <c r="DG114" s="21">
        <f>EXP(-LN(2)/25)*DG113+(1-EXP(-LN(2)/25))/(LN(2)/25)*Calculateur!DB114*Calculateur!DD114*VLOOKUP('Données projet'!$B$13,Paramètres!$A$1:$I$89,3,0)*0.475*44/12</f>
        <v>32.227292340821222</v>
      </c>
      <c r="DH114" s="21">
        <f>EXP(-LN(2)/2)*DH113+(1-EXP(-LN(2)/2))/(LN(2)/2)*DB114*DE114*VLOOKUP('Données projet'!$B$13,Paramètres!$A$1:$I$89,3,0)*0.475*44/12</f>
        <v>3.7690561048805117E-10</v>
      </c>
      <c r="DI114" s="22">
        <f t="shared" si="69"/>
        <v>67.573064348344957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5.6843418860808015E-14</v>
      </c>
      <c r="DP114" s="17">
        <f>DO114*VLOOKUP('Données projet'!$B$14,Paramètres!$A$1:$I$89,3,0)*VLOOKUP('Données projet'!$B$14,Paramètres!$A$1:$I$89,5,0)</f>
        <v>4.6111381379887463E-14</v>
      </c>
      <c r="DQ114" s="13">
        <f t="shared" si="97"/>
        <v>7.5804141040779151E-13</v>
      </c>
      <c r="DR114" s="20">
        <f t="shared" si="70"/>
        <v>1.4005661123635408E-12</v>
      </c>
      <c r="DS114" s="59">
        <f t="shared" si="71"/>
        <v>293.33333333333474</v>
      </c>
      <c r="DT114" s="59">
        <f ca="1">AVERAGE(OFFSET($DS$3,0,0,'Données projet'!$E$14+1,1))-AVERAGE(OFFSET($H$3,0,0,'Données projet'!$E$14+1,1))</f>
        <v>235.31102883830971</v>
      </c>
      <c r="DU114" s="59">
        <f t="shared" si="98"/>
        <v>271.48630853790422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30.686452630618465</v>
      </c>
      <c r="EB114" s="21">
        <f>EXP(-LN(2)/25)*EB113+(1-EXP(-LN(2)/25))/(LN(2)/25)*Calculateur!DW114*Calculateur!DY114*VLOOKUP('Données projet'!$B$14,Paramètres!$A$1:$I$89,3,0)*0.475*44/12</f>
        <v>33.0430721298397</v>
      </c>
      <c r="EC114" s="21">
        <f>EXP(-LN(2)/2)*EC113+(1-EXP(-LN(2)/2))/(LN(2)/2)*DW114*DZ114*VLOOKUP('Données projet'!$B$14,Paramètres!$A$1:$I$89,3,0)*0.475*44/12</f>
        <v>4.548198199947256E-10</v>
      </c>
      <c r="ED114" s="22">
        <f t="shared" si="72"/>
        <v>63.72952476091298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-1.2505552149377763E-12</v>
      </c>
      <c r="O115" s="13">
        <f>N115*VLOOKUP('Données projet'!$B$9,Paramètres!$A$1:$I$89,3,0)*VLOOKUP('Données projet'!$B$9,Paramètres!$A$1:$I$89,5,0)</f>
        <v>-6.9906036515021697E-13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446.28010102877403</v>
      </c>
      <c r="T115" s="59">
        <f t="shared" si="88"/>
        <v>445.84011537290456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2.251078342158737</v>
      </c>
      <c r="AA115" s="21">
        <f>EXP(-LN(2)/25)*AA114+(1-EXP(-LN(2)/25))/(LN(2)/25)*Calculateur!V115*Calculateur!X115*VLOOKUP('Données projet'!$B$9,Paramètres!$A$1:$I$89,3,0)*0.475*44/12</f>
        <v>3.9902377496419166</v>
      </c>
      <c r="AB115" s="21">
        <f>EXP(-LN(2)/2)*AB114+(1-EXP(-LN(2)/2))/(LN(2)/2)*V115*Y115*VLOOKUP('Données projet'!$B$9,Paramètres!$A$1:$I$89,3,0)*0.475*44/12</f>
        <v>1.6585495975520687E-11</v>
      </c>
      <c r="AC115" s="22">
        <f t="shared" si="57"/>
        <v>6.2413160918172395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-5.3205440053716299E-14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252.98248842635206</v>
      </c>
      <c r="AO115" s="59">
        <f t="shared" si="90"/>
        <v>207.11938580878308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0.61788735092742364</v>
      </c>
      <c r="AV115" s="21">
        <f>EXP(-LN(2)/25)*AV114+(1-EXP(-LN(2)/25))/(LN(2)/25)*Calculateur!AQ115*Calculateur!AS115*VLOOKUP('Données projet'!$B$10,Paramètres!$A$1:$I$89,3,0)*0.475*44/12</f>
        <v>0.80871123480180518</v>
      </c>
      <c r="AW115" s="21">
        <f>EXP(-LN(2)/2)*AW114+(1-EXP(-LN(2)/2))/(LN(2)/2)*AQ115*AT115*VLOOKUP('Données projet'!$B$10,Paramètres!$A$1:$I$89,3,0)*0.475*44/12</f>
        <v>4.4711562078628012E-12</v>
      </c>
      <c r="AX115" s="21">
        <f t="shared" si="60"/>
        <v>1.4265985857337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2.8</v>
      </c>
      <c r="BD115" s="12">
        <f>IF('Données projet'!$A$88&gt;35,BD114+BC115-BL114,IF(A115&lt;'Données projet'!$A$88,$BA$205^A115,IF(A115='Données projet'!$A$88,'Données projet'!$B$88,BD114+BC115-BL114)))</f>
        <v>211.59999999999994</v>
      </c>
      <c r="BE115" s="13">
        <f>BD115*VLOOKUP('Données projet'!$B$11,Paramètres!$A$1:$I$89,3,0)*VLOOKUP('Données projet'!$B$11,Paramètres!$A$1:$I$89,5,0)</f>
        <v>138.64031999999997</v>
      </c>
      <c r="BF115" s="13">
        <f t="shared" si="91"/>
        <v>35.985345198165781</v>
      </c>
      <c r="BG115" s="20">
        <f t="shared" si="61"/>
        <v>304.13970022013865</v>
      </c>
      <c r="BH115" s="59">
        <f t="shared" si="62"/>
        <v>597.47303355347196</v>
      </c>
      <c r="BI115" s="59">
        <f ca="1">AVERAGE(OFFSET($BH$3,0,0,'Données projet'!$E$11+1,1))-AVERAGE(OFFSET($H$3,0,0,'Données projet'!$E$11+1,1))</f>
        <v>114.23168847330004</v>
      </c>
      <c r="BJ115" s="59">
        <f t="shared" si="92"/>
        <v>42.34857998136755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2.8</v>
      </c>
      <c r="BY115" s="12">
        <f>IF('Données projet'!$A$114&gt;35,BY114+BX115-CG114,IF(A115&lt;'Données projet'!$A$114,$BV$205^A115,IF(A115='Données projet'!$A$114,'Données projet'!$B$114,BY114+BX115-CG114)))</f>
        <v>211.59999999999994</v>
      </c>
      <c r="BZ115" s="13">
        <f>BY115*VLOOKUP('Données projet'!$B$12,Paramètres!$A$1:$I$89,3,0)*VLOOKUP('Données projet'!$B$12,Paramètres!$A$1:$I$89,5,0)</f>
        <v>204.65951999999993</v>
      </c>
      <c r="CA115" s="13">
        <f t="shared" si="93"/>
        <v>50.766812591921344</v>
      </c>
      <c r="CB115" s="20">
        <f t="shared" si="64"/>
        <v>444.86752926426288</v>
      </c>
      <c r="CC115" s="59">
        <f t="shared" si="65"/>
        <v>738.20086259759614</v>
      </c>
      <c r="CD115" s="59">
        <f ca="1">AVERAGE(OFFSET($CC$3,0,0,'Données projet'!$E$12+1,1))-AVERAGE(OFFSET($H$3,0,0,'Données projet'!$E$12+1,1))</f>
        <v>201.36664523637006</v>
      </c>
      <c r="CE115" s="59">
        <f t="shared" si="94"/>
        <v>79.394119001888555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22.025008819685734</v>
      </c>
      <c r="CM115" s="21">
        <f>EXP(-LN(2)/2)*CM114+(1-EXP(-LN(2)/2))/(LN(2)/2)*CG115*CJ115*VLOOKUP('Données projet'!$B$12,Paramètres!$A$1:$I$89,3,0)*0.475*44/12</f>
        <v>1.7927697087558737E-10</v>
      </c>
      <c r="CN115" s="22">
        <f t="shared" si="66"/>
        <v>22.025008819865011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3.7</v>
      </c>
      <c r="CT115" s="12">
        <f>IF('Données projet'!$A$140&gt;35,CT114+CS115-DB114,IF(A115&lt;'Données projet'!$A$140,$CQ$205^A115,IF(A115='Données projet'!$A$140,'Données projet'!$B$140,CT114+CS115-DB114)))</f>
        <v>272.4000000000002</v>
      </c>
      <c r="CU115" s="17">
        <f>CT115*VLOOKUP('Données projet'!$B$13,Paramètres!$A$1:$I$89,3,0)*VLOOKUP('Données projet'!$B$13,Paramètres!$A$1:$I$89,5,0)</f>
        <v>246.46752000000018</v>
      </c>
      <c r="CV115" s="13">
        <f t="shared" si="95"/>
        <v>59.828888074217033</v>
      </c>
      <c r="CW115" s="20">
        <f t="shared" si="67"/>
        <v>533.46624406259491</v>
      </c>
      <c r="CX115" s="59">
        <f t="shared" si="68"/>
        <v>826.79957739592828</v>
      </c>
      <c r="CY115" s="59">
        <f ca="1">AVERAGE(OFFSET($CX$3,0,0,'Données projet'!$E$13+1,1))-AVERAGE(OFFSET($H$3,0,0,'Données projet'!$E$13+1,1))</f>
        <v>282.08542131880455</v>
      </c>
      <c r="CZ115" s="59">
        <f t="shared" si="96"/>
        <v>174.27503468762325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34.652662976878858</v>
      </c>
      <c r="DG115" s="21">
        <f>EXP(-LN(2)/25)*DG114+(1-EXP(-LN(2)/25))/(LN(2)/25)*Calculateur!DB115*Calculateur!DD115*VLOOKUP('Données projet'!$B$13,Paramètres!$A$1:$I$89,3,0)*0.475*44/12</f>
        <v>31.346035337001819</v>
      </c>
      <c r="DH115" s="21">
        <f>EXP(-LN(2)/2)*DH114+(1-EXP(-LN(2)/2))/(LN(2)/2)*DB115*DE115*VLOOKUP('Données projet'!$B$13,Paramètres!$A$1:$I$89,3,0)*0.475*44/12</f>
        <v>2.6651251304335651E-10</v>
      </c>
      <c r="DI115" s="22">
        <f t="shared" si="69"/>
        <v>65.998698314147191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5.6843418860808015E-14</v>
      </c>
      <c r="DP115" s="17">
        <f>DO115*VLOOKUP('Données projet'!$B$14,Paramètres!$A$1:$I$89,3,0)*VLOOKUP('Données projet'!$B$14,Paramètres!$A$1:$I$89,5,0)</f>
        <v>4.6111381379887463E-14</v>
      </c>
      <c r="DQ115" s="13">
        <f t="shared" si="97"/>
        <v>7.5804141040779151E-13</v>
      </c>
      <c r="DR115" s="20">
        <f t="shared" si="70"/>
        <v>1.4005661123635408E-12</v>
      </c>
      <c r="DS115" s="59">
        <f t="shared" si="71"/>
        <v>293.33333333333474</v>
      </c>
      <c r="DT115" s="59">
        <f ca="1">AVERAGE(OFFSET($DS$3,0,0,'Données projet'!$E$14+1,1))-AVERAGE(OFFSET($H$3,0,0,'Données projet'!$E$14+1,1))</f>
        <v>235.31102883830971</v>
      </c>
      <c r="DU115" s="59">
        <f t="shared" si="98"/>
        <v>271.48630853790422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30.084710011420004</v>
      </c>
      <c r="EB115" s="21">
        <f>EXP(-LN(2)/25)*EB114+(1-EXP(-LN(2)/25))/(LN(2)/25)*Calculateur!DW115*Calculateur!DY115*VLOOKUP('Données projet'!$B$14,Paramètres!$A$1:$I$89,3,0)*0.475*44/12</f>
        <v>32.139507584789591</v>
      </c>
      <c r="EC115" s="21">
        <f>EXP(-LN(2)/2)*EC114+(1-EXP(-LN(2)/2))/(LN(2)/2)*DW115*DZ115*VLOOKUP('Données projet'!$B$14,Paramètres!$A$1:$I$89,3,0)*0.475*44/12</f>
        <v>3.216061789363154E-10</v>
      </c>
      <c r="ED115" s="22">
        <f t="shared" si="72"/>
        <v>62.224217596531204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-1.2505552149377763E-12</v>
      </c>
      <c r="O116" s="13">
        <f>N116*VLOOKUP('Données projet'!$B$9,Paramètres!$A$1:$I$89,3,0)*VLOOKUP('Données projet'!$B$9,Paramètres!$A$1:$I$89,5,0)</f>
        <v>-6.9906036515021697E-13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446.28010102877403</v>
      </c>
      <c r="T116" s="59">
        <f t="shared" si="88"/>
        <v>445.84011537290456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2.2069360688912183</v>
      </c>
      <c r="AA116" s="21">
        <f>EXP(-LN(2)/25)*AA115+(1-EXP(-LN(2)/25))/(LN(2)/25)*Calculateur!V116*Calculateur!X116*VLOOKUP('Données projet'!$B$9,Paramètres!$A$1:$I$89,3,0)*0.475*44/12</f>
        <v>3.881124488540475</v>
      </c>
      <c r="AB116" s="21">
        <f>EXP(-LN(2)/2)*AB115+(1-EXP(-LN(2)/2))/(LN(2)/2)*V116*Y116*VLOOKUP('Données projet'!$B$9,Paramètres!$A$1:$I$89,3,0)*0.475*44/12</f>
        <v>1.1727716673632871E-11</v>
      </c>
      <c r="AC116" s="22">
        <f t="shared" si="57"/>
        <v>6.0880605574434208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-5.3205440053716299E-14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252.98248842635206</v>
      </c>
      <c r="AO116" s="59">
        <f t="shared" si="90"/>
        <v>207.11938580878308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0.60577095684980775</v>
      </c>
      <c r="AV116" s="21">
        <f>EXP(-LN(2)/25)*AV115+(1-EXP(-LN(2)/25))/(LN(2)/25)*Calculateur!AQ116*Calculateur!AS116*VLOOKUP('Données projet'!$B$10,Paramètres!$A$1:$I$89,3,0)*0.475*44/12</f>
        <v>0.78659698355787433</v>
      </c>
      <c r="AW116" s="21">
        <f>EXP(-LN(2)/2)*AW115+(1-EXP(-LN(2)/2))/(LN(2)/2)*AQ116*AT116*VLOOKUP('Données projet'!$B$10,Paramètres!$A$1:$I$89,3,0)*0.475*44/12</f>
        <v>3.1615848743241154E-12</v>
      </c>
      <c r="AX116" s="21">
        <f t="shared" si="60"/>
        <v>1.3923679404108438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2.8</v>
      </c>
      <c r="BD116" s="12">
        <f>IF('Données projet'!$A$88&gt;35,BD115+BC116-BL115,IF(A116&lt;'Données projet'!$A$88,$BA$205^A116,IF(A116='Données projet'!$A$88,'Données projet'!$B$88,BD115+BC116-BL115)))</f>
        <v>214.39999999999995</v>
      </c>
      <c r="BE116" s="13">
        <f>BD116*VLOOKUP('Données projet'!$B$11,Paramètres!$A$1:$I$89,3,0)*VLOOKUP('Données projet'!$B$11,Paramètres!$A$1:$I$89,5,0)</f>
        <v>140.47487999999996</v>
      </c>
      <c r="BF116" s="13">
        <f t="shared" si="91"/>
        <v>36.405772385199683</v>
      </c>
      <c r="BG116" s="20">
        <f t="shared" si="61"/>
        <v>308.06713623755604</v>
      </c>
      <c r="BH116" s="59">
        <f t="shared" si="62"/>
        <v>601.4004695708893</v>
      </c>
      <c r="BI116" s="59">
        <f ca="1">AVERAGE(OFFSET($BH$3,0,0,'Données projet'!$E$11+1,1))-AVERAGE(OFFSET($H$3,0,0,'Données projet'!$E$11+1,1))</f>
        <v>114.23168847330004</v>
      </c>
      <c r="BJ116" s="59">
        <f t="shared" si="92"/>
        <v>42.34857998136755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2.8</v>
      </c>
      <c r="BY116" s="12">
        <f>IF('Données projet'!$A$114&gt;35,BY115+BX116-CG115,IF(A116&lt;'Données projet'!$A$114,$BV$205^A116,IF(A116='Données projet'!$A$114,'Données projet'!$B$114,BY115+BX116-CG115)))</f>
        <v>214.39999999999995</v>
      </c>
      <c r="BZ116" s="13">
        <f>BY116*VLOOKUP('Données projet'!$B$12,Paramètres!$A$1:$I$89,3,0)*VLOOKUP('Données projet'!$B$12,Paramètres!$A$1:$I$89,5,0)</f>
        <v>207.36767999999995</v>
      </c>
      <c r="CA116" s="13">
        <f t="shared" si="93"/>
        <v>51.359935934080831</v>
      </c>
      <c r="CB116" s="20">
        <f t="shared" si="64"/>
        <v>450.61726441852403</v>
      </c>
      <c r="CC116" s="59">
        <f t="shared" si="65"/>
        <v>743.95059775185734</v>
      </c>
      <c r="CD116" s="59">
        <f ca="1">AVERAGE(OFFSET($CC$3,0,0,'Données projet'!$E$12+1,1))-AVERAGE(OFFSET($H$3,0,0,'Données projet'!$E$12+1,1))</f>
        <v>201.36664523637006</v>
      </c>
      <c r="CE116" s="59">
        <f t="shared" si="94"/>
        <v>79.394119001888555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21.422733795266552</v>
      </c>
      <c r="CM116" s="21">
        <f>EXP(-LN(2)/2)*CM115+(1-EXP(-LN(2)/2))/(LN(2)/2)*CG116*CJ116*VLOOKUP('Données projet'!$B$12,Paramètres!$A$1:$I$89,3,0)*0.475*44/12</f>
        <v>1.2676796181671101E-10</v>
      </c>
      <c r="CN116" s="22">
        <f t="shared" si="66"/>
        <v>21.42273379539332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3.7</v>
      </c>
      <c r="CT116" s="12">
        <f>IF('Données projet'!$A$140&gt;35,CT115+CS116-DB115,IF(A116&lt;'Données projet'!$A$140,$CQ$205^A116,IF(A116='Données projet'!$A$140,'Données projet'!$B$140,CT115+CS116-DB115)))</f>
        <v>276.10000000000019</v>
      </c>
      <c r="CU116" s="17">
        <f>CT116*VLOOKUP('Données projet'!$B$13,Paramètres!$A$1:$I$89,3,0)*VLOOKUP('Données projet'!$B$13,Paramètres!$A$1:$I$89,5,0)</f>
        <v>249.81528000000014</v>
      </c>
      <c r="CV116" s="13">
        <f t="shared" si="95"/>
        <v>60.546384143056521</v>
      </c>
      <c r="CW116" s="20">
        <f t="shared" si="67"/>
        <v>540.54656504915692</v>
      </c>
      <c r="CX116" s="59">
        <f t="shared" si="68"/>
        <v>833.87989838249018</v>
      </c>
      <c r="CY116" s="59">
        <f ca="1">AVERAGE(OFFSET($CX$3,0,0,'Données projet'!$E$13+1,1))-AVERAGE(OFFSET($H$3,0,0,'Données projet'!$E$13+1,1))</f>
        <v>282.08542131880455</v>
      </c>
      <c r="CZ116" s="59">
        <f t="shared" si="96"/>
        <v>174.27503468762325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33.973145391939667</v>
      </c>
      <c r="DG116" s="21">
        <f>EXP(-LN(2)/25)*DG115+(1-EXP(-LN(2)/25))/(LN(2)/25)*Calculateur!DB116*Calculateur!DD116*VLOOKUP('Données projet'!$B$13,Paramètres!$A$1:$I$89,3,0)*0.475*44/12</f>
        <v>30.488876352295147</v>
      </c>
      <c r="DH116" s="21">
        <f>EXP(-LN(2)/2)*DH115+(1-EXP(-LN(2)/2))/(LN(2)/2)*DB116*DE116*VLOOKUP('Données projet'!$B$13,Paramètres!$A$1:$I$89,3,0)*0.475*44/12</f>
        <v>1.8845280524402559E-10</v>
      </c>
      <c r="DI116" s="22">
        <f t="shared" si="69"/>
        <v>64.462021744423268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5.6843418860808015E-14</v>
      </c>
      <c r="DP116" s="17">
        <f>DO116*VLOOKUP('Données projet'!$B$14,Paramètres!$A$1:$I$89,3,0)*VLOOKUP('Données projet'!$B$14,Paramètres!$A$1:$I$89,5,0)</f>
        <v>4.6111381379887463E-14</v>
      </c>
      <c r="DQ116" s="13">
        <f t="shared" si="97"/>
        <v>7.5804141040779151E-13</v>
      </c>
      <c r="DR116" s="20">
        <f t="shared" si="70"/>
        <v>1.4005661123635408E-12</v>
      </c>
      <c r="DS116" s="59">
        <f t="shared" si="71"/>
        <v>293.33333333333474</v>
      </c>
      <c r="DT116" s="59">
        <f ca="1">AVERAGE(OFFSET($DS$3,0,0,'Données projet'!$E$14+1,1))-AVERAGE(OFFSET($H$3,0,0,'Données projet'!$E$14+1,1))</f>
        <v>235.31102883830971</v>
      </c>
      <c r="DU116" s="59">
        <f t="shared" si="98"/>
        <v>271.48630853790422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29.494767197957266</v>
      </c>
      <c r="EB116" s="21">
        <f>EXP(-LN(2)/25)*EB115+(1-EXP(-LN(2)/25))/(LN(2)/25)*Calculateur!DW116*Calculateur!DY116*VLOOKUP('Données projet'!$B$14,Paramètres!$A$1:$I$89,3,0)*0.475*44/12</f>
        <v>31.260651059740272</v>
      </c>
      <c r="EC116" s="21">
        <f>EXP(-LN(2)/2)*EC115+(1-EXP(-LN(2)/2))/(LN(2)/2)*DW116*DZ116*VLOOKUP('Données projet'!$B$14,Paramètres!$A$1:$I$89,3,0)*0.475*44/12</f>
        <v>2.2740990999736285E-10</v>
      </c>
      <c r="ED116" s="22">
        <f t="shared" si="72"/>
        <v>60.755418257924951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-1.2505552149377763E-12</v>
      </c>
      <c r="O117" s="13">
        <f>N117*VLOOKUP('Données projet'!$B$9,Paramètres!$A$1:$I$89,3,0)*VLOOKUP('Données projet'!$B$9,Paramètres!$A$1:$I$89,5,0)</f>
        <v>-6.9906036515021697E-13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446.28010102877403</v>
      </c>
      <c r="T117" s="59">
        <f t="shared" si="88"/>
        <v>445.84011537290456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2.1636593986783472</v>
      </c>
      <c r="AA117" s="21">
        <f>EXP(-LN(2)/25)*AA116+(1-EXP(-LN(2)/25))/(LN(2)/25)*Calculateur!V117*Calculateur!X117*VLOOKUP('Données projet'!$B$9,Paramètres!$A$1:$I$89,3,0)*0.475*44/12</f>
        <v>3.7749949353018692</v>
      </c>
      <c r="AB117" s="21">
        <f>EXP(-LN(2)/2)*AB116+(1-EXP(-LN(2)/2))/(LN(2)/2)*V117*Y117*VLOOKUP('Données projet'!$B$9,Paramètres!$A$1:$I$89,3,0)*0.475*44/12</f>
        <v>8.2927479877603436E-12</v>
      </c>
      <c r="AC117" s="22">
        <f t="shared" si="57"/>
        <v>5.9386543339885094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-5.3205440053716299E-14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252.98248842635206</v>
      </c>
      <c r="AO117" s="59">
        <f t="shared" si="90"/>
        <v>207.11938580878308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0.59389215786978322</v>
      </c>
      <c r="AV117" s="21">
        <f>EXP(-LN(2)/25)*AV116+(1-EXP(-LN(2)/25))/(LN(2)/25)*Calculateur!AQ117*Calculateur!AS117*VLOOKUP('Données projet'!$B$10,Paramètres!$A$1:$I$89,3,0)*0.475*44/12</f>
        <v>0.76508744767714665</v>
      </c>
      <c r="AW117" s="21">
        <f>EXP(-LN(2)/2)*AW116+(1-EXP(-LN(2)/2))/(LN(2)/2)*AQ117*AT117*VLOOKUP('Données projet'!$B$10,Paramètres!$A$1:$I$89,3,0)*0.475*44/12</f>
        <v>2.2355781039314006E-12</v>
      </c>
      <c r="AX117" s="21">
        <f t="shared" si="60"/>
        <v>1.3589796055491654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2.8</v>
      </c>
      <c r="BD117" s="12">
        <f>IF('Données projet'!$A$88&gt;35,BD116+BC117-BL116,IF(A117&lt;'Données projet'!$A$88,$BA$205^A117,IF(A117='Données projet'!$A$88,'Données projet'!$B$88,BD116+BC117-BL116)))</f>
        <v>217.19999999999996</v>
      </c>
      <c r="BE117" s="13">
        <f>BD117*VLOOKUP('Données projet'!$B$11,Paramètres!$A$1:$I$89,3,0)*VLOOKUP('Données projet'!$B$11,Paramètres!$A$1:$I$89,5,0)</f>
        <v>142.30943999999997</v>
      </c>
      <c r="BF117" s="13">
        <f t="shared" si="91"/>
        <v>36.825560926488848</v>
      </c>
      <c r="BG117" s="20">
        <f t="shared" si="61"/>
        <v>311.99345994696802</v>
      </c>
      <c r="BH117" s="59">
        <f t="shared" si="62"/>
        <v>605.32679328030133</v>
      </c>
      <c r="BI117" s="59">
        <f ca="1">AVERAGE(OFFSET($BH$3,0,0,'Données projet'!$E$11+1,1))-AVERAGE(OFFSET($H$3,0,0,'Données projet'!$E$11+1,1))</f>
        <v>114.23168847330004</v>
      </c>
      <c r="BJ117" s="59">
        <f t="shared" si="92"/>
        <v>42.34857998136755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2.8</v>
      </c>
      <c r="BY117" s="12">
        <f>IF('Données projet'!$A$114&gt;35,BY116+BX117-CG116,IF(A117&lt;'Données projet'!$A$114,$BV$205^A117,IF(A117='Données projet'!$A$114,'Données projet'!$B$114,BY116+BX117-CG116)))</f>
        <v>217.19999999999996</v>
      </c>
      <c r="BZ117" s="13">
        <f>BY117*VLOOKUP('Données projet'!$B$12,Paramètres!$A$1:$I$89,3,0)*VLOOKUP('Données projet'!$B$12,Paramètres!$A$1:$I$89,5,0)</f>
        <v>210.07584</v>
      </c>
      <c r="CA117" s="13">
        <f t="shared" si="93"/>
        <v>51.952158298115599</v>
      </c>
      <c r="CB117" s="20">
        <f t="shared" si="64"/>
        <v>456.36543036921802</v>
      </c>
      <c r="CC117" s="59">
        <f t="shared" si="65"/>
        <v>749.69876370255133</v>
      </c>
      <c r="CD117" s="59">
        <f ca="1">AVERAGE(OFFSET($CC$3,0,0,'Données projet'!$E$12+1,1))-AVERAGE(OFFSET($H$3,0,0,'Données projet'!$E$12+1,1))</f>
        <v>201.36664523637006</v>
      </c>
      <c r="CE117" s="59">
        <f t="shared" si="94"/>
        <v>79.394119001888555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20.83692801306238</v>
      </c>
      <c r="CM117" s="21">
        <f>EXP(-LN(2)/2)*CM116+(1-EXP(-LN(2)/2))/(LN(2)/2)*CG117*CJ117*VLOOKUP('Données projet'!$B$12,Paramètres!$A$1:$I$89,3,0)*0.475*44/12</f>
        <v>8.9638485437793687E-11</v>
      </c>
      <c r="CN117" s="22">
        <f t="shared" si="66"/>
        <v>20.836928013152018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3.7</v>
      </c>
      <c r="CT117" s="12">
        <f>IF('Données projet'!$A$140&gt;35,CT116+CS117-DB116,IF(A117&lt;'Données projet'!$A$140,$CQ$205^A117,IF(A117='Données projet'!$A$140,'Données projet'!$B$140,CT116+CS117-DB116)))</f>
        <v>279.80000000000018</v>
      </c>
      <c r="CU117" s="17">
        <f>CT117*VLOOKUP('Données projet'!$B$13,Paramètres!$A$1:$I$89,3,0)*VLOOKUP('Données projet'!$B$13,Paramètres!$A$1:$I$89,5,0)</f>
        <v>253.16304000000017</v>
      </c>
      <c r="CV117" s="13">
        <f t="shared" si="95"/>
        <v>61.262761848635087</v>
      </c>
      <c r="CW117" s="20">
        <f t="shared" si="67"/>
        <v>547.62493821970645</v>
      </c>
      <c r="CX117" s="59">
        <f t="shared" si="68"/>
        <v>840.95827155303982</v>
      </c>
      <c r="CY117" s="59">
        <f ca="1">AVERAGE(OFFSET($CX$3,0,0,'Données projet'!$E$13+1,1))-AVERAGE(OFFSET($H$3,0,0,'Données projet'!$E$13+1,1))</f>
        <v>282.08542131880455</v>
      </c>
      <c r="CZ117" s="59">
        <f t="shared" si="96"/>
        <v>174.27503468762325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33.306952732376331</v>
      </c>
      <c r="DG117" s="21">
        <f>EXP(-LN(2)/25)*DG116+(1-EXP(-LN(2)/25))/(LN(2)/25)*Calculateur!DB117*Calculateur!DD117*VLOOKUP('Données projet'!$B$13,Paramètres!$A$1:$I$89,3,0)*0.475*44/12</f>
        <v>29.655156425101314</v>
      </c>
      <c r="DH117" s="21">
        <f>EXP(-LN(2)/2)*DH116+(1-EXP(-LN(2)/2))/(LN(2)/2)*DB117*DE117*VLOOKUP('Données projet'!$B$13,Paramètres!$A$1:$I$89,3,0)*0.475*44/12</f>
        <v>1.3325625652167825E-10</v>
      </c>
      <c r="DI117" s="22">
        <f t="shared" si="69"/>
        <v>62.962109157610897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5.6843418860808015E-14</v>
      </c>
      <c r="DP117" s="17">
        <f>DO117*VLOOKUP('Données projet'!$B$14,Paramètres!$A$1:$I$89,3,0)*VLOOKUP('Données projet'!$B$14,Paramètres!$A$1:$I$89,5,0)</f>
        <v>4.6111381379887463E-14</v>
      </c>
      <c r="DQ117" s="13">
        <f t="shared" si="97"/>
        <v>7.5804141040779151E-13</v>
      </c>
      <c r="DR117" s="20">
        <f t="shared" si="70"/>
        <v>1.4005661123635408E-12</v>
      </c>
      <c r="DS117" s="59">
        <f t="shared" si="71"/>
        <v>293.33333333333474</v>
      </c>
      <c r="DT117" s="59">
        <f ca="1">AVERAGE(OFFSET($DS$3,0,0,'Données projet'!$E$14+1,1))-AVERAGE(OFFSET($H$3,0,0,'Données projet'!$E$14+1,1))</f>
        <v>235.31102883830971</v>
      </c>
      <c r="DU117" s="59">
        <f t="shared" si="98"/>
        <v>271.48630853790422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28.916392803236945</v>
      </c>
      <c r="EB117" s="21">
        <f>EXP(-LN(2)/25)*EB116+(1-EXP(-LN(2)/25))/(LN(2)/25)*Calculateur!DW117*Calculateur!DY117*VLOOKUP('Données projet'!$B$14,Paramètres!$A$1:$I$89,3,0)*0.475*44/12</f>
        <v>30.405826912585482</v>
      </c>
      <c r="EC117" s="21">
        <f>EXP(-LN(2)/2)*EC116+(1-EXP(-LN(2)/2))/(LN(2)/2)*DW117*DZ117*VLOOKUP('Données projet'!$B$14,Paramètres!$A$1:$I$89,3,0)*0.475*44/12</f>
        <v>1.6080308946815773E-10</v>
      </c>
      <c r="ED117" s="22">
        <f t="shared" si="72"/>
        <v>59.322219715983231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-1.2505552149377763E-12</v>
      </c>
      <c r="O118" s="13">
        <f>N118*VLOOKUP('Données projet'!$B$9,Paramètres!$A$1:$I$89,3,0)*VLOOKUP('Données projet'!$B$9,Paramètres!$A$1:$I$89,5,0)</f>
        <v>-6.9906036515021697E-13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446.28010102877403</v>
      </c>
      <c r="T118" s="59">
        <f t="shared" si="88"/>
        <v>445.84011537290456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2.1212313575721882</v>
      </c>
      <c r="AA118" s="21">
        <f>EXP(-LN(2)/25)*AA117+(1-EXP(-LN(2)/25))/(LN(2)/25)*Calculateur!V118*Calculateur!X118*VLOOKUP('Données projet'!$B$9,Paramètres!$A$1:$I$89,3,0)*0.475*44/12</f>
        <v>3.6717675002776837</v>
      </c>
      <c r="AB118" s="21">
        <f>EXP(-LN(2)/2)*AB117+(1-EXP(-LN(2)/2))/(LN(2)/2)*V118*Y118*VLOOKUP('Données projet'!$B$9,Paramètres!$A$1:$I$89,3,0)*0.475*44/12</f>
        <v>5.8638583368164357E-12</v>
      </c>
      <c r="AC118" s="22">
        <f t="shared" si="57"/>
        <v>5.7929988578557357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-5.3205440053716299E-14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252.98248842635206</v>
      </c>
      <c r="AO118" s="59">
        <f t="shared" si="90"/>
        <v>207.11938580878308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0.58224629489240498</v>
      </c>
      <c r="AV118" s="21">
        <f>EXP(-LN(2)/25)*AV117+(1-EXP(-LN(2)/25))/(LN(2)/25)*Calculateur!AQ118*Calculateur!AS118*VLOOKUP('Données projet'!$B$10,Paramètres!$A$1:$I$89,3,0)*0.475*44/12</f>
        <v>0.7441660911862148</v>
      </c>
      <c r="AW118" s="21">
        <f>EXP(-LN(2)/2)*AW117+(1-EXP(-LN(2)/2))/(LN(2)/2)*AQ118*AT118*VLOOKUP('Données projet'!$B$10,Paramètres!$A$1:$I$89,3,0)*0.475*44/12</f>
        <v>1.5807924371620577E-12</v>
      </c>
      <c r="AX118" s="21">
        <f t="shared" si="60"/>
        <v>1.3264123860802004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2.8</v>
      </c>
      <c r="BD118" s="12">
        <f>IF('Données projet'!$A$88&gt;35,BD117+BC118-BL117,IF(A118&lt;'Données projet'!$A$88,$BA$205^A118,IF(A118='Données projet'!$A$88,'Données projet'!$B$88,BD117+BC118-BL117)))</f>
        <v>219.99999999999997</v>
      </c>
      <c r="BE118" s="13">
        <f>BD118*VLOOKUP('Données projet'!$B$11,Paramètres!$A$1:$I$89,3,0)*VLOOKUP('Données projet'!$B$11,Paramètres!$A$1:$I$89,5,0)</f>
        <v>144.14400000000001</v>
      </c>
      <c r="BF118" s="13">
        <f t="shared" si="91"/>
        <v>37.244720006976252</v>
      </c>
      <c r="BG118" s="20">
        <f t="shared" si="61"/>
        <v>315.91868734548365</v>
      </c>
      <c r="BH118" s="59">
        <f t="shared" si="62"/>
        <v>609.25202067881696</v>
      </c>
      <c r="BI118" s="59">
        <f ca="1">AVERAGE(OFFSET($BH$3,0,0,'Données projet'!$E$11+1,1))-AVERAGE(OFFSET($H$3,0,0,'Données projet'!$E$11+1,1))</f>
        <v>114.23168847330004</v>
      </c>
      <c r="BJ118" s="59">
        <f t="shared" si="92"/>
        <v>42.34857998136755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2.8</v>
      </c>
      <c r="BY118" s="12">
        <f>IF('Données projet'!$A$114&gt;35,BY117+BX118-CG117,IF(A118&lt;'Données projet'!$A$114,$BV$205^A118,IF(A118='Données projet'!$A$114,'Données projet'!$B$114,BY117+BX118-CG117)))</f>
        <v>219.99999999999997</v>
      </c>
      <c r="BZ118" s="13">
        <f>BY118*VLOOKUP('Données projet'!$B$12,Paramètres!$A$1:$I$89,3,0)*VLOOKUP('Données projet'!$B$12,Paramètres!$A$1:$I$89,5,0)</f>
        <v>212.78399999999996</v>
      </c>
      <c r="CA118" s="13">
        <f t="shared" si="93"/>
        <v>52.543492641808065</v>
      </c>
      <c r="CB118" s="20">
        <f t="shared" si="64"/>
        <v>462.11204968448232</v>
      </c>
      <c r="CC118" s="59">
        <f t="shared" si="65"/>
        <v>755.44538301781563</v>
      </c>
      <c r="CD118" s="59">
        <f ca="1">AVERAGE(OFFSET($CC$3,0,0,'Données projet'!$E$12+1,1))-AVERAGE(OFFSET($H$3,0,0,'Données projet'!$E$12+1,1))</f>
        <v>201.36664523637006</v>
      </c>
      <c r="CE118" s="59">
        <f t="shared" si="94"/>
        <v>79.394119001888555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20.267141120778767</v>
      </c>
      <c r="CM118" s="21">
        <f>EXP(-LN(2)/2)*CM117+(1-EXP(-LN(2)/2))/(LN(2)/2)*CG118*CJ118*VLOOKUP('Données projet'!$B$12,Paramètres!$A$1:$I$89,3,0)*0.475*44/12</f>
        <v>6.3383980908355506E-11</v>
      </c>
      <c r="CN118" s="22">
        <f t="shared" si="66"/>
        <v>20.267141120842151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3.7</v>
      </c>
      <c r="CT118" s="12">
        <f>IF('Données projet'!$A$140&gt;35,CT117+CS118-DB117,IF(A118&lt;'Données projet'!$A$140,$CQ$205^A118,IF(A118='Données projet'!$A$140,'Données projet'!$B$140,CT117+CS118-DB117)))</f>
        <v>283.50000000000017</v>
      </c>
      <c r="CU118" s="17">
        <f>CT118*VLOOKUP('Données projet'!$B$13,Paramètres!$A$1:$I$89,3,0)*VLOOKUP('Données projet'!$B$13,Paramètres!$A$1:$I$89,5,0)</f>
        <v>256.51080000000013</v>
      </c>
      <c r="CV118" s="13">
        <f t="shared" si="95"/>
        <v>61.978037689587161</v>
      </c>
      <c r="CW118" s="20">
        <f t="shared" si="67"/>
        <v>554.70139230936445</v>
      </c>
      <c r="CX118" s="59">
        <f t="shared" si="68"/>
        <v>848.03472564269782</v>
      </c>
      <c r="CY118" s="59">
        <f ca="1">AVERAGE(OFFSET($CX$3,0,0,'Données projet'!$E$13+1,1))-AVERAGE(OFFSET($H$3,0,0,'Données projet'!$E$13+1,1))</f>
        <v>282.08542131880455</v>
      </c>
      <c r="CZ118" s="59">
        <f t="shared" si="96"/>
        <v>174.27503468762325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32.653823704529636</v>
      </c>
      <c r="DG118" s="21">
        <f>EXP(-LN(2)/25)*DG117+(1-EXP(-LN(2)/25))/(LN(2)/25)*Calculateur!DB118*Calculateur!DD118*VLOOKUP('Données projet'!$B$13,Paramètres!$A$1:$I$89,3,0)*0.475*44/12</f>
        <v>28.844234613160019</v>
      </c>
      <c r="DH118" s="21">
        <f>EXP(-LN(2)/2)*DH117+(1-EXP(-LN(2)/2))/(LN(2)/2)*DB118*DE118*VLOOKUP('Données projet'!$B$13,Paramètres!$A$1:$I$89,3,0)*0.475*44/12</f>
        <v>9.4226402622012793E-11</v>
      </c>
      <c r="DI118" s="22">
        <f t="shared" si="69"/>
        <v>61.49805831778388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5.6843418860808015E-14</v>
      </c>
      <c r="DP118" s="17">
        <f>DO118*VLOOKUP('Données projet'!$B$14,Paramètres!$A$1:$I$89,3,0)*VLOOKUP('Données projet'!$B$14,Paramètres!$A$1:$I$89,5,0)</f>
        <v>4.6111381379887463E-14</v>
      </c>
      <c r="DQ118" s="13">
        <f t="shared" si="97"/>
        <v>7.5804141040779151E-13</v>
      </c>
      <c r="DR118" s="20">
        <f t="shared" si="70"/>
        <v>1.4005661123635408E-12</v>
      </c>
      <c r="DS118" s="59">
        <f t="shared" si="71"/>
        <v>293.33333333333474</v>
      </c>
      <c r="DT118" s="59">
        <f ca="1">AVERAGE(OFFSET($DS$3,0,0,'Données projet'!$E$14+1,1))-AVERAGE(OFFSET($H$3,0,0,'Données projet'!$E$14+1,1))</f>
        <v>235.31102883830971</v>
      </c>
      <c r="DU118" s="59">
        <f t="shared" si="98"/>
        <v>271.48630853790422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28.349359977623543</v>
      </c>
      <c r="EB118" s="21">
        <f>EXP(-LN(2)/25)*EB117+(1-EXP(-LN(2)/25))/(LN(2)/25)*Calculateur!DW118*Calculateur!DY118*VLOOKUP('Données projet'!$B$14,Paramètres!$A$1:$I$89,3,0)*0.475*44/12</f>
        <v>29.574377976687888</v>
      </c>
      <c r="EC118" s="21">
        <f>EXP(-LN(2)/2)*EC117+(1-EXP(-LN(2)/2))/(LN(2)/2)*DW118*DZ118*VLOOKUP('Données projet'!$B$14,Paramètres!$A$1:$I$89,3,0)*0.475*44/12</f>
        <v>1.1370495499868144E-10</v>
      </c>
      <c r="ED118" s="22">
        <f t="shared" si="72"/>
        <v>57.923737954425143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-1.2505552149377763E-12</v>
      </c>
      <c r="O119" s="13">
        <f>N119*VLOOKUP('Données projet'!$B$9,Paramètres!$A$1:$I$89,3,0)*VLOOKUP('Données projet'!$B$9,Paramètres!$A$1:$I$89,5,0)</f>
        <v>-6.9906036515021697E-13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446.28010102877403</v>
      </c>
      <c r="T119" s="59">
        <f t="shared" si="88"/>
        <v>445.84011537290456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2.0796353044735714</v>
      </c>
      <c r="AA119" s="21">
        <f>EXP(-LN(2)/25)*AA118+(1-EXP(-LN(2)/25))/(LN(2)/25)*Calculateur!V119*Calculateur!X119*VLOOKUP('Données projet'!$B$9,Paramètres!$A$1:$I$89,3,0)*0.475*44/12</f>
        <v>3.5713628248927294</v>
      </c>
      <c r="AB119" s="21">
        <f>EXP(-LN(2)/2)*AB118+(1-EXP(-LN(2)/2))/(LN(2)/2)*V119*Y119*VLOOKUP('Données projet'!$B$9,Paramètres!$A$1:$I$89,3,0)*0.475*44/12</f>
        <v>4.1463739938801718E-12</v>
      </c>
      <c r="AC119" s="22">
        <f t="shared" si="57"/>
        <v>5.6509981293704463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-5.3205440053716299E-14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252.98248842635206</v>
      </c>
      <c r="AO119" s="59">
        <f t="shared" si="90"/>
        <v>207.11938580878308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0.57082880018473814</v>
      </c>
      <c r="AV119" s="21">
        <f>EXP(-LN(2)/25)*AV118+(1-EXP(-LN(2)/25))/(LN(2)/25)*Calculateur!AQ119*Calculateur!AS119*VLOOKUP('Données projet'!$B$10,Paramètres!$A$1:$I$89,3,0)*0.475*44/12</f>
        <v>0.72381683028873378</v>
      </c>
      <c r="AW119" s="21">
        <f>EXP(-LN(2)/2)*AW118+(1-EXP(-LN(2)/2))/(LN(2)/2)*AQ119*AT119*VLOOKUP('Données projet'!$B$10,Paramètres!$A$1:$I$89,3,0)*0.475*44/12</f>
        <v>1.1177890519657003E-12</v>
      </c>
      <c r="AX119" s="21">
        <f t="shared" si="60"/>
        <v>1.2946456304745897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2.8</v>
      </c>
      <c r="BD119" s="12">
        <f>IF('Données projet'!$A$88&gt;35,BD118+BC119-BL118,IF(A119&lt;'Données projet'!$A$88,$BA$205^A119,IF(A119='Données projet'!$A$88,'Données projet'!$B$88,BD118+BC119-BL118)))</f>
        <v>222.79999999999998</v>
      </c>
      <c r="BE119" s="13">
        <f>BD119*VLOOKUP('Données projet'!$B$11,Paramètres!$A$1:$I$89,3,0)*VLOOKUP('Données projet'!$B$11,Paramètres!$A$1:$I$89,5,0)</f>
        <v>145.97855999999999</v>
      </c>
      <c r="BF119" s="13">
        <f t="shared" si="91"/>
        <v>37.663258564362323</v>
      </c>
      <c r="BG119" s="20">
        <f t="shared" si="61"/>
        <v>319.8428339995977</v>
      </c>
      <c r="BH119" s="59">
        <f t="shared" si="62"/>
        <v>613.17616733293107</v>
      </c>
      <c r="BI119" s="59">
        <f ca="1">AVERAGE(OFFSET($BH$3,0,0,'Données projet'!$E$11+1,1))-AVERAGE(OFFSET($H$3,0,0,'Données projet'!$E$11+1,1))</f>
        <v>114.23168847330004</v>
      </c>
      <c r="BJ119" s="59">
        <f t="shared" si="92"/>
        <v>42.34857998136755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2.8</v>
      </c>
      <c r="BY119" s="12">
        <f>IF('Données projet'!$A$114&gt;35,BY118+BX119-CG118,IF(A119&lt;'Données projet'!$A$114,$BV$205^A119,IF(A119='Données projet'!$A$114,'Données projet'!$B$114,BY118+BX119-CG118)))</f>
        <v>222.79999999999998</v>
      </c>
      <c r="BZ119" s="13">
        <f>BY119*VLOOKUP('Données projet'!$B$12,Paramètres!$A$1:$I$89,3,0)*VLOOKUP('Données projet'!$B$12,Paramètres!$A$1:$I$89,5,0)</f>
        <v>215.49216000000001</v>
      </c>
      <c r="CA119" s="13">
        <f t="shared" si="93"/>
        <v>53.133951574140234</v>
      </c>
      <c r="CB119" s="20">
        <f t="shared" si="64"/>
        <v>467.85714432496087</v>
      </c>
      <c r="CC119" s="59">
        <f t="shared" si="65"/>
        <v>761.19047765829418</v>
      </c>
      <c r="CD119" s="59">
        <f ca="1">AVERAGE(OFFSET($CC$3,0,0,'Données projet'!$E$12+1,1))-AVERAGE(OFFSET($H$3,0,0,'Données projet'!$E$12+1,1))</f>
        <v>201.36664523637006</v>
      </c>
      <c r="CE119" s="59">
        <f t="shared" si="94"/>
        <v>79.394119001888555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19.712935081028441</v>
      </c>
      <c r="CM119" s="21">
        <f>EXP(-LN(2)/2)*CM118+(1-EXP(-LN(2)/2))/(LN(2)/2)*CG119*CJ119*VLOOKUP('Données projet'!$B$12,Paramètres!$A$1:$I$89,3,0)*0.475*44/12</f>
        <v>4.4819242718896843E-11</v>
      </c>
      <c r="CN119" s="22">
        <f t="shared" si="66"/>
        <v>19.712935081073258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3.7</v>
      </c>
      <c r="CT119" s="12">
        <f>IF('Données projet'!$A$140&gt;35,CT118+CS119-DB118,IF(A119&lt;'Données projet'!$A$140,$CQ$205^A119,IF(A119='Données projet'!$A$140,'Données projet'!$B$140,CT118+CS119-DB118)))</f>
        <v>287.20000000000016</v>
      </c>
      <c r="CU119" s="17">
        <f>CT119*VLOOKUP('Données projet'!$B$13,Paramètres!$A$1:$I$89,3,0)*VLOOKUP('Données projet'!$B$13,Paramètres!$A$1:$I$89,5,0)</f>
        <v>259.85856000000013</v>
      </c>
      <c r="CV119" s="13">
        <f t="shared" si="95"/>
        <v>62.692227709138535</v>
      </c>
      <c r="CW119" s="20">
        <f t="shared" si="67"/>
        <v>561.77595526008315</v>
      </c>
      <c r="CX119" s="59">
        <f t="shared" si="68"/>
        <v>855.10928859341652</v>
      </c>
      <c r="CY119" s="59">
        <f ca="1">AVERAGE(OFFSET($CX$3,0,0,'Données projet'!$E$13+1,1))-AVERAGE(OFFSET($H$3,0,0,'Données projet'!$E$13+1,1))</f>
        <v>282.08542131880455</v>
      </c>
      <c r="CZ119" s="59">
        <f t="shared" si="96"/>
        <v>174.27503468762325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32.01350213854964</v>
      </c>
      <c r="DG119" s="21">
        <f>EXP(-LN(2)/25)*DG118+(1-EXP(-LN(2)/25))/(LN(2)/25)*Calculateur!DB119*Calculateur!DD119*VLOOKUP('Données projet'!$B$13,Paramètres!$A$1:$I$89,3,0)*0.475*44/12</f>
        <v>28.055487500810784</v>
      </c>
      <c r="DH119" s="21">
        <f>EXP(-LN(2)/2)*DH118+(1-EXP(-LN(2)/2))/(LN(2)/2)*DB119*DE119*VLOOKUP('Données projet'!$B$13,Paramètres!$A$1:$I$89,3,0)*0.475*44/12</f>
        <v>6.6628128260839127E-11</v>
      </c>
      <c r="DI119" s="22">
        <f t="shared" si="69"/>
        <v>60.068989639427052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5.6843418860808015E-14</v>
      </c>
      <c r="DP119" s="17">
        <f>DO119*VLOOKUP('Données projet'!$B$14,Paramètres!$A$1:$I$89,3,0)*VLOOKUP('Données projet'!$B$14,Paramètres!$A$1:$I$89,5,0)</f>
        <v>4.6111381379887463E-14</v>
      </c>
      <c r="DQ119" s="13">
        <f t="shared" si="97"/>
        <v>7.5804141040779151E-13</v>
      </c>
      <c r="DR119" s="20">
        <f t="shared" si="70"/>
        <v>1.4005661123635408E-12</v>
      </c>
      <c r="DS119" s="59">
        <f t="shared" si="71"/>
        <v>293.33333333333474</v>
      </c>
      <c r="DT119" s="59">
        <f ca="1">AVERAGE(OFFSET($DS$3,0,0,'Données projet'!$E$14+1,1))-AVERAGE(OFFSET($H$3,0,0,'Données projet'!$E$14+1,1))</f>
        <v>235.31102883830971</v>
      </c>
      <c r="DU119" s="59">
        <f t="shared" si="98"/>
        <v>271.48630853790422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27.793446319864547</v>
      </c>
      <c r="EB119" s="21">
        <f>EXP(-LN(2)/25)*EB118+(1-EXP(-LN(2)/25))/(LN(2)/25)*Calculateur!DW119*Calculateur!DY119*VLOOKUP('Données projet'!$B$14,Paramètres!$A$1:$I$89,3,0)*0.475*44/12</f>
        <v>28.765665055666414</v>
      </c>
      <c r="EC119" s="21">
        <f>EXP(-LN(2)/2)*EC118+(1-EXP(-LN(2)/2))/(LN(2)/2)*DW119*DZ119*VLOOKUP('Données projet'!$B$14,Paramètres!$A$1:$I$89,3,0)*0.475*44/12</f>
        <v>8.0401544734078877E-11</v>
      </c>
      <c r="ED119" s="22">
        <f t="shared" si="72"/>
        <v>56.559111375611366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-1.2505552149377763E-12</v>
      </c>
      <c r="O120" s="13">
        <f>N120*VLOOKUP('Données projet'!$B$9,Paramètres!$A$1:$I$89,3,0)*VLOOKUP('Données projet'!$B$9,Paramètres!$A$1:$I$89,5,0)</f>
        <v>-6.9906036515021697E-13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446.28010102877403</v>
      </c>
      <c r="T120" s="59">
        <f t="shared" si="88"/>
        <v>445.84011537290456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2.0388549246051313</v>
      </c>
      <c r="AA120" s="21">
        <f>EXP(-LN(2)/25)*AA119+(1-EXP(-LN(2)/25))/(LN(2)/25)*Calculateur!V120*Calculateur!X120*VLOOKUP('Données projet'!$B$9,Paramètres!$A$1:$I$89,3,0)*0.475*44/12</f>
        <v>3.4737037206362293</v>
      </c>
      <c r="AB120" s="21">
        <f>EXP(-LN(2)/2)*AB119+(1-EXP(-LN(2)/2))/(LN(2)/2)*V120*Y120*VLOOKUP('Données projet'!$B$9,Paramètres!$A$1:$I$89,3,0)*0.475*44/12</f>
        <v>2.9319291684082178E-12</v>
      </c>
      <c r="AC120" s="22">
        <f t="shared" si="57"/>
        <v>5.512558645244293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-5.3205440053716299E-14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252.98248842635206</v>
      </c>
      <c r="AO120" s="59">
        <f t="shared" si="90"/>
        <v>207.11938580878308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0.55963519558430452</v>
      </c>
      <c r="AV120" s="21">
        <f>EXP(-LN(2)/25)*AV119+(1-EXP(-LN(2)/25))/(LN(2)/25)*Calculateur!AQ120*Calculateur!AS120*VLOOKUP('Données projet'!$B$10,Paramètres!$A$1:$I$89,3,0)*0.475*44/12</f>
        <v>0.70402402100061556</v>
      </c>
      <c r="AW120" s="21">
        <f>EXP(-LN(2)/2)*AW119+(1-EXP(-LN(2)/2))/(LN(2)/2)*AQ120*AT120*VLOOKUP('Données projet'!$B$10,Paramètres!$A$1:$I$89,3,0)*0.475*44/12</f>
        <v>7.9039621858102885E-13</v>
      </c>
      <c r="AX120" s="21">
        <f t="shared" si="60"/>
        <v>1.2636592165857106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2.8</v>
      </c>
      <c r="BD120" s="12">
        <f>IF('Données projet'!$A$88&gt;35,BD119+BC120-BL119,IF(A120&lt;'Données projet'!$A$88,$BA$205^A120,IF(A120='Données projet'!$A$88,'Données projet'!$B$88,BD119+BC120-BL119)))</f>
        <v>225.6</v>
      </c>
      <c r="BE120" s="13">
        <f>BD120*VLOOKUP('Données projet'!$B$11,Paramètres!$A$1:$I$89,3,0)*VLOOKUP('Données projet'!$B$11,Paramètres!$A$1:$I$89,5,0)</f>
        <v>147.81312</v>
      </c>
      <c r="BF120" s="13">
        <f t="shared" si="91"/>
        <v>38.081185298782486</v>
      </c>
      <c r="BG120" s="20">
        <f t="shared" si="61"/>
        <v>323.76591506204613</v>
      </c>
      <c r="BH120" s="59">
        <f t="shared" si="62"/>
        <v>617.09924839537939</v>
      </c>
      <c r="BI120" s="59">
        <f ca="1">AVERAGE(OFFSET($BH$3,0,0,'Données projet'!$E$11+1,1))-AVERAGE(OFFSET($H$3,0,0,'Données projet'!$E$11+1,1))</f>
        <v>114.23168847330004</v>
      </c>
      <c r="BJ120" s="59">
        <f t="shared" si="92"/>
        <v>42.34857998136755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2.8</v>
      </c>
      <c r="BY120" s="12">
        <f>IF('Données projet'!$A$114&gt;35,BY119+BX120-CG119,IF(A120&lt;'Données projet'!$A$114,$BV$205^A120,IF(A120='Données projet'!$A$114,'Données projet'!$B$114,BY119+BX120-CG119)))</f>
        <v>225.6</v>
      </c>
      <c r="BZ120" s="13">
        <f>BY120*VLOOKUP('Données projet'!$B$12,Paramètres!$A$1:$I$89,3,0)*VLOOKUP('Données projet'!$B$12,Paramètres!$A$1:$I$89,5,0)</f>
        <v>218.20031999999998</v>
      </c>
      <c r="CA120" s="13">
        <f t="shared" si="93"/>
        <v>53.723547368945667</v>
      </c>
      <c r="CB120" s="20">
        <f t="shared" si="64"/>
        <v>473.6007356675803</v>
      </c>
      <c r="CC120" s="59">
        <f t="shared" si="65"/>
        <v>766.93406900091361</v>
      </c>
      <c r="CD120" s="59">
        <f ca="1">AVERAGE(OFFSET($CC$3,0,0,'Données projet'!$E$12+1,1))-AVERAGE(OFFSET($H$3,0,0,'Données projet'!$E$12+1,1))</f>
        <v>201.36664523637006</v>
      </c>
      <c r="CE120" s="59">
        <f t="shared" si="94"/>
        <v>79.394119001888555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19.173883834579517</v>
      </c>
      <c r="CM120" s="21">
        <f>EXP(-LN(2)/2)*CM119+(1-EXP(-LN(2)/2))/(LN(2)/2)*CG120*CJ120*VLOOKUP('Données projet'!$B$12,Paramètres!$A$1:$I$89,3,0)*0.475*44/12</f>
        <v>3.1691990454177753E-11</v>
      </c>
      <c r="CN120" s="22">
        <f t="shared" si="66"/>
        <v>19.17388383461121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3.7</v>
      </c>
      <c r="CT120" s="12">
        <f>IF('Données projet'!$A$140&gt;35,CT119+CS120-DB119,IF(A120&lt;'Données projet'!$A$140,$CQ$205^A120,IF(A120='Données projet'!$A$140,'Données projet'!$B$140,CT119+CS120-DB119)))</f>
        <v>290.90000000000015</v>
      </c>
      <c r="CU120" s="17">
        <f>CT120*VLOOKUP('Données projet'!$B$13,Paramètres!$A$1:$I$89,3,0)*VLOOKUP('Données projet'!$B$13,Paramètres!$A$1:$I$89,5,0)</f>
        <v>263.20632000000012</v>
      </c>
      <c r="CV120" s="13">
        <f t="shared" si="95"/>
        <v>63.405347513378615</v>
      </c>
      <c r="CW120" s="20">
        <f t="shared" si="67"/>
        <v>568.84865425246801</v>
      </c>
      <c r="CX120" s="59">
        <f t="shared" si="68"/>
        <v>862.18198758580138</v>
      </c>
      <c r="CY120" s="59">
        <f ca="1">AVERAGE(OFFSET($CX$3,0,0,'Données projet'!$E$13+1,1))-AVERAGE(OFFSET($H$3,0,0,'Données projet'!$E$13+1,1))</f>
        <v>282.08542131880455</v>
      </c>
      <c r="CZ120" s="59">
        <f t="shared" si="96"/>
        <v>174.27503468762325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31.385736887920924</v>
      </c>
      <c r="DG120" s="21">
        <f>EXP(-LN(2)/25)*DG119+(1-EXP(-LN(2)/25))/(LN(2)/25)*Calculateur!DB120*Calculateur!DD120*VLOOKUP('Données projet'!$B$13,Paramètres!$A$1:$I$89,3,0)*0.475*44/12</f>
        <v>27.288308719727148</v>
      </c>
      <c r="DH120" s="21">
        <f>EXP(-LN(2)/2)*DH119+(1-EXP(-LN(2)/2))/(LN(2)/2)*DB120*DE120*VLOOKUP('Données projet'!$B$13,Paramètres!$A$1:$I$89,3,0)*0.475*44/12</f>
        <v>4.7113201311006397E-11</v>
      </c>
      <c r="DI120" s="22">
        <f t="shared" si="69"/>
        <v>58.674045607695184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5.6843418860808015E-14</v>
      </c>
      <c r="DP120" s="17">
        <f>DO120*VLOOKUP('Données projet'!$B$14,Paramètres!$A$1:$I$89,3,0)*VLOOKUP('Données projet'!$B$14,Paramètres!$A$1:$I$89,5,0)</f>
        <v>4.6111381379887463E-14</v>
      </c>
      <c r="DQ120" s="13">
        <f t="shared" si="97"/>
        <v>7.5804141040779151E-13</v>
      </c>
      <c r="DR120" s="20">
        <f t="shared" si="70"/>
        <v>1.4005661123635408E-12</v>
      </c>
      <c r="DS120" s="59">
        <f t="shared" si="71"/>
        <v>293.33333333333474</v>
      </c>
      <c r="DT120" s="59">
        <f ca="1">AVERAGE(OFFSET($DS$3,0,0,'Données projet'!$E$14+1,1))-AVERAGE(OFFSET($H$3,0,0,'Données projet'!$E$14+1,1))</f>
        <v>235.31102883830971</v>
      </c>
      <c r="DU120" s="59">
        <f t="shared" si="98"/>
        <v>271.48630853790422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27.248433789860353</v>
      </c>
      <c r="EB120" s="21">
        <f>EXP(-LN(2)/25)*EB119+(1-EXP(-LN(2)/25))/(LN(2)/25)*Calculateur!DW120*Calculateur!DY120*VLOOKUP('Données projet'!$B$14,Paramètres!$A$1:$I$89,3,0)*0.475*44/12</f>
        <v>27.979066431998636</v>
      </c>
      <c r="EC120" s="21">
        <f>EXP(-LN(2)/2)*EC119+(1-EXP(-LN(2)/2))/(LN(2)/2)*DW120*DZ120*VLOOKUP('Données projet'!$B$14,Paramètres!$A$1:$I$89,3,0)*0.475*44/12</f>
        <v>5.6852477499340726E-11</v>
      </c>
      <c r="ED120" s="22">
        <f t="shared" si="72"/>
        <v>55.22750022191584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-1.2505552149377763E-12</v>
      </c>
      <c r="O121" s="13">
        <f>N121*VLOOKUP('Données projet'!$B$9,Paramètres!$A$1:$I$89,3,0)*VLOOKUP('Données projet'!$B$9,Paramètres!$A$1:$I$89,5,0)</f>
        <v>-6.9906036515021697E-13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446.28010102877403</v>
      </c>
      <c r="T121" s="59">
        <f t="shared" si="88"/>
        <v>445.84011537290456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1.9988742231123355</v>
      </c>
      <c r="AA121" s="21">
        <f>EXP(-LN(2)/25)*AA120+(1-EXP(-LN(2)/25))/(LN(2)/25)*Calculateur!V121*Calculateur!X121*VLOOKUP('Données projet'!$B$9,Paramètres!$A$1:$I$89,3,0)*0.475*44/12</f>
        <v>3.3787151097212922</v>
      </c>
      <c r="AB121" s="21">
        <f>EXP(-LN(2)/2)*AB120+(1-EXP(-LN(2)/2))/(LN(2)/2)*V121*Y121*VLOOKUP('Données projet'!$B$9,Paramètres!$A$1:$I$89,3,0)*0.475*44/12</f>
        <v>2.0731869969400859E-12</v>
      </c>
      <c r="AC121" s="22">
        <f t="shared" si="57"/>
        <v>5.3775893328357007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-5.3205440053716299E-14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252.98248842635206</v>
      </c>
      <c r="AO121" s="59">
        <f t="shared" si="90"/>
        <v>207.11938580878308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0.54866109074266067</v>
      </c>
      <c r="AV121" s="21">
        <f>EXP(-LN(2)/25)*AV120+(1-EXP(-LN(2)/25))/(LN(2)/25)*Calculateur!AQ121*Calculateur!AS121*VLOOKUP('Données projet'!$B$10,Paramètres!$A$1:$I$89,3,0)*0.475*44/12</f>
        <v>0.68477244712333951</v>
      </c>
      <c r="AW121" s="21">
        <f>EXP(-LN(2)/2)*AW120+(1-EXP(-LN(2)/2))/(LN(2)/2)*AQ121*AT121*VLOOKUP('Données projet'!$B$10,Paramètres!$A$1:$I$89,3,0)*0.475*44/12</f>
        <v>5.5889452598285015E-13</v>
      </c>
      <c r="AX121" s="21">
        <f t="shared" si="60"/>
        <v>1.2334335378665591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2.8</v>
      </c>
      <c r="BD121" s="12">
        <f>IF('Données projet'!$A$88&gt;35,BD120+BC121-BL120,IF(A121&lt;'Données projet'!$A$88,$BA$205^A121,IF(A121='Données projet'!$A$88,'Données projet'!$B$88,BD120+BC121-BL120)))</f>
        <v>228.4</v>
      </c>
      <c r="BE121" s="13">
        <f>BD121*VLOOKUP('Données projet'!$B$11,Paramètres!$A$1:$I$89,3,0)*VLOOKUP('Données projet'!$B$11,Paramètres!$A$1:$I$89,5,0)</f>
        <v>149.64768000000001</v>
      </c>
      <c r="BF121" s="13">
        <f t="shared" si="91"/>
        <v>38.498508681989847</v>
      </c>
      <c r="BG121" s="20">
        <f t="shared" si="61"/>
        <v>327.68794528779898</v>
      </c>
      <c r="BH121" s="59">
        <f t="shared" si="62"/>
        <v>621.0212786211323</v>
      </c>
      <c r="BI121" s="59">
        <f ca="1">AVERAGE(OFFSET($BH$3,0,0,'Données projet'!$E$11+1,1))-AVERAGE(OFFSET($H$3,0,0,'Données projet'!$E$11+1,1))</f>
        <v>114.23168847330004</v>
      </c>
      <c r="BJ121" s="59">
        <f t="shared" si="92"/>
        <v>42.34857998136755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2.8</v>
      </c>
      <c r="BY121" s="12">
        <f>IF('Données projet'!$A$114&gt;35,BY120+BX121-CG120,IF(A121&lt;'Données projet'!$A$114,$BV$205^A121,IF(A121='Données projet'!$A$114,'Données projet'!$B$114,BY120+BX121-CG120)))</f>
        <v>228.4</v>
      </c>
      <c r="BZ121" s="13">
        <f>BY121*VLOOKUP('Données projet'!$B$12,Paramètres!$A$1:$I$89,3,0)*VLOOKUP('Données projet'!$B$12,Paramètres!$A$1:$I$89,5,0)</f>
        <v>220.90848000000003</v>
      </c>
      <c r="CA121" s="13">
        <f t="shared" si="93"/>
        <v>54.312291977864867</v>
      </c>
      <c r="CB121" s="20">
        <f t="shared" si="64"/>
        <v>479.34284452811465</v>
      </c>
      <c r="CC121" s="59">
        <f t="shared" si="65"/>
        <v>772.67617786144797</v>
      </c>
      <c r="CD121" s="59">
        <f ca="1">AVERAGE(OFFSET($CC$3,0,0,'Données projet'!$E$12+1,1))-AVERAGE(OFFSET($H$3,0,0,'Données projet'!$E$12+1,1))</f>
        <v>201.36664523637006</v>
      </c>
      <c r="CE121" s="59">
        <f t="shared" si="94"/>
        <v>79.394119001888555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18.649572972812212</v>
      </c>
      <c r="CM121" s="21">
        <f>EXP(-LN(2)/2)*CM120+(1-EXP(-LN(2)/2))/(LN(2)/2)*CG121*CJ121*VLOOKUP('Données projet'!$B$12,Paramètres!$A$1:$I$89,3,0)*0.475*44/12</f>
        <v>2.2409621359448422E-11</v>
      </c>
      <c r="CN121" s="22">
        <f t="shared" si="66"/>
        <v>18.649572972834623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3.7</v>
      </c>
      <c r="CT121" s="12">
        <f>IF('Données projet'!$A$140&gt;35,CT120+CS121-DB120,IF(A121&lt;'Données projet'!$A$140,$CQ$205^A121,IF(A121='Données projet'!$A$140,'Données projet'!$B$140,CT120+CS121-DB120)))</f>
        <v>294.60000000000014</v>
      </c>
      <c r="CU121" s="17">
        <f>CT121*VLOOKUP('Données projet'!$B$13,Paramètres!$A$1:$I$89,3,0)*VLOOKUP('Données projet'!$B$13,Paramètres!$A$1:$I$89,5,0)</f>
        <v>266.55408000000011</v>
      </c>
      <c r="CV121" s="13">
        <f t="shared" si="95"/>
        <v>64.117412288576702</v>
      </c>
      <c r="CW121" s="20">
        <f t="shared" si="67"/>
        <v>575.91951573593792</v>
      </c>
      <c r="CX121" s="59">
        <f t="shared" si="68"/>
        <v>869.25284906927118</v>
      </c>
      <c r="CY121" s="59">
        <f ca="1">AVERAGE(OFFSET($CX$3,0,0,'Données projet'!$E$13+1,1))-AVERAGE(OFFSET($H$3,0,0,'Données projet'!$E$13+1,1))</f>
        <v>282.08542131880455</v>
      </c>
      <c r="CZ121" s="59">
        <f t="shared" si="96"/>
        <v>174.27503468762325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30.770281730958043</v>
      </c>
      <c r="DG121" s="21">
        <f>EXP(-LN(2)/25)*DG120+(1-EXP(-LN(2)/25))/(LN(2)/25)*Calculateur!DB121*Calculateur!DD121*VLOOKUP('Données projet'!$B$13,Paramètres!$A$1:$I$89,3,0)*0.475*44/12</f>
        <v>26.542108482756422</v>
      </c>
      <c r="DH121" s="21">
        <f>EXP(-LN(2)/2)*DH120+(1-EXP(-LN(2)/2))/(LN(2)/2)*DB121*DE121*VLOOKUP('Données projet'!$B$13,Paramètres!$A$1:$I$89,3,0)*0.475*44/12</f>
        <v>3.3314064130419563E-11</v>
      </c>
      <c r="DI121" s="22">
        <f t="shared" si="69"/>
        <v>57.312390213747783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5.6843418860808015E-14</v>
      </c>
      <c r="DP121" s="17">
        <f>DO121*VLOOKUP('Données projet'!$B$14,Paramètres!$A$1:$I$89,3,0)*VLOOKUP('Données projet'!$B$14,Paramètres!$A$1:$I$89,5,0)</f>
        <v>4.6111381379887463E-14</v>
      </c>
      <c r="DQ121" s="13">
        <f t="shared" si="97"/>
        <v>7.5804141040779151E-13</v>
      </c>
      <c r="DR121" s="20">
        <f t="shared" si="70"/>
        <v>1.4005661123635408E-12</v>
      </c>
      <c r="DS121" s="59">
        <f t="shared" si="71"/>
        <v>293.33333333333474</v>
      </c>
      <c r="DT121" s="59">
        <f ca="1">AVERAGE(OFFSET($DS$3,0,0,'Données projet'!$E$14+1,1))-AVERAGE(OFFSET($H$3,0,0,'Données projet'!$E$14+1,1))</f>
        <v>235.31102883830971</v>
      </c>
      <c r="DU121" s="59">
        <f t="shared" si="98"/>
        <v>271.48630853790422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26.714108623144725</v>
      </c>
      <c r="EB121" s="21">
        <f>EXP(-LN(2)/25)*EB120+(1-EXP(-LN(2)/25))/(LN(2)/25)*Calculateur!DW121*Calculateur!DY121*VLOOKUP('Données projet'!$B$14,Paramètres!$A$1:$I$89,3,0)*0.475*44/12</f>
        <v>27.213977389060478</v>
      </c>
      <c r="EC121" s="21">
        <f>EXP(-LN(2)/2)*EC120+(1-EXP(-LN(2)/2))/(LN(2)/2)*DW121*DZ121*VLOOKUP('Données projet'!$B$14,Paramètres!$A$1:$I$89,3,0)*0.475*44/12</f>
        <v>4.0200772367039445E-11</v>
      </c>
      <c r="ED121" s="22">
        <f t="shared" si="72"/>
        <v>53.928086012245402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-1.2505552149377763E-12</v>
      </c>
      <c r="O122" s="13">
        <f>N122*VLOOKUP('Données projet'!$B$9,Paramètres!$A$1:$I$89,3,0)*VLOOKUP('Données projet'!$B$9,Paramètres!$A$1:$I$89,5,0)</f>
        <v>-6.9906036515021697E-13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446.28010102877403</v>
      </c>
      <c r="T122" s="59">
        <f t="shared" si="88"/>
        <v>445.84011537290456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1.9596775187899935</v>
      </c>
      <c r="AA122" s="21">
        <f>EXP(-LN(2)/25)*AA121+(1-EXP(-LN(2)/25))/(LN(2)/25)*Calculateur!V122*Calculateur!X122*VLOOKUP('Données projet'!$B$9,Paramètres!$A$1:$I$89,3,0)*0.475*44/12</f>
        <v>3.2863239673670579</v>
      </c>
      <c r="AB122" s="21">
        <f>EXP(-LN(2)/2)*AB121+(1-EXP(-LN(2)/2))/(LN(2)/2)*V122*Y122*VLOOKUP('Données projet'!$B$9,Paramètres!$A$1:$I$89,3,0)*0.475*44/12</f>
        <v>1.4659645842041089E-12</v>
      </c>
      <c r="AC122" s="22">
        <f t="shared" si="57"/>
        <v>5.2460014861585176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-5.3205440053716299E-14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252.98248842635206</v>
      </c>
      <c r="AO122" s="59">
        <f t="shared" si="90"/>
        <v>207.11938580878308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0.5379021814034185</v>
      </c>
      <c r="AV122" s="21">
        <f>EXP(-LN(2)/25)*AV121+(1-EXP(-LN(2)/25))/(LN(2)/25)*Calculateur!AQ122*Calculateur!AS122*VLOOKUP('Données projet'!$B$10,Paramètres!$A$1:$I$89,3,0)*0.475*44/12</f>
        <v>0.66604730854613392</v>
      </c>
      <c r="AW122" s="21">
        <f>EXP(-LN(2)/2)*AW121+(1-EXP(-LN(2)/2))/(LN(2)/2)*AQ122*AT122*VLOOKUP('Données projet'!$B$10,Paramètres!$A$1:$I$89,3,0)*0.475*44/12</f>
        <v>3.9519810929051443E-13</v>
      </c>
      <c r="AX122" s="21">
        <f t="shared" si="60"/>
        <v>1.2039494899499477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2.8</v>
      </c>
      <c r="BD122" s="12">
        <f>IF('Données projet'!$A$88&gt;35,BD121+BC122-BL121,IF(A122&lt;'Données projet'!$A$88,$BA$205^A122,IF(A122='Données projet'!$A$88,'Données projet'!$B$88,BD121+BC122-BL121)))</f>
        <v>231.20000000000002</v>
      </c>
      <c r="BE122" s="13">
        <f>BD122*VLOOKUP('Données projet'!$B$11,Paramètres!$A$1:$I$89,3,0)*VLOOKUP('Données projet'!$B$11,Paramètres!$A$1:$I$89,5,0)</f>
        <v>151.48223999999999</v>
      </c>
      <c r="BF122" s="13">
        <f t="shared" si="91"/>
        <v>38.915236966075291</v>
      </c>
      <c r="BG122" s="20">
        <f t="shared" si="61"/>
        <v>331.60893904924779</v>
      </c>
      <c r="BH122" s="59">
        <f t="shared" si="62"/>
        <v>624.94227238258111</v>
      </c>
      <c r="BI122" s="59">
        <f ca="1">AVERAGE(OFFSET($BH$3,0,0,'Données projet'!$E$11+1,1))-AVERAGE(OFFSET($H$3,0,0,'Données projet'!$E$11+1,1))</f>
        <v>114.23168847330004</v>
      </c>
      <c r="BJ122" s="59">
        <f t="shared" si="92"/>
        <v>42.34857998136755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2.8</v>
      </c>
      <c r="BY122" s="12">
        <f>IF('Données projet'!$A$114&gt;35,BY121+BX122-CG121,IF(A122&lt;'Données projet'!$A$114,$BV$205^A122,IF(A122='Données projet'!$A$114,'Données projet'!$B$114,BY121+BX122-CG121)))</f>
        <v>231.20000000000002</v>
      </c>
      <c r="BZ122" s="13">
        <f>BY122*VLOOKUP('Données projet'!$B$12,Paramètres!$A$1:$I$89,3,0)*VLOOKUP('Données projet'!$B$12,Paramètres!$A$1:$I$89,5,0)</f>
        <v>223.61664000000005</v>
      </c>
      <c r="CA122" s="13">
        <f t="shared" si="93"/>
        <v>54.900197042646539</v>
      </c>
      <c r="CB122" s="20">
        <f t="shared" si="64"/>
        <v>485.08349118260935</v>
      </c>
      <c r="CC122" s="59">
        <f t="shared" si="65"/>
        <v>778.41682451594261</v>
      </c>
      <c r="CD122" s="59">
        <f ca="1">AVERAGE(OFFSET($CC$3,0,0,'Données projet'!$E$12+1,1))-AVERAGE(OFFSET($H$3,0,0,'Données projet'!$E$12+1,1))</f>
        <v>201.36664523637006</v>
      </c>
      <c r="CE122" s="59">
        <f t="shared" si="94"/>
        <v>79.394119001888555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18.139599419132242</v>
      </c>
      <c r="CM122" s="21">
        <f>EXP(-LN(2)/2)*CM121+(1-EXP(-LN(2)/2))/(LN(2)/2)*CG122*CJ122*VLOOKUP('Données projet'!$B$12,Paramètres!$A$1:$I$89,3,0)*0.475*44/12</f>
        <v>1.5845995227088876E-11</v>
      </c>
      <c r="CN122" s="22">
        <f t="shared" si="66"/>
        <v>18.139599419148087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3.7</v>
      </c>
      <c r="CT122" s="12">
        <f>IF('Données projet'!$A$140&gt;35,CT121+CS122-DB121,IF(A122&lt;'Données projet'!$A$140,$CQ$205^A122,IF(A122='Données projet'!$A$140,'Données projet'!$B$140,CT121+CS122-DB121)))</f>
        <v>298.30000000000013</v>
      </c>
      <c r="CU122" s="17">
        <f>CT122*VLOOKUP('Données projet'!$B$13,Paramètres!$A$1:$I$89,3,0)*VLOOKUP('Données projet'!$B$13,Paramètres!$A$1:$I$89,5,0)</f>
        <v>269.90184000000011</v>
      </c>
      <c r="CV122" s="13">
        <f t="shared" si="95"/>
        <v>64.82843681760346</v>
      </c>
      <c r="CW122" s="20">
        <f t="shared" si="67"/>
        <v>582.98856545732622</v>
      </c>
      <c r="CX122" s="59">
        <f t="shared" si="68"/>
        <v>876.32189879065959</v>
      </c>
      <c r="CY122" s="59">
        <f ca="1">AVERAGE(OFFSET($CX$3,0,0,'Données projet'!$E$13+1,1))-AVERAGE(OFFSET($H$3,0,0,'Données projet'!$E$13+1,1))</f>
        <v>282.08542131880455</v>
      </c>
      <c r="CZ122" s="59">
        <f t="shared" si="96"/>
        <v>174.27503468762325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30.166895274232623</v>
      </c>
      <c r="DG122" s="21">
        <f>EXP(-LN(2)/25)*DG121+(1-EXP(-LN(2)/25))/(LN(2)/25)*Calculateur!DB122*Calculateur!DD122*VLOOKUP('Données projet'!$B$13,Paramètres!$A$1:$I$89,3,0)*0.475*44/12</f>
        <v>25.816313130506625</v>
      </c>
      <c r="DH122" s="21">
        <f>EXP(-LN(2)/2)*DH121+(1-EXP(-LN(2)/2))/(LN(2)/2)*DB122*DE122*VLOOKUP('Données projet'!$B$13,Paramètres!$A$1:$I$89,3,0)*0.475*44/12</f>
        <v>2.3556600655503198E-11</v>
      </c>
      <c r="DI122" s="22">
        <f t="shared" si="69"/>
        <v>55.983208404762799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5.6843418860808015E-14</v>
      </c>
      <c r="DP122" s="17">
        <f>DO122*VLOOKUP('Données projet'!$B$14,Paramètres!$A$1:$I$89,3,0)*VLOOKUP('Données projet'!$B$14,Paramètres!$A$1:$I$89,5,0)</f>
        <v>4.6111381379887463E-14</v>
      </c>
      <c r="DQ122" s="13">
        <f t="shared" si="97"/>
        <v>7.5804141040779151E-13</v>
      </c>
      <c r="DR122" s="20">
        <f t="shared" si="70"/>
        <v>1.4005661123635408E-12</v>
      </c>
      <c r="DS122" s="59">
        <f t="shared" si="71"/>
        <v>293.33333333333474</v>
      </c>
      <c r="DT122" s="59">
        <f ca="1">AVERAGE(OFFSET($DS$3,0,0,'Données projet'!$E$14+1,1))-AVERAGE(OFFSET($H$3,0,0,'Données projet'!$E$14+1,1))</f>
        <v>235.31102883830971</v>
      </c>
      <c r="DU122" s="59">
        <f t="shared" si="98"/>
        <v>271.48630853790422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26.190261247042219</v>
      </c>
      <c r="EB122" s="21">
        <f>EXP(-LN(2)/25)*EB121+(1-EXP(-LN(2)/25))/(LN(2)/25)*Calculateur!DW122*Calculateur!DY122*VLOOKUP('Données projet'!$B$14,Paramètres!$A$1:$I$89,3,0)*0.475*44/12</f>
        <v>26.469809746235747</v>
      </c>
      <c r="EC122" s="21">
        <f>EXP(-LN(2)/2)*EC121+(1-EXP(-LN(2)/2))/(LN(2)/2)*DW122*DZ122*VLOOKUP('Données projet'!$B$14,Paramètres!$A$1:$I$89,3,0)*0.475*44/12</f>
        <v>2.8426238749670369E-11</v>
      </c>
      <c r="ED122" s="22">
        <f t="shared" si="72"/>
        <v>52.660070993306398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-1.2505552149377763E-12</v>
      </c>
      <c r="O123" s="13">
        <f>N123*VLOOKUP('Données projet'!$B$9,Paramètres!$A$1:$I$89,3,0)*VLOOKUP('Données projet'!$B$9,Paramètres!$A$1:$I$89,5,0)</f>
        <v>-6.9906036515021697E-13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446.28010102877403</v>
      </c>
      <c r="T123" s="59">
        <f t="shared" si="88"/>
        <v>445.84011537290456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1.9212494379317835</v>
      </c>
      <c r="AA123" s="21">
        <f>EXP(-LN(2)/25)*AA122+(1-EXP(-LN(2)/25))/(LN(2)/25)*Calculateur!V123*Calculateur!X123*VLOOKUP('Données projet'!$B$9,Paramètres!$A$1:$I$89,3,0)*0.475*44/12</f>
        <v>3.1964592656591391</v>
      </c>
      <c r="AB123" s="21">
        <f>EXP(-LN(2)/2)*AB122+(1-EXP(-LN(2)/2))/(LN(2)/2)*V123*Y123*VLOOKUP('Données projet'!$B$9,Paramètres!$A$1:$I$89,3,0)*0.475*44/12</f>
        <v>1.036593498470043E-12</v>
      </c>
      <c r="AC123" s="22">
        <f t="shared" si="57"/>
        <v>5.1177087035919593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-5.3205440053716299E-14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252.98248842635206</v>
      </c>
      <c r="AO123" s="59">
        <f t="shared" si="90"/>
        <v>207.11938580878308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0.52735424771403216</v>
      </c>
      <c r="AV123" s="21">
        <f>EXP(-LN(2)/25)*AV122+(1-EXP(-LN(2)/25))/(LN(2)/25)*Calculateur!AQ123*Calculateur!AS123*VLOOKUP('Données projet'!$B$10,Paramètres!$A$1:$I$89,3,0)*0.475*44/12</f>
        <v>0.64783420986803419</v>
      </c>
      <c r="AW123" s="21">
        <f>EXP(-LN(2)/2)*AW122+(1-EXP(-LN(2)/2))/(LN(2)/2)*AQ123*AT123*VLOOKUP('Données projet'!$B$10,Paramètres!$A$1:$I$89,3,0)*0.475*44/12</f>
        <v>2.7944726299142507E-13</v>
      </c>
      <c r="AX123" s="21">
        <f t="shared" si="60"/>
        <v>1.1751884575823459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234</v>
      </c>
      <c r="BB123" s="12">
        <f>VLOOKUP(A123,'Données projet'!$A$87:$I$107,9,0)</f>
        <v>2.8</v>
      </c>
      <c r="BC123" s="12">
        <f t="array" ref="BC123">INDEX(BB:BB,MIN(IF(ISNUMBER(BB123:BB319),ROW(BB123:BB319),"")))</f>
        <v>2.8</v>
      </c>
      <c r="BD123" s="12">
        <f>IF('Données projet'!$A$88&gt;35,BD122+BC123-BL122,IF(A123&lt;'Données projet'!$A$88,$BA$205^A123,IF(A123='Données projet'!$A$88,'Données projet'!$B$88,BD122+BC123-BL122)))</f>
        <v>234.00000000000003</v>
      </c>
      <c r="BE123" s="13">
        <f>BD123*VLOOKUP('Données projet'!$B$11,Paramètres!$A$1:$I$89,3,0)*VLOOKUP('Données projet'!$B$11,Paramètres!$A$1:$I$89,5,0)</f>
        <v>153.31680000000003</v>
      </c>
      <c r="BF123" s="13">
        <f t="shared" si="91"/>
        <v>39.331378191752755</v>
      </c>
      <c r="BG123" s="20">
        <f t="shared" si="61"/>
        <v>335.52891035063607</v>
      </c>
      <c r="BH123" s="59">
        <f t="shared" si="62"/>
        <v>628.86224368396938</v>
      </c>
      <c r="BI123" s="59">
        <f ca="1">AVERAGE(OFFSET($BH$3,0,0,'Données projet'!$E$11+1,1))-AVERAGE(OFFSET($H$3,0,0,'Données projet'!$E$11+1,1))</f>
        <v>114.23168847330004</v>
      </c>
      <c r="BJ123" s="59">
        <f t="shared" si="92"/>
        <v>42.34857998136755</v>
      </c>
      <c r="BK123" s="15">
        <f>IF(ISNA(VLOOKUP(A123,'Données projet'!$A$87:$I$107,3,0)),0,VLOOKUP(A123,'Données projet'!$A$87:$I$107,3,0))</f>
        <v>9</v>
      </c>
      <c r="BL123" s="15">
        <f>IF(ISNA(VLOOKUP(A123,'Données projet'!$A$87:$I$107,4,0)),0,VLOOKUP(A123,'Données projet'!$A$87:$I$107,4,0))</f>
        <v>234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234</v>
      </c>
      <c r="BW123" s="12">
        <f>VLOOKUP(A123,'Données projet'!$A$113:$I$133,9,0)</f>
        <v>2.8</v>
      </c>
      <c r="BX123" s="12">
        <f t="array" ref="BX123">INDEX(BW:BW,MIN(IF(ISNUMBER(BW123:BW319),ROW(BW123:BW319),"")))</f>
        <v>2.8</v>
      </c>
      <c r="BY123" s="12">
        <f>IF('Données projet'!$A$114&gt;35,BY122+BX123-CG122,IF(A123&lt;'Données projet'!$A$114,$BV$205^A123,IF(A123='Données projet'!$A$114,'Données projet'!$B$114,BY122+BX123-CG122)))</f>
        <v>234.00000000000003</v>
      </c>
      <c r="BZ123" s="13">
        <f>BY123*VLOOKUP('Données projet'!$B$12,Paramètres!$A$1:$I$89,3,0)*VLOOKUP('Données projet'!$B$12,Paramètres!$A$1:$I$89,5,0)</f>
        <v>226.32480000000004</v>
      </c>
      <c r="CA123" s="13">
        <f t="shared" si="93"/>
        <v>55.48727390683672</v>
      </c>
      <c r="CB123" s="20">
        <f t="shared" si="64"/>
        <v>490.82269538774068</v>
      </c>
      <c r="CC123" s="59">
        <f t="shared" si="65"/>
        <v>784.15602872107399</v>
      </c>
      <c r="CD123" s="59">
        <f ca="1">AVERAGE(OFFSET($CC$3,0,0,'Données projet'!$E$12+1,1))-AVERAGE(OFFSET($H$3,0,0,'Données projet'!$E$12+1,1))</f>
        <v>201.36664523637006</v>
      </c>
      <c r="CE123" s="59">
        <f t="shared" si="94"/>
        <v>79.394119001888555</v>
      </c>
      <c r="CF123" s="15">
        <f>IF(ISNA(VLOOKUP(A123,'Données projet'!$A$113:$I$133,3,0)),0,VLOOKUP(A123,'Données projet'!$A$113:$I$133,3,0))</f>
        <v>9</v>
      </c>
      <c r="CG123" s="15">
        <f>IF(ISNA(VLOOKUP(A123,'Données projet'!$A$113:$I$133,4,0)),0,VLOOKUP(A123,'Données projet'!$A$113:$I$133,4,0))</f>
        <v>234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17.643571119095995</v>
      </c>
      <c r="CM123" s="21">
        <f>EXP(-LN(2)/2)*CM122+(1-EXP(-LN(2)/2))/(LN(2)/2)*CG123*CJ123*VLOOKUP('Données projet'!$B$12,Paramètres!$A$1:$I$89,3,0)*0.475*44/12</f>
        <v>1.1204810679724211E-11</v>
      </c>
      <c r="CN123" s="22">
        <f t="shared" si="66"/>
        <v>17.6435711191072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302</v>
      </c>
      <c r="CR123" s="12">
        <f>VLOOKUP(A123,'Données projet'!$A$139:$I$159,9,0)</f>
        <v>3.7</v>
      </c>
      <c r="CS123" s="12">
        <f t="array" ref="CS123">INDEX(CR:CR,MIN(IF(ISNUMBER(CR123:CR319),ROW(CR123:CR319),"")))</f>
        <v>3.7</v>
      </c>
      <c r="CT123" s="12">
        <f>IF('Données projet'!$A$140&gt;35,CT122+CS123-DB122,IF(A123&lt;'Données projet'!$A$140,$CQ$205^A123,IF(A123='Données projet'!$A$140,'Données projet'!$B$140,CT122+CS123-DB122)))</f>
        <v>302.00000000000011</v>
      </c>
      <c r="CU123" s="17">
        <f>CT123*VLOOKUP('Données projet'!$B$13,Paramètres!$A$1:$I$89,3,0)*VLOOKUP('Données projet'!$B$13,Paramètres!$A$1:$I$89,5,0)</f>
        <v>273.2496000000001</v>
      </c>
      <c r="CV123" s="13">
        <f t="shared" si="95"/>
        <v>65.538435495514378</v>
      </c>
      <c r="CW123" s="20">
        <f t="shared" si="67"/>
        <v>590.05582848802101</v>
      </c>
      <c r="CX123" s="59">
        <f t="shared" si="68"/>
        <v>883.38916182135426</v>
      </c>
      <c r="CY123" s="59">
        <f ca="1">AVERAGE(OFFSET($CX$3,0,0,'Données projet'!$E$13+1,1))-AVERAGE(OFFSET($H$3,0,0,'Données projet'!$E$13+1,1))</f>
        <v>282.08542131880455</v>
      </c>
      <c r="CZ123" s="59">
        <f t="shared" si="96"/>
        <v>174.27503468762325</v>
      </c>
      <c r="DA123" s="15">
        <f>IF(ISNA(VLOOKUP(A123,'Données projet'!$A$139:$I$159,3,0)),0,VLOOKUP(A123,'Données projet'!$A$139:$I$159,3,0))</f>
        <v>11</v>
      </c>
      <c r="DB123" s="15">
        <f>IF(ISNA(VLOOKUP(A123,'Données projet'!$A$139:$I$159,4,0)),0,VLOOKUP(A123,'Données projet'!$A$139:$I$159,4,0))</f>
        <v>302</v>
      </c>
      <c r="DC123" s="16">
        <f>IF(ISNA(VLOOKUP(A123,'Données projet'!$A$139:$I$159,5,0)),0%,VLOOKUP(A123,'Données projet'!$A$139:$I$159,5,0)*VLOOKUP('Données projet'!$B$13,Paramètres!$A$1:$I$89,7,0))</f>
        <v>0.27950000000000003</v>
      </c>
      <c r="DD123" s="16">
        <f>IF(ISNA(VLOOKUP(A123,'Données projet'!$A$139:$I$159,6,0)),0%,VLOOKUP(A123,'Données projet'!$A$139:$I$159,6,0)*VLOOKUP('Données projet'!$B$13,Paramètres!$A$1:$I$89,7,0))</f>
        <v>0.15049999999999999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114.00372111376809</v>
      </c>
      <c r="DG123" s="21">
        <f>EXP(-LN(2)/25)*DG122+(1-EXP(-LN(2)/25))/(LN(2)/25)*Calculateur!DB123*Calculateur!DD123*VLOOKUP('Données projet'!$B$13,Paramètres!$A$1:$I$89,3,0)*0.475*44/12</f>
        <v>70.392801218909014</v>
      </c>
      <c r="DH123" s="21">
        <f>EXP(-LN(2)/2)*DH122+(1-EXP(-LN(2)/2))/(LN(2)/2)*DB123*DE123*VLOOKUP('Données projet'!$B$13,Paramètres!$A$1:$I$89,3,0)*0.475*44/12</f>
        <v>1.6657032065209782E-11</v>
      </c>
      <c r="DI123" s="22">
        <f t="shared" si="69"/>
        <v>184.39652233269376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5.6843418860808015E-14</v>
      </c>
      <c r="DP123" s="17">
        <f>DO123*VLOOKUP('Données projet'!$B$14,Paramètres!$A$1:$I$89,3,0)*VLOOKUP('Données projet'!$B$14,Paramètres!$A$1:$I$89,5,0)</f>
        <v>4.6111381379887463E-14</v>
      </c>
      <c r="DQ123" s="13">
        <f t="shared" si="97"/>
        <v>7.5804141040779151E-13</v>
      </c>
      <c r="DR123" s="20">
        <f t="shared" si="70"/>
        <v>1.4005661123635408E-12</v>
      </c>
      <c r="DS123" s="59">
        <f t="shared" si="71"/>
        <v>293.33333333333474</v>
      </c>
      <c r="DT123" s="59">
        <f ca="1">AVERAGE(OFFSET($DS$3,0,0,'Données projet'!$E$14+1,1))-AVERAGE(OFFSET($H$3,0,0,'Données projet'!$E$14+1,1))</f>
        <v>235.31102883830971</v>
      </c>
      <c r="DU123" s="59">
        <f t="shared" si="98"/>
        <v>271.48630853790422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25.676686198469731</v>
      </c>
      <c r="EB123" s="21">
        <f>EXP(-LN(2)/25)*EB122+(1-EXP(-LN(2)/25))/(LN(2)/25)*Calculateur!DW123*Calculateur!DY123*VLOOKUP('Données projet'!$B$14,Paramètres!$A$1:$I$89,3,0)*0.475*44/12</f>
        <v>25.745991406738135</v>
      </c>
      <c r="EC123" s="21">
        <f>EXP(-LN(2)/2)*EC122+(1-EXP(-LN(2)/2))/(LN(2)/2)*DW123*DZ123*VLOOKUP('Données projet'!$B$14,Paramètres!$A$1:$I$89,3,0)*0.475*44/12</f>
        <v>2.0100386183519726E-11</v>
      </c>
      <c r="ED123" s="22">
        <f t="shared" si="72"/>
        <v>51.422677605227967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-1.2505552149377763E-12</v>
      </c>
      <c r="O124" s="13">
        <f>N124*VLOOKUP('Données projet'!$B$9,Paramètres!$A$1:$I$89,3,0)*VLOOKUP('Données projet'!$B$9,Paramètres!$A$1:$I$89,5,0)</f>
        <v>-6.9906036515021697E-13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446.28010102877403</v>
      </c>
      <c r="T124" s="59">
        <f t="shared" si="88"/>
        <v>445.84011537290456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1.8835749083003881</v>
      </c>
      <c r="AA124" s="21">
        <f>EXP(-LN(2)/25)*AA123+(1-EXP(-LN(2)/25))/(LN(2)/25)*Calculateur!V124*Calculateur!X124*VLOOKUP('Données projet'!$B$9,Paramètres!$A$1:$I$89,3,0)*0.475*44/12</f>
        <v>3.1090519189452026</v>
      </c>
      <c r="AB124" s="21">
        <f>EXP(-LN(2)/2)*AB123+(1-EXP(-LN(2)/2))/(LN(2)/2)*V124*Y124*VLOOKUP('Données projet'!$B$9,Paramètres!$A$1:$I$89,3,0)*0.475*44/12</f>
        <v>7.3298229210205446E-13</v>
      </c>
      <c r="AC124" s="22">
        <f t="shared" si="57"/>
        <v>4.9926268272463235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-5.3205440053716299E-14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252.98248842635206</v>
      </c>
      <c r="AO124" s="59">
        <f t="shared" si="90"/>
        <v>207.11938580878308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0.51701315257069036</v>
      </c>
      <c r="AV124" s="21">
        <f>EXP(-LN(2)/25)*AV123+(1-EXP(-LN(2)/25))/(LN(2)/25)*Calculateur!AQ124*Calculateur!AS124*VLOOKUP('Données projet'!$B$10,Paramètres!$A$1:$I$89,3,0)*0.475*44/12</f>
        <v>0.63011914933107238</v>
      </c>
      <c r="AW124" s="21">
        <f>EXP(-LN(2)/2)*AW123+(1-EXP(-LN(2)/2))/(LN(2)/2)*AQ124*AT124*VLOOKUP('Données projet'!$B$10,Paramètres!$A$1:$I$89,3,0)*0.475*44/12</f>
        <v>1.9759905464525721E-13</v>
      </c>
      <c r="AX124" s="21">
        <f t="shared" si="60"/>
        <v>1.1471323019019604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2.8421709430404007E-14</v>
      </c>
      <c r="BE124" s="13">
        <f>BD124*VLOOKUP('Données projet'!$B$11,Paramètres!$A$1:$I$89,3,0)*VLOOKUP('Données projet'!$B$11,Paramètres!$A$1:$I$89,5,0)</f>
        <v>1.8621904018800706E-14</v>
      </c>
      <c r="BF124" s="13">
        <f t="shared" si="91"/>
        <v>3.40208645124969E-13</v>
      </c>
      <c r="BG124" s="20">
        <f t="shared" si="61"/>
        <v>6.2496320642539887E-13</v>
      </c>
      <c r="BH124" s="59">
        <f t="shared" si="62"/>
        <v>293.33333333333394</v>
      </c>
      <c r="BI124" s="59">
        <f ca="1">AVERAGE(OFFSET($BH$3,0,0,'Données projet'!$E$11+1,1))-AVERAGE(OFFSET($H$3,0,0,'Données projet'!$E$11+1,1))</f>
        <v>114.23168847330004</v>
      </c>
      <c r="BJ124" s="59">
        <f t="shared" si="92"/>
        <v>42.34857998136755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2.8421709430404007E-14</v>
      </c>
      <c r="BZ124" s="13">
        <f>BY124*VLOOKUP('Données projet'!$B$12,Paramètres!$A$1:$I$89,3,0)*VLOOKUP('Données projet'!$B$12,Paramètres!$A$1:$I$89,5,0)</f>
        <v>2.7489477361086758E-14</v>
      </c>
      <c r="CA124" s="13">
        <f t="shared" si="93"/>
        <v>4.7995394886724981E-13</v>
      </c>
      <c r="CB124" s="20">
        <f t="shared" si="64"/>
        <v>8.8379730068101964E-13</v>
      </c>
      <c r="CC124" s="59">
        <f t="shared" si="65"/>
        <v>293.33333333333422</v>
      </c>
      <c r="CD124" s="59">
        <f ca="1">AVERAGE(OFFSET($CC$3,0,0,'Données projet'!$E$12+1,1))-AVERAGE(OFFSET($H$3,0,0,'Données projet'!$E$12+1,1))</f>
        <v>201.36664523637006</v>
      </c>
      <c r="CE124" s="59">
        <f t="shared" si="94"/>
        <v>79.394119001888555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17.161106739009234</v>
      </c>
      <c r="CM124" s="21">
        <f>EXP(-LN(2)/2)*CM123+(1-EXP(-LN(2)/2))/(LN(2)/2)*CG124*CJ124*VLOOKUP('Données projet'!$B$12,Paramètres!$A$1:$I$89,3,0)*0.475*44/12</f>
        <v>7.9229976135444382E-12</v>
      </c>
      <c r="CN124" s="22">
        <f t="shared" si="66"/>
        <v>17.161106739017157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1.1368683772161603E-13</v>
      </c>
      <c r="CU124" s="17">
        <f>CT124*VLOOKUP('Données projet'!$B$13,Paramètres!$A$1:$I$89,3,0)*VLOOKUP('Données projet'!$B$13,Paramètres!$A$1:$I$89,5,0)</f>
        <v>1.0286385077051818E-13</v>
      </c>
      <c r="CV124" s="13">
        <f t="shared" si="95"/>
        <v>1.5402366592183556E-12</v>
      </c>
      <c r="CW124" s="20">
        <f t="shared" si="67"/>
        <v>2.8617333882306215E-12</v>
      </c>
      <c r="CX124" s="59">
        <f t="shared" si="68"/>
        <v>293.33333333333616</v>
      </c>
      <c r="CY124" s="59">
        <f ca="1">AVERAGE(OFFSET($CX$3,0,0,'Données projet'!$E$13+1,1))-AVERAGE(OFFSET($H$3,0,0,'Données projet'!$E$13+1,1))</f>
        <v>282.08542131880455</v>
      </c>
      <c r="CZ124" s="59">
        <f t="shared" si="96"/>
        <v>174.27503468762325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111.76817767813093</v>
      </c>
      <c r="DG124" s="21">
        <f>EXP(-LN(2)/25)*DG123+(1-EXP(-LN(2)/25))/(LN(2)/25)*Calculateur!DB124*Calculateur!DD124*VLOOKUP('Données projet'!$B$13,Paramètres!$A$1:$I$89,3,0)*0.475*44/12</f>
        <v>68.46790636778141</v>
      </c>
      <c r="DH124" s="21">
        <f>EXP(-LN(2)/2)*DH123+(1-EXP(-LN(2)/2))/(LN(2)/2)*DB124*DE124*VLOOKUP('Données projet'!$B$13,Paramètres!$A$1:$I$89,3,0)*0.475*44/12</f>
        <v>1.1778300327751599E-11</v>
      </c>
      <c r="DI124" s="22">
        <f t="shared" si="69"/>
        <v>180.23608404592409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5.6843418860808015E-14</v>
      </c>
      <c r="DP124" s="17">
        <f>DO124*VLOOKUP('Données projet'!$B$14,Paramètres!$A$1:$I$89,3,0)*VLOOKUP('Données projet'!$B$14,Paramètres!$A$1:$I$89,5,0)</f>
        <v>4.6111381379887463E-14</v>
      </c>
      <c r="DQ124" s="13">
        <f t="shared" si="97"/>
        <v>7.5804141040779151E-13</v>
      </c>
      <c r="DR124" s="20">
        <f t="shared" si="70"/>
        <v>1.4005661123635408E-12</v>
      </c>
      <c r="DS124" s="59">
        <f t="shared" si="71"/>
        <v>293.33333333333474</v>
      </c>
      <c r="DT124" s="59">
        <f ca="1">AVERAGE(OFFSET($DS$3,0,0,'Données projet'!$E$14+1,1))-AVERAGE(OFFSET($H$3,0,0,'Données projet'!$E$14+1,1))</f>
        <v>235.31102883830971</v>
      </c>
      <c r="DU124" s="59">
        <f t="shared" si="98"/>
        <v>271.48630853790422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25.173182043349904</v>
      </c>
      <c r="EB124" s="21">
        <f>EXP(-LN(2)/25)*EB123+(1-EXP(-LN(2)/25))/(LN(2)/25)*Calculateur!DW124*Calculateur!DY124*VLOOKUP('Données projet'!$B$14,Paramètres!$A$1:$I$89,3,0)*0.475*44/12</f>
        <v>25.041965917798034</v>
      </c>
      <c r="EC124" s="21">
        <f>EXP(-LN(2)/2)*EC123+(1-EXP(-LN(2)/2))/(LN(2)/2)*DW124*DZ124*VLOOKUP('Données projet'!$B$14,Paramètres!$A$1:$I$89,3,0)*0.475*44/12</f>
        <v>1.4213119374835186E-11</v>
      </c>
      <c r="ED124" s="22">
        <f t="shared" si="72"/>
        <v>50.215147961162145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-1.2505552149377763E-12</v>
      </c>
      <c r="O125" s="13">
        <f>N125*VLOOKUP('Données projet'!$B$9,Paramètres!$A$1:$I$89,3,0)*VLOOKUP('Données projet'!$B$9,Paramètres!$A$1:$I$89,5,0)</f>
        <v>-6.9906036515021697E-13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446.28010102877403</v>
      </c>
      <c r="T125" s="59">
        <f t="shared" si="88"/>
        <v>445.84011537290456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1.8466391532158704</v>
      </c>
      <c r="AA125" s="21">
        <f>EXP(-LN(2)/25)*AA124+(1-EXP(-LN(2)/25))/(LN(2)/25)*Calculateur!V125*Calculateur!X125*VLOOKUP('Données projet'!$B$9,Paramètres!$A$1:$I$89,3,0)*0.475*44/12</f>
        <v>3.0240347307237117</v>
      </c>
      <c r="AB125" s="21">
        <f>EXP(-LN(2)/2)*AB124+(1-EXP(-LN(2)/2))/(LN(2)/2)*V125*Y125*VLOOKUP('Données projet'!$B$9,Paramètres!$A$1:$I$89,3,0)*0.475*44/12</f>
        <v>5.1829674923502148E-13</v>
      </c>
      <c r="AC125" s="22">
        <f t="shared" si="57"/>
        <v>4.8706738839401007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-5.3205440053716299E-14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252.98248842635206</v>
      </c>
      <c r="AO125" s="59">
        <f t="shared" si="90"/>
        <v>207.11938580878308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0.50687483999566429</v>
      </c>
      <c r="AV125" s="21">
        <f>EXP(-LN(2)/25)*AV124+(1-EXP(-LN(2)/25))/(LN(2)/25)*Calculateur!AQ125*Calculateur!AS125*VLOOKUP('Données projet'!$B$10,Paramètres!$A$1:$I$89,3,0)*0.475*44/12</f>
        <v>0.6128885080560883</v>
      </c>
      <c r="AW125" s="21">
        <f>EXP(-LN(2)/2)*AW124+(1-EXP(-LN(2)/2))/(LN(2)/2)*AQ125*AT125*VLOOKUP('Données projet'!$B$10,Paramètres!$A$1:$I$89,3,0)*0.475*44/12</f>
        <v>1.3972363149571254E-13</v>
      </c>
      <c r="AX125" s="21">
        <f t="shared" si="60"/>
        <v>1.1197633480518923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2.8421709430404007E-14</v>
      </c>
      <c r="BE125" s="13">
        <f>BD125*VLOOKUP('Données projet'!$B$11,Paramètres!$A$1:$I$89,3,0)*VLOOKUP('Données projet'!$B$11,Paramètres!$A$1:$I$89,5,0)</f>
        <v>1.8621904018800706E-14</v>
      </c>
      <c r="BF125" s="13">
        <f t="shared" si="91"/>
        <v>3.40208645124969E-13</v>
      </c>
      <c r="BG125" s="20">
        <f t="shared" si="61"/>
        <v>6.2496320642539887E-13</v>
      </c>
      <c r="BH125" s="59">
        <f t="shared" si="62"/>
        <v>293.33333333333394</v>
      </c>
      <c r="BI125" s="59">
        <f ca="1">AVERAGE(OFFSET($BH$3,0,0,'Données projet'!$E$11+1,1))-AVERAGE(OFFSET($H$3,0,0,'Données projet'!$E$11+1,1))</f>
        <v>114.23168847330004</v>
      </c>
      <c r="BJ125" s="59">
        <f t="shared" si="92"/>
        <v>42.34857998136755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2.8421709430404007E-14</v>
      </c>
      <c r="BZ125" s="13">
        <f>BY125*VLOOKUP('Données projet'!$B$12,Paramètres!$A$1:$I$89,3,0)*VLOOKUP('Données projet'!$B$12,Paramètres!$A$1:$I$89,5,0)</f>
        <v>2.7489477361086758E-14</v>
      </c>
      <c r="CA125" s="13">
        <f t="shared" si="93"/>
        <v>4.7995394886724981E-13</v>
      </c>
      <c r="CB125" s="20">
        <f t="shared" si="64"/>
        <v>8.8379730068101964E-13</v>
      </c>
      <c r="CC125" s="59">
        <f t="shared" si="65"/>
        <v>293.33333333333422</v>
      </c>
      <c r="CD125" s="59">
        <f ca="1">AVERAGE(OFFSET($CC$3,0,0,'Données projet'!$E$12+1,1))-AVERAGE(OFFSET($H$3,0,0,'Données projet'!$E$12+1,1))</f>
        <v>201.36664523637006</v>
      </c>
      <c r="CE125" s="59">
        <f t="shared" si="94"/>
        <v>79.394119001888555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16.691835372767645</v>
      </c>
      <c r="CM125" s="21">
        <f>EXP(-LN(2)/2)*CM124+(1-EXP(-LN(2)/2))/(LN(2)/2)*CG125*CJ125*VLOOKUP('Données projet'!$B$12,Paramètres!$A$1:$I$89,3,0)*0.475*44/12</f>
        <v>5.6024053398621054E-12</v>
      </c>
      <c r="CN125" s="22">
        <f t="shared" si="66"/>
        <v>16.691835372773248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1.1368683772161603E-13</v>
      </c>
      <c r="CU125" s="17">
        <f>CT125*VLOOKUP('Données projet'!$B$13,Paramètres!$A$1:$I$89,3,0)*VLOOKUP('Données projet'!$B$13,Paramètres!$A$1:$I$89,5,0)</f>
        <v>1.0286385077051818E-13</v>
      </c>
      <c r="CV125" s="13">
        <f t="shared" si="95"/>
        <v>1.5402366592183556E-12</v>
      </c>
      <c r="CW125" s="20">
        <f t="shared" si="67"/>
        <v>2.8617333882306215E-12</v>
      </c>
      <c r="CX125" s="59">
        <f t="shared" si="68"/>
        <v>293.33333333333616</v>
      </c>
      <c r="CY125" s="59">
        <f ca="1">AVERAGE(OFFSET($CX$3,0,0,'Données projet'!$E$13+1,1))-AVERAGE(OFFSET($H$3,0,0,'Données projet'!$E$13+1,1))</f>
        <v>282.08542131880455</v>
      </c>
      <c r="CZ125" s="59">
        <f t="shared" si="96"/>
        <v>174.27503468762325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109.57647188571976</v>
      </c>
      <c r="DG125" s="21">
        <f>EXP(-LN(2)/25)*DG124+(1-EXP(-LN(2)/25))/(LN(2)/25)*Calculateur!DB125*Calculateur!DD125*VLOOKUP('Données projet'!$B$13,Paramètres!$A$1:$I$89,3,0)*0.475*44/12</f>
        <v>66.595647867583722</v>
      </c>
      <c r="DH125" s="21">
        <f>EXP(-LN(2)/2)*DH124+(1-EXP(-LN(2)/2))/(LN(2)/2)*DB125*DE125*VLOOKUP('Données projet'!$B$13,Paramètres!$A$1:$I$89,3,0)*0.475*44/12</f>
        <v>8.3285160326048908E-12</v>
      </c>
      <c r="DI125" s="22">
        <f t="shared" si="69"/>
        <v>176.17211975331182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5.6843418860808015E-14</v>
      </c>
      <c r="DP125" s="17">
        <f>DO125*VLOOKUP('Données projet'!$B$14,Paramètres!$A$1:$I$89,3,0)*VLOOKUP('Données projet'!$B$14,Paramètres!$A$1:$I$89,5,0)</f>
        <v>4.6111381379887463E-14</v>
      </c>
      <c r="DQ125" s="13">
        <f t="shared" si="97"/>
        <v>7.5804141040779151E-13</v>
      </c>
      <c r="DR125" s="20">
        <f t="shared" si="70"/>
        <v>1.4005661123635408E-12</v>
      </c>
      <c r="DS125" s="59">
        <f t="shared" si="71"/>
        <v>293.33333333333474</v>
      </c>
      <c r="DT125" s="59">
        <f ca="1">AVERAGE(OFFSET($DS$3,0,0,'Données projet'!$E$14+1,1))-AVERAGE(OFFSET($H$3,0,0,'Données projet'!$E$14+1,1))</f>
        <v>235.31102883830971</v>
      </c>
      <c r="DU125" s="59">
        <f t="shared" si="98"/>
        <v>271.48630853790422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24.679551297604764</v>
      </c>
      <c r="EB125" s="21">
        <f>EXP(-LN(2)/25)*EB124+(1-EXP(-LN(2)/25))/(LN(2)/25)*Calculateur!DW125*Calculateur!DY125*VLOOKUP('Données projet'!$B$14,Paramètres!$A$1:$I$89,3,0)*0.475*44/12</f>
        <v>24.357192042876093</v>
      </c>
      <c r="EC125" s="21">
        <f>EXP(-LN(2)/2)*EC124+(1-EXP(-LN(2)/2))/(LN(2)/2)*DW125*DZ125*VLOOKUP('Données projet'!$B$14,Paramètres!$A$1:$I$89,3,0)*0.475*44/12</f>
        <v>1.0050193091759864E-11</v>
      </c>
      <c r="ED125" s="22">
        <f t="shared" si="72"/>
        <v>49.036743340490901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-1.2505552149377763E-12</v>
      </c>
      <c r="O126" s="13">
        <f>N126*VLOOKUP('Données projet'!$B$9,Paramètres!$A$1:$I$89,3,0)*VLOOKUP('Données projet'!$B$9,Paramètres!$A$1:$I$89,5,0)</f>
        <v>-6.9906036515021697E-13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446.28010102877403</v>
      </c>
      <c r="T126" s="59">
        <f t="shared" si="88"/>
        <v>445.84011537290456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1.8104276857599739</v>
      </c>
      <c r="AA126" s="21">
        <f>EXP(-LN(2)/25)*AA125+(1-EXP(-LN(2)/25))/(LN(2)/25)*Calculateur!V126*Calculateur!X126*VLOOKUP('Données projet'!$B$9,Paramètres!$A$1:$I$89,3,0)*0.475*44/12</f>
        <v>2.9413423419849969</v>
      </c>
      <c r="AB126" s="21">
        <f>EXP(-LN(2)/2)*AB125+(1-EXP(-LN(2)/2))/(LN(2)/2)*V126*Y126*VLOOKUP('Données projet'!$B$9,Paramètres!$A$1:$I$89,3,0)*0.475*44/12</f>
        <v>3.6649114605102723E-13</v>
      </c>
      <c r="AC126" s="22">
        <f t="shared" si="57"/>
        <v>4.7517700277453381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-5.3205440053716299E-14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252.98248842635206</v>
      </c>
      <c r="AO126" s="59">
        <f t="shared" si="90"/>
        <v>207.11938580878308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0.4969353335464744</v>
      </c>
      <c r="AV126" s="21">
        <f>EXP(-LN(2)/25)*AV125+(1-EXP(-LN(2)/25))/(LN(2)/25)*Calculateur!AQ126*Calculateur!AS126*VLOOKUP('Données projet'!$B$10,Paramètres!$A$1:$I$89,3,0)*0.475*44/12</f>
        <v>0.59612903957288865</v>
      </c>
      <c r="AW126" s="21">
        <f>EXP(-LN(2)/2)*AW125+(1-EXP(-LN(2)/2))/(LN(2)/2)*AQ126*AT126*VLOOKUP('Données projet'!$B$10,Paramètres!$A$1:$I$89,3,0)*0.475*44/12</f>
        <v>9.8799527322628607E-14</v>
      </c>
      <c r="AX126" s="21">
        <f t="shared" si="60"/>
        <v>1.0930643731194618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2.8421709430404007E-14</v>
      </c>
      <c r="BE126" s="13">
        <f>BD126*VLOOKUP('Données projet'!$B$11,Paramètres!$A$1:$I$89,3,0)*VLOOKUP('Données projet'!$B$11,Paramètres!$A$1:$I$89,5,0)</f>
        <v>1.8621904018800706E-14</v>
      </c>
      <c r="BF126" s="13">
        <f t="shared" si="91"/>
        <v>3.40208645124969E-13</v>
      </c>
      <c r="BG126" s="20">
        <f t="shared" si="61"/>
        <v>6.2496320642539887E-13</v>
      </c>
      <c r="BH126" s="59">
        <f t="shared" si="62"/>
        <v>293.33333333333394</v>
      </c>
      <c r="BI126" s="59">
        <f ca="1">AVERAGE(OFFSET($BH$3,0,0,'Données projet'!$E$11+1,1))-AVERAGE(OFFSET($H$3,0,0,'Données projet'!$E$11+1,1))</f>
        <v>114.23168847330004</v>
      </c>
      <c r="BJ126" s="59">
        <f t="shared" si="92"/>
        <v>42.34857998136755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2.8421709430404007E-14</v>
      </c>
      <c r="BZ126" s="13">
        <f>BY126*VLOOKUP('Données projet'!$B$12,Paramètres!$A$1:$I$89,3,0)*VLOOKUP('Données projet'!$B$12,Paramètres!$A$1:$I$89,5,0)</f>
        <v>2.7489477361086758E-14</v>
      </c>
      <c r="CA126" s="13">
        <f t="shared" si="93"/>
        <v>4.7995394886724981E-13</v>
      </c>
      <c r="CB126" s="20">
        <f t="shared" si="64"/>
        <v>8.8379730068101964E-13</v>
      </c>
      <c r="CC126" s="59">
        <f t="shared" si="65"/>
        <v>293.33333333333422</v>
      </c>
      <c r="CD126" s="59">
        <f ca="1">AVERAGE(OFFSET($CC$3,0,0,'Données projet'!$E$12+1,1))-AVERAGE(OFFSET($H$3,0,0,'Données projet'!$E$12+1,1))</f>
        <v>201.36664523637006</v>
      </c>
      <c r="CE126" s="59">
        <f t="shared" si="94"/>
        <v>79.394119001888555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16.235396256713841</v>
      </c>
      <c r="CM126" s="21">
        <f>EXP(-LN(2)/2)*CM125+(1-EXP(-LN(2)/2))/(LN(2)/2)*CG126*CJ126*VLOOKUP('Données projet'!$B$12,Paramètres!$A$1:$I$89,3,0)*0.475*44/12</f>
        <v>3.9614988067722191E-12</v>
      </c>
      <c r="CN126" s="22">
        <f t="shared" si="66"/>
        <v>16.235396256717802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1.1368683772161603E-13</v>
      </c>
      <c r="CU126" s="17">
        <f>CT126*VLOOKUP('Données projet'!$B$13,Paramètres!$A$1:$I$89,3,0)*VLOOKUP('Données projet'!$B$13,Paramètres!$A$1:$I$89,5,0)</f>
        <v>1.0286385077051818E-13</v>
      </c>
      <c r="CV126" s="13">
        <f t="shared" si="95"/>
        <v>1.5402366592183556E-12</v>
      </c>
      <c r="CW126" s="20">
        <f t="shared" si="67"/>
        <v>2.8617333882306215E-12</v>
      </c>
      <c r="CX126" s="59">
        <f t="shared" si="68"/>
        <v>293.33333333333616</v>
      </c>
      <c r="CY126" s="59">
        <f ca="1">AVERAGE(OFFSET($CX$3,0,0,'Données projet'!$E$13+1,1))-AVERAGE(OFFSET($H$3,0,0,'Données projet'!$E$13+1,1))</f>
        <v>282.08542131880455</v>
      </c>
      <c r="CZ126" s="59">
        <f t="shared" si="96"/>
        <v>174.27503468762325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107.42774410708923</v>
      </c>
      <c r="DG126" s="21">
        <f>EXP(-LN(2)/25)*DG125+(1-EXP(-LN(2)/25))/(LN(2)/25)*Calculateur!DB126*Calculateur!DD126*VLOOKUP('Données projet'!$B$13,Paramètres!$A$1:$I$89,3,0)*0.475*44/12</f>
        <v>64.774586374531737</v>
      </c>
      <c r="DH126" s="21">
        <f>EXP(-LN(2)/2)*DH125+(1-EXP(-LN(2)/2))/(LN(2)/2)*DB126*DE126*VLOOKUP('Données projet'!$B$13,Paramètres!$A$1:$I$89,3,0)*0.475*44/12</f>
        <v>5.8891501638757996E-12</v>
      </c>
      <c r="DI126" s="22">
        <f t="shared" si="69"/>
        <v>172.20233048162683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5.6843418860808015E-14</v>
      </c>
      <c r="DP126" s="17">
        <f>DO126*VLOOKUP('Données projet'!$B$14,Paramètres!$A$1:$I$89,3,0)*VLOOKUP('Données projet'!$B$14,Paramètres!$A$1:$I$89,5,0)</f>
        <v>4.6111381379887463E-14</v>
      </c>
      <c r="DQ126" s="13">
        <f t="shared" si="97"/>
        <v>7.5804141040779151E-13</v>
      </c>
      <c r="DR126" s="20">
        <f t="shared" si="70"/>
        <v>1.4005661123635408E-12</v>
      </c>
      <c r="DS126" s="59">
        <f t="shared" si="71"/>
        <v>293.33333333333474</v>
      </c>
      <c r="DT126" s="59">
        <f ca="1">AVERAGE(OFFSET($DS$3,0,0,'Données projet'!$E$14+1,1))-AVERAGE(OFFSET($H$3,0,0,'Données projet'!$E$14+1,1))</f>
        <v>235.31102883830971</v>
      </c>
      <c r="DU126" s="59">
        <f t="shared" si="98"/>
        <v>271.48630853790422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24.195600349698662</v>
      </c>
      <c r="EB126" s="21">
        <f>EXP(-LN(2)/25)*EB125+(1-EXP(-LN(2)/25))/(LN(2)/25)*Calculateur!DW126*Calculateur!DY126*VLOOKUP('Données projet'!$B$14,Paramètres!$A$1:$I$89,3,0)*0.475*44/12</f>
        <v>23.691143345574584</v>
      </c>
      <c r="EC126" s="21">
        <f>EXP(-LN(2)/2)*EC125+(1-EXP(-LN(2)/2))/(LN(2)/2)*DW126*DZ126*VLOOKUP('Données projet'!$B$14,Paramètres!$A$1:$I$89,3,0)*0.475*44/12</f>
        <v>7.1065596874175947E-12</v>
      </c>
      <c r="ED126" s="22">
        <f t="shared" si="72"/>
        <v>47.886743695280352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-1.2505552149377763E-12</v>
      </c>
      <c r="O127" s="13">
        <f>N127*VLOOKUP('Données projet'!$B$9,Paramètres!$A$1:$I$89,3,0)*VLOOKUP('Données projet'!$B$9,Paramètres!$A$1:$I$89,5,0)</f>
        <v>-6.9906036515021697E-13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446.28010102877403</v>
      </c>
      <c r="T127" s="59">
        <f t="shared" si="88"/>
        <v>445.84011537290456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1.7749263030940734</v>
      </c>
      <c r="AA127" s="21">
        <f>EXP(-LN(2)/25)*AA126+(1-EXP(-LN(2)/25))/(LN(2)/25)*Calculateur!V127*Calculateur!X127*VLOOKUP('Données projet'!$B$9,Paramètres!$A$1:$I$89,3,0)*0.475*44/12</f>
        <v>2.8609111809649459</v>
      </c>
      <c r="AB127" s="21">
        <f>EXP(-LN(2)/2)*AB126+(1-EXP(-LN(2)/2))/(LN(2)/2)*V127*Y127*VLOOKUP('Données projet'!$B$9,Paramètres!$A$1:$I$89,3,0)*0.475*44/12</f>
        <v>2.5914837461751074E-13</v>
      </c>
      <c r="AC127" s="22">
        <f t="shared" si="57"/>
        <v>4.6358374840592784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-5.3205440053716299E-14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252.98248842635206</v>
      </c>
      <c r="AO127" s="59">
        <f t="shared" si="90"/>
        <v>207.11938580878308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0.4871907347562528</v>
      </c>
      <c r="AV127" s="21">
        <f>EXP(-LN(2)/25)*AV126+(1-EXP(-LN(2)/25))/(LN(2)/25)*Calculateur!AQ127*Calculateur!AS127*VLOOKUP('Données projet'!$B$10,Paramètres!$A$1:$I$89,3,0)*0.475*44/12</f>
        <v>0.57982785963670425</v>
      </c>
      <c r="AW127" s="21">
        <f>EXP(-LN(2)/2)*AW126+(1-EXP(-LN(2)/2))/(LN(2)/2)*AQ127*AT127*VLOOKUP('Données projet'!$B$10,Paramètres!$A$1:$I$89,3,0)*0.475*44/12</f>
        <v>6.9861815747856269E-14</v>
      </c>
      <c r="AX127" s="21">
        <f t="shared" si="60"/>
        <v>1.067018594393027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2.8421709430404007E-14</v>
      </c>
      <c r="BE127" s="13">
        <f>BD127*VLOOKUP('Données projet'!$B$11,Paramètres!$A$1:$I$89,3,0)*VLOOKUP('Données projet'!$B$11,Paramètres!$A$1:$I$89,5,0)</f>
        <v>1.8621904018800706E-14</v>
      </c>
      <c r="BF127" s="13">
        <f t="shared" si="91"/>
        <v>3.40208645124969E-13</v>
      </c>
      <c r="BG127" s="20">
        <f t="shared" si="61"/>
        <v>6.2496320642539887E-13</v>
      </c>
      <c r="BH127" s="59">
        <f t="shared" si="62"/>
        <v>293.33333333333394</v>
      </c>
      <c r="BI127" s="59">
        <f ca="1">AVERAGE(OFFSET($BH$3,0,0,'Données projet'!$E$11+1,1))-AVERAGE(OFFSET($H$3,0,0,'Données projet'!$E$11+1,1))</f>
        <v>114.23168847330004</v>
      </c>
      <c r="BJ127" s="59">
        <f t="shared" si="92"/>
        <v>42.34857998136755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2.8421709430404007E-14</v>
      </c>
      <c r="BZ127" s="13">
        <f>BY127*VLOOKUP('Données projet'!$B$12,Paramètres!$A$1:$I$89,3,0)*VLOOKUP('Données projet'!$B$12,Paramètres!$A$1:$I$89,5,0)</f>
        <v>2.7489477361086758E-14</v>
      </c>
      <c r="CA127" s="13">
        <f t="shared" si="93"/>
        <v>4.7995394886724981E-13</v>
      </c>
      <c r="CB127" s="20">
        <f t="shared" si="64"/>
        <v>8.8379730068101964E-13</v>
      </c>
      <c r="CC127" s="59">
        <f t="shared" si="65"/>
        <v>293.33333333333422</v>
      </c>
      <c r="CD127" s="59">
        <f ca="1">AVERAGE(OFFSET($CC$3,0,0,'Données projet'!$E$12+1,1))-AVERAGE(OFFSET($H$3,0,0,'Données projet'!$E$12+1,1))</f>
        <v>201.36664523637006</v>
      </c>
      <c r="CE127" s="59">
        <f t="shared" si="94"/>
        <v>79.394119001888555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15.791438492291618</v>
      </c>
      <c r="CM127" s="21">
        <f>EXP(-LN(2)/2)*CM126+(1-EXP(-LN(2)/2))/(LN(2)/2)*CG127*CJ127*VLOOKUP('Données projet'!$B$12,Paramètres!$A$1:$I$89,3,0)*0.475*44/12</f>
        <v>2.8012026699310527E-12</v>
      </c>
      <c r="CN127" s="22">
        <f t="shared" si="66"/>
        <v>15.79143849229442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1.1368683772161603E-13</v>
      </c>
      <c r="CU127" s="17">
        <f>CT127*VLOOKUP('Données projet'!$B$13,Paramètres!$A$1:$I$89,3,0)*VLOOKUP('Données projet'!$B$13,Paramètres!$A$1:$I$89,5,0)</f>
        <v>1.0286385077051818E-13</v>
      </c>
      <c r="CV127" s="13">
        <f t="shared" si="95"/>
        <v>1.5402366592183556E-12</v>
      </c>
      <c r="CW127" s="20">
        <f t="shared" si="67"/>
        <v>2.8617333882306215E-12</v>
      </c>
      <c r="CX127" s="59">
        <f t="shared" si="68"/>
        <v>293.33333333333616</v>
      </c>
      <c r="CY127" s="59">
        <f ca="1">AVERAGE(OFFSET($CX$3,0,0,'Données projet'!$E$13+1,1))-AVERAGE(OFFSET($H$3,0,0,'Données projet'!$E$13+1,1))</f>
        <v>282.08542131880455</v>
      </c>
      <c r="CZ127" s="59">
        <f t="shared" si="96"/>
        <v>174.27503468762325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105.3211515696031</v>
      </c>
      <c r="DG127" s="21">
        <f>EXP(-LN(2)/25)*DG126+(1-EXP(-LN(2)/25))/(LN(2)/25)*Calculateur!DB127*Calculateur!DD127*VLOOKUP('Données projet'!$B$13,Paramètres!$A$1:$I$89,3,0)*0.475*44/12</f>
        <v>63.003321903772715</v>
      </c>
      <c r="DH127" s="21">
        <f>EXP(-LN(2)/2)*DH126+(1-EXP(-LN(2)/2))/(LN(2)/2)*DB127*DE127*VLOOKUP('Données projet'!$B$13,Paramètres!$A$1:$I$89,3,0)*0.475*44/12</f>
        <v>4.1642580163024454E-12</v>
      </c>
      <c r="DI127" s="22">
        <f t="shared" si="69"/>
        <v>168.32447347337998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5.6843418860808015E-14</v>
      </c>
      <c r="DP127" s="17">
        <f>DO127*VLOOKUP('Données projet'!$B$14,Paramètres!$A$1:$I$89,3,0)*VLOOKUP('Données projet'!$B$14,Paramètres!$A$1:$I$89,5,0)</f>
        <v>4.6111381379887463E-14</v>
      </c>
      <c r="DQ127" s="13">
        <f t="shared" si="97"/>
        <v>7.5804141040779151E-13</v>
      </c>
      <c r="DR127" s="20">
        <f t="shared" si="70"/>
        <v>1.4005661123635408E-12</v>
      </c>
      <c r="DS127" s="59">
        <f t="shared" si="71"/>
        <v>293.33333333333474</v>
      </c>
      <c r="DT127" s="59">
        <f ca="1">AVERAGE(OFFSET($DS$3,0,0,'Données projet'!$E$14+1,1))-AVERAGE(OFFSET($H$3,0,0,'Données projet'!$E$14+1,1))</f>
        <v>235.31102883830971</v>
      </c>
      <c r="DU127" s="59">
        <f t="shared" si="98"/>
        <v>271.48630853790422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23.721139384700066</v>
      </c>
      <c r="EB127" s="21">
        <f>EXP(-LN(2)/25)*EB126+(1-EXP(-LN(2)/25))/(LN(2)/25)*Calculateur!DW127*Calculateur!DY127*VLOOKUP('Données projet'!$B$14,Paramètres!$A$1:$I$89,3,0)*0.475*44/12</f>
        <v>23.043307784926764</v>
      </c>
      <c r="EC127" s="21">
        <f>EXP(-LN(2)/2)*EC126+(1-EXP(-LN(2)/2))/(LN(2)/2)*DW127*DZ127*VLOOKUP('Données projet'!$B$14,Paramètres!$A$1:$I$89,3,0)*0.475*44/12</f>
        <v>5.025096545879933E-12</v>
      </c>
      <c r="ED127" s="22">
        <f t="shared" si="72"/>
        <v>46.764447169631858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-1.2505552149377763E-12</v>
      </c>
      <c r="O128" s="13">
        <f>N128*VLOOKUP('Données projet'!$B$9,Paramètres!$A$1:$I$89,3,0)*VLOOKUP('Données projet'!$B$9,Paramètres!$A$1:$I$89,5,0)</f>
        <v>-6.9906036515021697E-13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446.28010102877403</v>
      </c>
      <c r="T128" s="59">
        <f t="shared" si="88"/>
        <v>445.84011537290456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1.7401210808885459</v>
      </c>
      <c r="AA128" s="21">
        <f>EXP(-LN(2)/25)*AA127+(1-EXP(-LN(2)/25))/(LN(2)/25)*Calculateur!V128*Calculateur!X128*VLOOKUP('Données projet'!$B$9,Paramètres!$A$1:$I$89,3,0)*0.475*44/12</f>
        <v>2.7826794142726792</v>
      </c>
      <c r="AB128" s="21">
        <f>EXP(-LN(2)/2)*AB127+(1-EXP(-LN(2)/2))/(LN(2)/2)*V128*Y128*VLOOKUP('Données projet'!$B$9,Paramètres!$A$1:$I$89,3,0)*0.475*44/12</f>
        <v>1.8324557302551361E-13</v>
      </c>
      <c r="AC128" s="22">
        <f t="shared" si="57"/>
        <v>4.522800495161408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-5.3205440053716299E-14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252.98248842635206</v>
      </c>
      <c r="AO128" s="59">
        <f t="shared" si="90"/>
        <v>207.11938580878308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0.47763722160468908</v>
      </c>
      <c r="AV128" s="21">
        <f>EXP(-LN(2)/25)*AV127+(1-EXP(-LN(2)/25))/(LN(2)/25)*Calculateur!AQ128*Calculateur!AS128*VLOOKUP('Données projet'!$B$10,Paramètres!$A$1:$I$89,3,0)*0.475*44/12</f>
        <v>0.56397243632311667</v>
      </c>
      <c r="AW128" s="21">
        <f>EXP(-LN(2)/2)*AW127+(1-EXP(-LN(2)/2))/(LN(2)/2)*AQ128*AT128*VLOOKUP('Données projet'!$B$10,Paramètres!$A$1:$I$89,3,0)*0.475*44/12</f>
        <v>4.9399763661314303E-14</v>
      </c>
      <c r="AX128" s="21">
        <f t="shared" si="60"/>
        <v>1.0416096579278551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2.8421709430404007E-14</v>
      </c>
      <c r="BE128" s="13">
        <f>BD128*VLOOKUP('Données projet'!$B$11,Paramètres!$A$1:$I$89,3,0)*VLOOKUP('Données projet'!$B$11,Paramètres!$A$1:$I$89,5,0)</f>
        <v>1.8621904018800706E-14</v>
      </c>
      <c r="BF128" s="13">
        <f t="shared" si="91"/>
        <v>3.40208645124969E-13</v>
      </c>
      <c r="BG128" s="20">
        <f t="shared" si="61"/>
        <v>6.2496320642539887E-13</v>
      </c>
      <c r="BH128" s="59">
        <f t="shared" si="62"/>
        <v>293.33333333333394</v>
      </c>
      <c r="BI128" s="59">
        <f ca="1">AVERAGE(OFFSET($BH$3,0,0,'Données projet'!$E$11+1,1))-AVERAGE(OFFSET($H$3,0,0,'Données projet'!$E$11+1,1))</f>
        <v>114.23168847330004</v>
      </c>
      <c r="BJ128" s="59">
        <f t="shared" si="92"/>
        <v>42.34857998136755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2.8421709430404007E-14</v>
      </c>
      <c r="BZ128" s="13">
        <f>BY128*VLOOKUP('Données projet'!$B$12,Paramètres!$A$1:$I$89,3,0)*VLOOKUP('Données projet'!$B$12,Paramètres!$A$1:$I$89,5,0)</f>
        <v>2.7489477361086758E-14</v>
      </c>
      <c r="CA128" s="13">
        <f t="shared" si="93"/>
        <v>4.7995394886724981E-13</v>
      </c>
      <c r="CB128" s="20">
        <f t="shared" si="64"/>
        <v>8.8379730068101964E-13</v>
      </c>
      <c r="CC128" s="59">
        <f t="shared" si="65"/>
        <v>293.33333333333422</v>
      </c>
      <c r="CD128" s="59">
        <f ca="1">AVERAGE(OFFSET($CC$3,0,0,'Données projet'!$E$12+1,1))-AVERAGE(OFFSET($H$3,0,0,'Données projet'!$E$12+1,1))</f>
        <v>201.36664523637006</v>
      </c>
      <c r="CE128" s="59">
        <f t="shared" si="94"/>
        <v>79.394119001888555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15.359620776284245</v>
      </c>
      <c r="CM128" s="21">
        <f>EXP(-LN(2)/2)*CM127+(1-EXP(-LN(2)/2))/(LN(2)/2)*CG128*CJ128*VLOOKUP('Données projet'!$B$12,Paramètres!$A$1:$I$89,3,0)*0.475*44/12</f>
        <v>1.9807494033861096E-12</v>
      </c>
      <c r="CN128" s="22">
        <f t="shared" si="66"/>
        <v>15.359620776286226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1.1368683772161603E-13</v>
      </c>
      <c r="CU128" s="17">
        <f>CT128*VLOOKUP('Données projet'!$B$13,Paramètres!$A$1:$I$89,3,0)*VLOOKUP('Données projet'!$B$13,Paramètres!$A$1:$I$89,5,0)</f>
        <v>1.0286385077051818E-13</v>
      </c>
      <c r="CV128" s="13">
        <f t="shared" si="95"/>
        <v>1.5402366592183556E-12</v>
      </c>
      <c r="CW128" s="20">
        <f t="shared" si="67"/>
        <v>2.8617333882306215E-12</v>
      </c>
      <c r="CX128" s="59">
        <f t="shared" si="68"/>
        <v>293.33333333333616</v>
      </c>
      <c r="CY128" s="59">
        <f ca="1">AVERAGE(OFFSET($CX$3,0,0,'Données projet'!$E$13+1,1))-AVERAGE(OFFSET($H$3,0,0,'Données projet'!$E$13+1,1))</f>
        <v>282.08542131880455</v>
      </c>
      <c r="CZ128" s="59">
        <f t="shared" si="96"/>
        <v>174.27503468762325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103.25586802688251</v>
      </c>
      <c r="DG128" s="21">
        <f>EXP(-LN(2)/25)*DG127+(1-EXP(-LN(2)/25))/(LN(2)/25)*Calculateur!DB128*Calculateur!DD128*VLOOKUP('Données projet'!$B$13,Paramètres!$A$1:$I$89,3,0)*0.475*44/12</f>
        <v>61.28049275311335</v>
      </c>
      <c r="DH128" s="21">
        <f>EXP(-LN(2)/2)*DH127+(1-EXP(-LN(2)/2))/(LN(2)/2)*DB128*DE128*VLOOKUP('Données projet'!$B$13,Paramètres!$A$1:$I$89,3,0)*0.475*44/12</f>
        <v>2.9445750819378998E-12</v>
      </c>
      <c r="DI128" s="22">
        <f t="shared" si="69"/>
        <v>164.5363607799988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5.6843418860808015E-14</v>
      </c>
      <c r="DP128" s="17">
        <f>DO128*VLOOKUP('Données projet'!$B$14,Paramètres!$A$1:$I$89,3,0)*VLOOKUP('Données projet'!$B$14,Paramètres!$A$1:$I$89,5,0)</f>
        <v>4.6111381379887463E-14</v>
      </c>
      <c r="DQ128" s="13">
        <f t="shared" si="97"/>
        <v>7.5804141040779151E-13</v>
      </c>
      <c r="DR128" s="20">
        <f t="shared" si="70"/>
        <v>1.4005661123635408E-12</v>
      </c>
      <c r="DS128" s="59">
        <f t="shared" si="71"/>
        <v>293.33333333333474</v>
      </c>
      <c r="DT128" s="59">
        <f ca="1">AVERAGE(OFFSET($DS$3,0,0,'Données projet'!$E$14+1,1))-AVERAGE(OFFSET($H$3,0,0,'Données projet'!$E$14+1,1))</f>
        <v>235.31102883830971</v>
      </c>
      <c r="DU128" s="59">
        <f t="shared" si="98"/>
        <v>271.48630853790422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23.255982309832479</v>
      </c>
      <c r="EB128" s="21">
        <f>EXP(-LN(2)/25)*EB127+(1-EXP(-LN(2)/25))/(LN(2)/25)*Calculateur!DW128*Calculateur!DY128*VLOOKUP('Données projet'!$B$14,Paramètres!$A$1:$I$89,3,0)*0.475*44/12</f>
        <v>22.41318732175305</v>
      </c>
      <c r="EC128" s="21">
        <f>EXP(-LN(2)/2)*EC127+(1-EXP(-LN(2)/2))/(LN(2)/2)*DW128*DZ128*VLOOKUP('Données projet'!$B$14,Paramètres!$A$1:$I$89,3,0)*0.475*44/12</f>
        <v>3.5532798437087978E-12</v>
      </c>
      <c r="ED128" s="22">
        <f t="shared" si="72"/>
        <v>45.669169631589085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-1.2505552149377763E-12</v>
      </c>
      <c r="O129" s="13">
        <f>N129*VLOOKUP('Données projet'!$B$9,Paramètres!$A$1:$I$89,3,0)*VLOOKUP('Données projet'!$B$9,Paramètres!$A$1:$I$89,5,0)</f>
        <v>-6.9906036515021697E-13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446.28010102877403</v>
      </c>
      <c r="T129" s="59">
        <f t="shared" si="88"/>
        <v>445.84011537290456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1.7059983678613793</v>
      </c>
      <c r="AA129" s="21">
        <f>EXP(-LN(2)/25)*AA128+(1-EXP(-LN(2)/25))/(LN(2)/25)*Calculateur!V129*Calculateur!X129*VLOOKUP('Données projet'!$B$9,Paramètres!$A$1:$I$89,3,0)*0.475*44/12</f>
        <v>2.7065868993546425</v>
      </c>
      <c r="AB129" s="21">
        <f>EXP(-LN(2)/2)*AB128+(1-EXP(-LN(2)/2))/(LN(2)/2)*V129*Y129*VLOOKUP('Données projet'!$B$9,Paramètres!$A$1:$I$89,3,0)*0.475*44/12</f>
        <v>1.2957418730875537E-13</v>
      </c>
      <c r="AC129" s="22">
        <f t="shared" si="57"/>
        <v>4.4125852672161514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-5.3205440053716299E-14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252.98248842635206</v>
      </c>
      <c r="AO129" s="59">
        <f t="shared" si="90"/>
        <v>207.11938580878308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0.46827104701895989</v>
      </c>
      <c r="AV129" s="21">
        <f>EXP(-LN(2)/25)*AV128+(1-EXP(-LN(2)/25))/(LN(2)/25)*Calculateur!AQ129*Calculateur!AS129*VLOOKUP('Données projet'!$B$10,Paramètres!$A$1:$I$89,3,0)*0.475*44/12</f>
        <v>0.54855058039383964</v>
      </c>
      <c r="AW129" s="21">
        <f>EXP(-LN(2)/2)*AW128+(1-EXP(-LN(2)/2))/(LN(2)/2)*AQ129*AT129*VLOOKUP('Données projet'!$B$10,Paramètres!$A$1:$I$89,3,0)*0.475*44/12</f>
        <v>3.4930907873928134E-14</v>
      </c>
      <c r="AX129" s="21">
        <f t="shared" si="60"/>
        <v>1.0168216274128343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2.8421709430404007E-14</v>
      </c>
      <c r="BE129" s="13">
        <f>BD129*VLOOKUP('Données projet'!$B$11,Paramètres!$A$1:$I$89,3,0)*VLOOKUP('Données projet'!$B$11,Paramètres!$A$1:$I$89,5,0)</f>
        <v>1.8621904018800706E-14</v>
      </c>
      <c r="BF129" s="13">
        <f t="shared" si="91"/>
        <v>3.40208645124969E-13</v>
      </c>
      <c r="BG129" s="20">
        <f t="shared" si="61"/>
        <v>6.2496320642539887E-13</v>
      </c>
      <c r="BH129" s="59">
        <f t="shared" si="62"/>
        <v>293.33333333333394</v>
      </c>
      <c r="BI129" s="59">
        <f ca="1">AVERAGE(OFFSET($BH$3,0,0,'Données projet'!$E$11+1,1))-AVERAGE(OFFSET($H$3,0,0,'Données projet'!$E$11+1,1))</f>
        <v>114.23168847330004</v>
      </c>
      <c r="BJ129" s="59">
        <f t="shared" si="92"/>
        <v>42.34857998136755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2.8421709430404007E-14</v>
      </c>
      <c r="BZ129" s="13">
        <f>BY129*VLOOKUP('Données projet'!$B$12,Paramètres!$A$1:$I$89,3,0)*VLOOKUP('Données projet'!$B$12,Paramètres!$A$1:$I$89,5,0)</f>
        <v>2.7489477361086758E-14</v>
      </c>
      <c r="CA129" s="13">
        <f t="shared" si="93"/>
        <v>4.7995394886724981E-13</v>
      </c>
      <c r="CB129" s="20">
        <f t="shared" si="64"/>
        <v>8.8379730068101964E-13</v>
      </c>
      <c r="CC129" s="59">
        <f t="shared" si="65"/>
        <v>293.33333333333422</v>
      </c>
      <c r="CD129" s="59">
        <f ca="1">AVERAGE(OFFSET($CC$3,0,0,'Données projet'!$E$12+1,1))-AVERAGE(OFFSET($H$3,0,0,'Données projet'!$E$12+1,1))</f>
        <v>201.36664523637006</v>
      </c>
      <c r="CE129" s="59">
        <f t="shared" si="94"/>
        <v>79.394119001888555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14.939611138429401</v>
      </c>
      <c r="CM129" s="21">
        <f>EXP(-LN(2)/2)*CM128+(1-EXP(-LN(2)/2))/(LN(2)/2)*CG129*CJ129*VLOOKUP('Données projet'!$B$12,Paramètres!$A$1:$I$89,3,0)*0.475*44/12</f>
        <v>1.4006013349655264E-12</v>
      </c>
      <c r="CN129" s="22">
        <f t="shared" si="66"/>
        <v>14.9396111384308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1.1368683772161603E-13</v>
      </c>
      <c r="CU129" s="17">
        <f>CT129*VLOOKUP('Données projet'!$B$13,Paramètres!$A$1:$I$89,3,0)*VLOOKUP('Données projet'!$B$13,Paramètres!$A$1:$I$89,5,0)</f>
        <v>1.0286385077051818E-13</v>
      </c>
      <c r="CV129" s="13">
        <f t="shared" si="95"/>
        <v>1.5402366592183556E-12</v>
      </c>
      <c r="CW129" s="20">
        <f t="shared" si="67"/>
        <v>2.8617333882306215E-12</v>
      </c>
      <c r="CX129" s="59">
        <f t="shared" si="68"/>
        <v>293.33333333333616</v>
      </c>
      <c r="CY129" s="59">
        <f ca="1">AVERAGE(OFFSET($CX$3,0,0,'Données projet'!$E$13+1,1))-AVERAGE(OFFSET($H$3,0,0,'Données projet'!$E$13+1,1))</f>
        <v>282.08542131880455</v>
      </c>
      <c r="CZ129" s="59">
        <f t="shared" si="96"/>
        <v>174.27503468762325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101.23108343473609</v>
      </c>
      <c r="DG129" s="21">
        <f>EXP(-LN(2)/25)*DG128+(1-EXP(-LN(2)/25))/(LN(2)/25)*Calculateur!DB129*Calculateur!DD129*VLOOKUP('Données projet'!$B$13,Paramètres!$A$1:$I$89,3,0)*0.475*44/12</f>
        <v>59.604774456178411</v>
      </c>
      <c r="DH129" s="21">
        <f>EXP(-LN(2)/2)*DH128+(1-EXP(-LN(2)/2))/(LN(2)/2)*DB129*DE129*VLOOKUP('Données projet'!$B$13,Paramètres!$A$1:$I$89,3,0)*0.475*44/12</f>
        <v>2.0821290081512227E-12</v>
      </c>
      <c r="DI129" s="22">
        <f t="shared" si="69"/>
        <v>160.83585789091657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5.6843418860808015E-14</v>
      </c>
      <c r="DP129" s="17">
        <f>DO129*VLOOKUP('Données projet'!$B$14,Paramètres!$A$1:$I$89,3,0)*VLOOKUP('Données projet'!$B$14,Paramètres!$A$1:$I$89,5,0)</f>
        <v>4.6111381379887463E-14</v>
      </c>
      <c r="DQ129" s="13">
        <f t="shared" si="97"/>
        <v>7.5804141040779151E-13</v>
      </c>
      <c r="DR129" s="20">
        <f t="shared" si="70"/>
        <v>1.4005661123635408E-12</v>
      </c>
      <c r="DS129" s="59">
        <f t="shared" si="71"/>
        <v>293.33333333333474</v>
      </c>
      <c r="DT129" s="59">
        <f ca="1">AVERAGE(OFFSET($DS$3,0,0,'Données projet'!$E$14+1,1))-AVERAGE(OFFSET($H$3,0,0,'Données projet'!$E$14+1,1))</f>
        <v>235.31102883830971</v>
      </c>
      <c r="DU129" s="59">
        <f t="shared" si="98"/>
        <v>271.48630853790422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22.799946681485245</v>
      </c>
      <c r="EB129" s="21">
        <f>EXP(-LN(2)/25)*EB128+(1-EXP(-LN(2)/25))/(LN(2)/25)*Calculateur!DW129*Calculateur!DY129*VLOOKUP('Données projet'!$B$14,Paramètres!$A$1:$I$89,3,0)*0.475*44/12</f>
        <v>21.800297535781418</v>
      </c>
      <c r="EC129" s="21">
        <f>EXP(-LN(2)/2)*EC128+(1-EXP(-LN(2)/2))/(LN(2)/2)*DW129*DZ129*VLOOKUP('Données projet'!$B$14,Paramètres!$A$1:$I$89,3,0)*0.475*44/12</f>
        <v>2.5125482729399669E-12</v>
      </c>
      <c r="ED129" s="22">
        <f t="shared" si="72"/>
        <v>44.600244217269179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-1.2505552149377763E-12</v>
      </c>
      <c r="O130" s="13">
        <f>N130*VLOOKUP('Données projet'!$B$9,Paramètres!$A$1:$I$89,3,0)*VLOOKUP('Données projet'!$B$9,Paramètres!$A$1:$I$89,5,0)</f>
        <v>-6.9906036515021697E-13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446.28010102877403</v>
      </c>
      <c r="T130" s="59">
        <f t="shared" si="88"/>
        <v>445.84011537290456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1.6725447804238756</v>
      </c>
      <c r="AA130" s="21">
        <f>EXP(-LN(2)/25)*AA129+(1-EXP(-LN(2)/25))/(LN(2)/25)*Calculateur!V130*Calculateur!X130*VLOOKUP('Données projet'!$B$9,Paramètres!$A$1:$I$89,3,0)*0.475*44/12</f>
        <v>2.6325751382585709</v>
      </c>
      <c r="AB130" s="21">
        <f>EXP(-LN(2)/2)*AB129+(1-EXP(-LN(2)/2))/(LN(2)/2)*V130*Y130*VLOOKUP('Données projet'!$B$9,Paramètres!$A$1:$I$89,3,0)*0.475*44/12</f>
        <v>9.1622786512756807E-14</v>
      </c>
      <c r="AC130" s="22">
        <f t="shared" si="57"/>
        <v>4.3051199186825384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-5.3205440053716299E-14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252.98248842635206</v>
      </c>
      <c r="AO130" s="59">
        <f t="shared" si="90"/>
        <v>207.11938580878308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0.45908853740405442</v>
      </c>
      <c r="AV130" s="21">
        <f>EXP(-LN(2)/25)*AV129+(1-EXP(-LN(2)/25))/(LN(2)/25)*Calculateur!AQ130*Calculateur!AS130*VLOOKUP('Données projet'!$B$10,Paramètres!$A$1:$I$89,3,0)*0.475*44/12</f>
        <v>0.53355043592594875</v>
      </c>
      <c r="AW130" s="21">
        <f>EXP(-LN(2)/2)*AW129+(1-EXP(-LN(2)/2))/(LN(2)/2)*AQ130*AT130*VLOOKUP('Données projet'!$B$10,Paramètres!$A$1:$I$89,3,0)*0.475*44/12</f>
        <v>2.4699881830657152E-14</v>
      </c>
      <c r="AX130" s="21">
        <f t="shared" si="60"/>
        <v>0.99263897333002782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2.8421709430404007E-14</v>
      </c>
      <c r="BE130" s="13">
        <f>BD130*VLOOKUP('Données projet'!$B$11,Paramètres!$A$1:$I$89,3,0)*VLOOKUP('Données projet'!$B$11,Paramètres!$A$1:$I$89,5,0)</f>
        <v>1.8621904018800706E-14</v>
      </c>
      <c r="BF130" s="13">
        <f t="shared" si="91"/>
        <v>3.40208645124969E-13</v>
      </c>
      <c r="BG130" s="20">
        <f t="shared" si="61"/>
        <v>6.2496320642539887E-13</v>
      </c>
      <c r="BH130" s="59">
        <f t="shared" si="62"/>
        <v>293.33333333333394</v>
      </c>
      <c r="BI130" s="59">
        <f ca="1">AVERAGE(OFFSET($BH$3,0,0,'Données projet'!$E$11+1,1))-AVERAGE(OFFSET($H$3,0,0,'Données projet'!$E$11+1,1))</f>
        <v>114.23168847330004</v>
      </c>
      <c r="BJ130" s="59">
        <f t="shared" si="92"/>
        <v>42.34857998136755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2.8421709430404007E-14</v>
      </c>
      <c r="BZ130" s="13">
        <f>BY130*VLOOKUP('Données projet'!$B$12,Paramètres!$A$1:$I$89,3,0)*VLOOKUP('Données projet'!$B$12,Paramètres!$A$1:$I$89,5,0)</f>
        <v>2.7489477361086758E-14</v>
      </c>
      <c r="CA130" s="13">
        <f t="shared" si="93"/>
        <v>4.7995394886724981E-13</v>
      </c>
      <c r="CB130" s="20">
        <f t="shared" si="64"/>
        <v>8.8379730068101964E-13</v>
      </c>
      <c r="CC130" s="59">
        <f t="shared" si="65"/>
        <v>293.33333333333422</v>
      </c>
      <c r="CD130" s="59">
        <f ca="1">AVERAGE(OFFSET($CC$3,0,0,'Données projet'!$E$12+1,1))-AVERAGE(OFFSET($H$3,0,0,'Données projet'!$E$12+1,1))</f>
        <v>201.36664523637006</v>
      </c>
      <c r="CE130" s="59">
        <f t="shared" si="94"/>
        <v>79.394119001888555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14.531086686209044</v>
      </c>
      <c r="CM130" s="21">
        <f>EXP(-LN(2)/2)*CM129+(1-EXP(-LN(2)/2))/(LN(2)/2)*CG130*CJ130*VLOOKUP('Données projet'!$B$12,Paramètres!$A$1:$I$89,3,0)*0.475*44/12</f>
        <v>9.9037470169305478E-13</v>
      </c>
      <c r="CN130" s="22">
        <f t="shared" si="66"/>
        <v>14.531086686210035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1.1368683772161603E-13</v>
      </c>
      <c r="CU130" s="17">
        <f>CT130*VLOOKUP('Données projet'!$B$13,Paramètres!$A$1:$I$89,3,0)*VLOOKUP('Données projet'!$B$13,Paramètres!$A$1:$I$89,5,0)</f>
        <v>1.0286385077051818E-13</v>
      </c>
      <c r="CV130" s="13">
        <f t="shared" si="95"/>
        <v>1.5402366592183556E-12</v>
      </c>
      <c r="CW130" s="20">
        <f t="shared" si="67"/>
        <v>2.8617333882306215E-12</v>
      </c>
      <c r="CX130" s="59">
        <f t="shared" si="68"/>
        <v>293.33333333333616</v>
      </c>
      <c r="CY130" s="59">
        <f ca="1">AVERAGE(OFFSET($CX$3,0,0,'Données projet'!$E$13+1,1))-AVERAGE(OFFSET($H$3,0,0,'Données projet'!$E$13+1,1))</f>
        <v>282.08542131880455</v>
      </c>
      <c r="CZ130" s="59">
        <f t="shared" si="96"/>
        <v>174.27503468762325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99.246003633445014</v>
      </c>
      <c r="DG130" s="21">
        <f>EXP(-LN(2)/25)*DG129+(1-EXP(-LN(2)/25))/(LN(2)/25)*Calculateur!DB130*Calculateur!DD130*VLOOKUP('Données projet'!$B$13,Paramètres!$A$1:$I$89,3,0)*0.475*44/12</f>
        <v>57.974878764195353</v>
      </c>
      <c r="DH130" s="21">
        <f>EXP(-LN(2)/2)*DH129+(1-EXP(-LN(2)/2))/(LN(2)/2)*DB130*DE130*VLOOKUP('Données projet'!$B$13,Paramètres!$A$1:$I$89,3,0)*0.475*44/12</f>
        <v>1.4722875409689499E-12</v>
      </c>
      <c r="DI130" s="22">
        <f t="shared" si="69"/>
        <v>157.22088239764184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5.6843418860808015E-14</v>
      </c>
      <c r="DP130" s="17">
        <f>DO130*VLOOKUP('Données projet'!$B$14,Paramètres!$A$1:$I$89,3,0)*VLOOKUP('Données projet'!$B$14,Paramètres!$A$1:$I$89,5,0)</f>
        <v>4.6111381379887463E-14</v>
      </c>
      <c r="DQ130" s="13">
        <f t="shared" si="97"/>
        <v>7.5804141040779151E-13</v>
      </c>
      <c r="DR130" s="20">
        <f t="shared" si="70"/>
        <v>1.4005661123635408E-12</v>
      </c>
      <c r="DS130" s="59">
        <f t="shared" si="71"/>
        <v>293.33333333333474</v>
      </c>
      <c r="DT130" s="59">
        <f ca="1">AVERAGE(OFFSET($DS$3,0,0,'Données projet'!$E$14+1,1))-AVERAGE(OFFSET($H$3,0,0,'Données projet'!$E$14+1,1))</f>
        <v>235.31102883830971</v>
      </c>
      <c r="DU130" s="59">
        <f t="shared" si="98"/>
        <v>271.48630853790422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22.352853633655634</v>
      </c>
      <c r="EB130" s="21">
        <f>EXP(-LN(2)/25)*EB129+(1-EXP(-LN(2)/25))/(LN(2)/25)*Calculateur!DW130*Calculateur!DY130*VLOOKUP('Données projet'!$B$14,Paramètres!$A$1:$I$89,3,0)*0.475*44/12</f>
        <v>21.204167253237653</v>
      </c>
      <c r="EC130" s="21">
        <f>EXP(-LN(2)/2)*EC129+(1-EXP(-LN(2)/2))/(LN(2)/2)*DW130*DZ130*VLOOKUP('Données projet'!$B$14,Paramètres!$A$1:$I$89,3,0)*0.475*44/12</f>
        <v>1.7766399218543993E-12</v>
      </c>
      <c r="ED130" s="22">
        <f t="shared" si="72"/>
        <v>43.55702088689506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-1.2505552149377763E-12</v>
      </c>
      <c r="O131" s="13">
        <f>N131*VLOOKUP('Données projet'!$B$9,Paramètres!$A$1:$I$89,3,0)*VLOOKUP('Données projet'!$B$9,Paramètres!$A$1:$I$89,5,0)</f>
        <v>-6.9906036515021697E-13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446.28010102877403</v>
      </c>
      <c r="T131" s="59">
        <f t="shared" si="88"/>
        <v>445.84011537290456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1.6397471974313478</v>
      </c>
      <c r="AA131" s="21">
        <f>EXP(-LN(2)/25)*AA130+(1-EXP(-LN(2)/25))/(LN(2)/25)*Calculateur!V131*Calculateur!X131*VLOOKUP('Données projet'!$B$9,Paramètres!$A$1:$I$89,3,0)*0.475*44/12</f>
        <v>2.5605872326617805</v>
      </c>
      <c r="AB131" s="21">
        <f>EXP(-LN(2)/2)*AB130+(1-EXP(-LN(2)/2))/(LN(2)/2)*V131*Y131*VLOOKUP('Données projet'!$B$9,Paramètres!$A$1:$I$89,3,0)*0.475*44/12</f>
        <v>6.4787093654377685E-14</v>
      </c>
      <c r="AC131" s="22">
        <f t="shared" si="57"/>
        <v>4.2003344300931929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-5.3205440053716299E-14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252.98248842635206</v>
      </c>
      <c r="AO131" s="59">
        <f t="shared" si="90"/>
        <v>207.11938580878308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0.45008609120191939</v>
      </c>
      <c r="AV131" s="21">
        <f>EXP(-LN(2)/25)*AV130+(1-EXP(-LN(2)/25))/(LN(2)/25)*Calculateur!AQ131*Calculateur!AS131*VLOOKUP('Données projet'!$B$10,Paramètres!$A$1:$I$89,3,0)*0.475*44/12</f>
        <v>0.51896047119735567</v>
      </c>
      <c r="AW131" s="21">
        <f>EXP(-LN(2)/2)*AW130+(1-EXP(-LN(2)/2))/(LN(2)/2)*AQ131*AT131*VLOOKUP('Données projet'!$B$10,Paramètres!$A$1:$I$89,3,0)*0.475*44/12</f>
        <v>1.7465453936964067E-14</v>
      </c>
      <c r="AX131" s="21">
        <f t="shared" si="60"/>
        <v>0.96904656239929243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2.8421709430404007E-14</v>
      </c>
      <c r="BE131" s="13">
        <f>BD131*VLOOKUP('Données projet'!$B$11,Paramètres!$A$1:$I$89,3,0)*VLOOKUP('Données projet'!$B$11,Paramètres!$A$1:$I$89,5,0)</f>
        <v>1.8621904018800706E-14</v>
      </c>
      <c r="BF131" s="13">
        <f t="shared" si="91"/>
        <v>3.40208645124969E-13</v>
      </c>
      <c r="BG131" s="20">
        <f t="shared" si="61"/>
        <v>6.2496320642539887E-13</v>
      </c>
      <c r="BH131" s="59">
        <f t="shared" si="62"/>
        <v>293.33333333333394</v>
      </c>
      <c r="BI131" s="59">
        <f ca="1">AVERAGE(OFFSET($BH$3,0,0,'Données projet'!$E$11+1,1))-AVERAGE(OFFSET($H$3,0,0,'Données projet'!$E$11+1,1))</f>
        <v>114.23168847330004</v>
      </c>
      <c r="BJ131" s="59">
        <f t="shared" si="92"/>
        <v>42.34857998136755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2.8421709430404007E-14</v>
      </c>
      <c r="BZ131" s="13">
        <f>BY131*VLOOKUP('Données projet'!$B$12,Paramètres!$A$1:$I$89,3,0)*VLOOKUP('Données projet'!$B$12,Paramètres!$A$1:$I$89,5,0)</f>
        <v>2.7489477361086758E-14</v>
      </c>
      <c r="CA131" s="13">
        <f t="shared" si="93"/>
        <v>4.7995394886724981E-13</v>
      </c>
      <c r="CB131" s="20">
        <f t="shared" si="64"/>
        <v>8.8379730068101964E-13</v>
      </c>
      <c r="CC131" s="59">
        <f t="shared" si="65"/>
        <v>293.33333333333422</v>
      </c>
      <c r="CD131" s="59">
        <f ca="1">AVERAGE(OFFSET($CC$3,0,0,'Données projet'!$E$12+1,1))-AVERAGE(OFFSET($H$3,0,0,'Données projet'!$E$12+1,1))</f>
        <v>201.36664523637006</v>
      </c>
      <c r="CE131" s="59">
        <f t="shared" si="94"/>
        <v>79.394119001888555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14.13373335661802</v>
      </c>
      <c r="CM131" s="21">
        <f>EXP(-LN(2)/2)*CM130+(1-EXP(-LN(2)/2))/(LN(2)/2)*CG131*CJ131*VLOOKUP('Données projet'!$B$12,Paramètres!$A$1:$I$89,3,0)*0.475*44/12</f>
        <v>7.0030066748276318E-13</v>
      </c>
      <c r="CN131" s="22">
        <f t="shared" si="66"/>
        <v>14.13373335661872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1.1368683772161603E-13</v>
      </c>
      <c r="CU131" s="17">
        <f>CT131*VLOOKUP('Données projet'!$B$13,Paramètres!$A$1:$I$89,3,0)*VLOOKUP('Données projet'!$B$13,Paramètres!$A$1:$I$89,5,0)</f>
        <v>1.0286385077051818E-13</v>
      </c>
      <c r="CV131" s="13">
        <f t="shared" si="95"/>
        <v>1.5402366592183556E-12</v>
      </c>
      <c r="CW131" s="20">
        <f t="shared" si="67"/>
        <v>2.8617333882306215E-12</v>
      </c>
      <c r="CX131" s="59">
        <f t="shared" si="68"/>
        <v>293.33333333333616</v>
      </c>
      <c r="CY131" s="59">
        <f ca="1">AVERAGE(OFFSET($CX$3,0,0,'Données projet'!$E$13+1,1))-AVERAGE(OFFSET($H$3,0,0,'Données projet'!$E$13+1,1))</f>
        <v>282.08542131880455</v>
      </c>
      <c r="CZ131" s="59">
        <f t="shared" si="96"/>
        <v>174.27503468762325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97.29985003627813</v>
      </c>
      <c r="DG131" s="21">
        <f>EXP(-LN(2)/25)*DG130+(1-EXP(-LN(2)/25))/(LN(2)/25)*Calculateur!DB131*Calculateur!DD131*VLOOKUP('Données projet'!$B$13,Paramètres!$A$1:$I$89,3,0)*0.475*44/12</f>
        <v>56.389552655622062</v>
      </c>
      <c r="DH131" s="21">
        <f>EXP(-LN(2)/2)*DH130+(1-EXP(-LN(2)/2))/(LN(2)/2)*DB131*DE131*VLOOKUP('Données projet'!$B$13,Paramètres!$A$1:$I$89,3,0)*0.475*44/12</f>
        <v>1.0410645040756114E-12</v>
      </c>
      <c r="DI131" s="22">
        <f t="shared" si="69"/>
        <v>153.68940269190125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5.6843418860808015E-14</v>
      </c>
      <c r="DP131" s="17">
        <f>DO131*VLOOKUP('Données projet'!$B$14,Paramètres!$A$1:$I$89,3,0)*VLOOKUP('Données projet'!$B$14,Paramètres!$A$1:$I$89,5,0)</f>
        <v>4.6111381379887463E-14</v>
      </c>
      <c r="DQ131" s="13">
        <f t="shared" si="97"/>
        <v>7.5804141040779151E-13</v>
      </c>
      <c r="DR131" s="20">
        <f t="shared" si="70"/>
        <v>1.4005661123635408E-12</v>
      </c>
      <c r="DS131" s="59">
        <f t="shared" si="71"/>
        <v>293.33333333333474</v>
      </c>
      <c r="DT131" s="59">
        <f ca="1">AVERAGE(OFFSET($DS$3,0,0,'Données projet'!$E$14+1,1))-AVERAGE(OFFSET($H$3,0,0,'Données projet'!$E$14+1,1))</f>
        <v>235.31102883830971</v>
      </c>
      <c r="DU131" s="59">
        <f t="shared" si="98"/>
        <v>271.48630853790422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21.91452780779413</v>
      </c>
      <c r="EB131" s="21">
        <f>EXP(-LN(2)/25)*EB130+(1-EXP(-LN(2)/25))/(LN(2)/25)*Calculateur!DW131*Calculateur!DY131*VLOOKUP('Données projet'!$B$14,Paramètres!$A$1:$I$89,3,0)*0.475*44/12</f>
        <v>20.624338184619177</v>
      </c>
      <c r="EC131" s="21">
        <f>EXP(-LN(2)/2)*EC130+(1-EXP(-LN(2)/2))/(LN(2)/2)*DW131*DZ131*VLOOKUP('Données projet'!$B$14,Paramètres!$A$1:$I$89,3,0)*0.475*44/12</f>
        <v>1.2562741364699837E-12</v>
      </c>
      <c r="ED131" s="22">
        <f t="shared" si="72"/>
        <v>42.538865992414564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-1.2505552149377763E-12</v>
      </c>
      <c r="O132" s="13">
        <f>N132*VLOOKUP('Données projet'!$B$9,Paramètres!$A$1:$I$89,3,0)*VLOOKUP('Données projet'!$B$9,Paramètres!$A$1:$I$89,5,0)</f>
        <v>-6.9906036515021697E-13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446.28010102877403</v>
      </c>
      <c r="T132" s="59">
        <f t="shared" si="88"/>
        <v>445.84011537290456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1.6075927550367533</v>
      </c>
      <c r="AA132" s="21">
        <f>EXP(-LN(2)/25)*AA131+(1-EXP(-LN(2)/25))/(LN(2)/25)*Calculateur!V132*Calculateur!X132*VLOOKUP('Données projet'!$B$9,Paramètres!$A$1:$I$89,3,0)*0.475*44/12</f>
        <v>2.4905678401292137</v>
      </c>
      <c r="AB132" s="21">
        <f>EXP(-LN(2)/2)*AB131+(1-EXP(-LN(2)/2))/(LN(2)/2)*V132*Y132*VLOOKUP('Données projet'!$B$9,Paramètres!$A$1:$I$89,3,0)*0.475*44/12</f>
        <v>4.5811393256378404E-14</v>
      </c>
      <c r="AC132" s="22">
        <f t="shared" ref="AC132:AC153" si="111">SUM(Z132:AB132)</f>
        <v>4.0981605951660134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-5.3205440053716299E-14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252.98248842635206</v>
      </c>
      <c r="AO132" s="59">
        <f t="shared" si="90"/>
        <v>207.11938580878308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0.44126017747885826</v>
      </c>
      <c r="AV132" s="21">
        <f>EXP(-LN(2)/25)*AV131+(1-EXP(-LN(2)/25))/(LN(2)/25)*Calculateur!AQ132*Calculateur!AS132*VLOOKUP('Données projet'!$B$10,Paramètres!$A$1:$I$89,3,0)*0.475*44/12</f>
        <v>0.50476946982151893</v>
      </c>
      <c r="AW132" s="21">
        <f>EXP(-LN(2)/2)*AW131+(1-EXP(-LN(2)/2))/(LN(2)/2)*AQ132*AT132*VLOOKUP('Données projet'!$B$10,Paramètres!$A$1:$I$89,3,0)*0.475*44/12</f>
        <v>1.2349940915328576E-14</v>
      </c>
      <c r="AX132" s="21">
        <f t="shared" ref="AX132:AX153" si="114">SUM(AU132:AW132)</f>
        <v>0.94602964730038952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2.8421709430404007E-14</v>
      </c>
      <c r="BE132" s="13">
        <f>BD132*VLOOKUP('Données projet'!$B$11,Paramètres!$A$1:$I$89,3,0)*VLOOKUP('Données projet'!$B$11,Paramètres!$A$1:$I$89,5,0)</f>
        <v>1.8621904018800706E-14</v>
      </c>
      <c r="BF132" s="13">
        <f t="shared" si="91"/>
        <v>3.40208645124969E-13</v>
      </c>
      <c r="BG132" s="20">
        <f t="shared" ref="BG132:BG153" si="115">(BE132+BF132)*0.475*44/12</f>
        <v>6.2496320642539887E-13</v>
      </c>
      <c r="BH132" s="59">
        <f t="shared" ref="BH132:BH195" si="116">BG132+(AY132+AZ132)*44/12</f>
        <v>293.33333333333394</v>
      </c>
      <c r="BI132" s="59">
        <f ca="1">AVERAGE(OFFSET($BH$3,0,0,'Données projet'!$E$11+1,1))-AVERAGE(OFFSET($H$3,0,0,'Données projet'!$E$11+1,1))</f>
        <v>114.23168847330004</v>
      </c>
      <c r="BJ132" s="59">
        <f t="shared" si="92"/>
        <v>42.34857998136755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2.8421709430404007E-14</v>
      </c>
      <c r="BZ132" s="13">
        <f>BY132*VLOOKUP('Données projet'!$B$12,Paramètres!$A$1:$I$89,3,0)*VLOOKUP('Données projet'!$B$12,Paramètres!$A$1:$I$89,5,0)</f>
        <v>2.7489477361086758E-14</v>
      </c>
      <c r="CA132" s="13">
        <f t="shared" si="93"/>
        <v>4.7995394886724981E-13</v>
      </c>
      <c r="CB132" s="20">
        <f t="shared" ref="CB132:CB153" si="118">(BZ132+CA132)*0.475*44/12</f>
        <v>8.8379730068101964E-13</v>
      </c>
      <c r="CC132" s="59">
        <f t="shared" ref="CC132:CC195" si="119">CB132+(BT132+BU132)*44/12</f>
        <v>293.33333333333422</v>
      </c>
      <c r="CD132" s="59">
        <f ca="1">AVERAGE(OFFSET($CC$3,0,0,'Données projet'!$E$12+1,1))-AVERAGE(OFFSET($H$3,0,0,'Données projet'!$E$12+1,1))</f>
        <v>201.36664523637006</v>
      </c>
      <c r="CE132" s="59">
        <f t="shared" si="94"/>
        <v>79.394119001888555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13.747245674720565</v>
      </c>
      <c r="CM132" s="21">
        <f>EXP(-LN(2)/2)*CM131+(1-EXP(-LN(2)/2))/(LN(2)/2)*CG132*CJ132*VLOOKUP('Données projet'!$B$12,Paramètres!$A$1:$I$89,3,0)*0.475*44/12</f>
        <v>4.9518735084652739E-13</v>
      </c>
      <c r="CN132" s="22">
        <f t="shared" ref="CN132:CN153" si="120">SUM(CK132:CM132)</f>
        <v>13.747245674721061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1.1368683772161603E-13</v>
      </c>
      <c r="CU132" s="17">
        <f>CT132*VLOOKUP('Données projet'!$B$13,Paramètres!$A$1:$I$89,3,0)*VLOOKUP('Données projet'!$B$13,Paramètres!$A$1:$I$89,5,0)</f>
        <v>1.0286385077051818E-13</v>
      </c>
      <c r="CV132" s="13">
        <f t="shared" si="95"/>
        <v>1.5402366592183556E-12</v>
      </c>
      <c r="CW132" s="20">
        <f t="shared" ref="CW132:CW153" si="121">(CU132+CV132)*0.475*44/12</f>
        <v>2.8617333882306215E-12</v>
      </c>
      <c r="CX132" s="59">
        <f t="shared" ref="CX132:CX195" si="122">CW132+(CO132+CP132)*44/12</f>
        <v>293.33333333333616</v>
      </c>
      <c r="CY132" s="59">
        <f ca="1">AVERAGE(OFFSET($CX$3,0,0,'Données projet'!$E$13+1,1))-AVERAGE(OFFSET($H$3,0,0,'Données projet'!$E$13+1,1))</f>
        <v>282.08542131880455</v>
      </c>
      <c r="CZ132" s="59">
        <f t="shared" si="96"/>
        <v>174.27503468762325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95.391859324115202</v>
      </c>
      <c r="DG132" s="21">
        <f>EXP(-LN(2)/25)*DG131+(1-EXP(-LN(2)/25))/(LN(2)/25)*Calculateur!DB132*Calculateur!DD132*VLOOKUP('Données projet'!$B$13,Paramètres!$A$1:$I$89,3,0)*0.475*44/12</f>
        <v>54.847577372856385</v>
      </c>
      <c r="DH132" s="21">
        <f>EXP(-LN(2)/2)*DH131+(1-EXP(-LN(2)/2))/(LN(2)/2)*DB132*DE132*VLOOKUP('Données projet'!$B$13,Paramètres!$A$1:$I$89,3,0)*0.475*44/12</f>
        <v>7.3614377048447495E-13</v>
      </c>
      <c r="DI132" s="22">
        <f t="shared" ref="DI132:DI153" si="123">SUM(DF132:DH132)</f>
        <v>150.23943669697232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5.6843418860808015E-14</v>
      </c>
      <c r="DP132" s="17">
        <f>DO132*VLOOKUP('Données projet'!$B$14,Paramètres!$A$1:$I$89,3,0)*VLOOKUP('Données projet'!$B$14,Paramètres!$A$1:$I$89,5,0)</f>
        <v>4.6111381379887463E-14</v>
      </c>
      <c r="DQ132" s="13">
        <f t="shared" si="97"/>
        <v>7.5804141040779151E-13</v>
      </c>
      <c r="DR132" s="20">
        <f t="shared" ref="DR132:DR153" si="124">(DP132+DQ132)*0.475*44/12</f>
        <v>1.4005661123635408E-12</v>
      </c>
      <c r="DS132" s="59">
        <f t="shared" ref="DS132:DS195" si="125">DR132+(DJ132+DK132)*44/12</f>
        <v>293.33333333333474</v>
      </c>
      <c r="DT132" s="59">
        <f ca="1">AVERAGE(OFFSET($DS$3,0,0,'Données projet'!$E$14+1,1))-AVERAGE(OFFSET($H$3,0,0,'Données projet'!$E$14+1,1))</f>
        <v>235.31102883830971</v>
      </c>
      <c r="DU132" s="59">
        <f t="shared" si="98"/>
        <v>271.48630853790422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21.484797284025415</v>
      </c>
      <c r="EB132" s="21">
        <f>EXP(-LN(2)/25)*EB131+(1-EXP(-LN(2)/25))/(LN(2)/25)*Calculateur!DW132*Calculateur!DY132*VLOOKUP('Données projet'!$B$14,Paramètres!$A$1:$I$89,3,0)*0.475*44/12</f>
        <v>20.060364572373956</v>
      </c>
      <c r="EC132" s="21">
        <f>EXP(-LN(2)/2)*EC131+(1-EXP(-LN(2)/2))/(LN(2)/2)*DW132*DZ132*VLOOKUP('Données projet'!$B$14,Paramètres!$A$1:$I$89,3,0)*0.475*44/12</f>
        <v>8.8831996092719975E-13</v>
      </c>
      <c r="ED132" s="22">
        <f t="shared" ref="ED132:ED153" si="126">SUM(EA132:EC132)</f>
        <v>41.545161856400263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-1.2505552149377763E-12</v>
      </c>
      <c r="O133" s="13">
        <f>N133*VLOOKUP('Données projet'!$B$9,Paramètres!$A$1:$I$89,3,0)*VLOOKUP('Données projet'!$B$9,Paramètres!$A$1:$I$89,5,0)</f>
        <v>-6.9906036515021697E-13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446.28010102877403</v>
      </c>
      <c r="T133" s="59">
        <f t="shared" ref="T133:T196" si="142">$T$3</f>
        <v>445.84011537290456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1.5760688416452433</v>
      </c>
      <c r="AA133" s="21">
        <f>EXP(-LN(2)/25)*AA132+(1-EXP(-LN(2)/25))/(LN(2)/25)*Calculateur!V133*Calculateur!X133*VLOOKUP('Données projet'!$B$9,Paramètres!$A$1:$I$89,3,0)*0.475*44/12</f>
        <v>2.4224631315676097</v>
      </c>
      <c r="AB133" s="21">
        <f>EXP(-LN(2)/2)*AB132+(1-EXP(-LN(2)/2))/(LN(2)/2)*V133*Y133*VLOOKUP('Données projet'!$B$9,Paramètres!$A$1:$I$89,3,0)*0.475*44/12</f>
        <v>3.2393546827188842E-14</v>
      </c>
      <c r="AC133" s="22">
        <f t="shared" si="111"/>
        <v>3.9985319732128857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-5.3205440053716299E-14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252.98248842635206</v>
      </c>
      <c r="AO133" s="59">
        <f t="shared" ref="AO133:AO196" si="144">$AO$3</f>
        <v>207.11938580878308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0.43260733454063055</v>
      </c>
      <c r="AV133" s="21">
        <f>EXP(-LN(2)/25)*AV132+(1-EXP(-LN(2)/25))/(LN(2)/25)*Calculateur!AQ133*Calculateur!AS133*VLOOKUP('Données projet'!$B$10,Paramètres!$A$1:$I$89,3,0)*0.475*44/12</f>
        <v>0.49096652212457675</v>
      </c>
      <c r="AW133" s="21">
        <f>EXP(-LN(2)/2)*AW132+(1-EXP(-LN(2)/2))/(LN(2)/2)*AQ133*AT133*VLOOKUP('Données projet'!$B$10,Paramètres!$A$1:$I$89,3,0)*0.475*44/12</f>
        <v>8.7327269684820336E-15</v>
      </c>
      <c r="AX133" s="21">
        <f t="shared" si="114"/>
        <v>0.92357385666521608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2.8421709430404007E-14</v>
      </c>
      <c r="BE133" s="13">
        <f>BD133*VLOOKUP('Données projet'!$B$11,Paramètres!$A$1:$I$89,3,0)*VLOOKUP('Données projet'!$B$11,Paramètres!$A$1:$I$89,5,0)</f>
        <v>1.8621904018800706E-14</v>
      </c>
      <c r="BF133" s="13">
        <f t="shared" ref="BF133:BF153" si="145">EXP(-1.0587+0.8836*LN(BE133)+0.284)</f>
        <v>3.40208645124969E-13</v>
      </c>
      <c r="BG133" s="20">
        <f t="shared" si="115"/>
        <v>6.2496320642539887E-13</v>
      </c>
      <c r="BH133" s="59">
        <f t="shared" si="116"/>
        <v>293.33333333333394</v>
      </c>
      <c r="BI133" s="59">
        <f ca="1">AVERAGE(OFFSET($BH$3,0,0,'Données projet'!$E$11+1,1))-AVERAGE(OFFSET($H$3,0,0,'Données projet'!$E$11+1,1))</f>
        <v>114.23168847330004</v>
      </c>
      <c r="BJ133" s="59">
        <f t="shared" ref="BJ133:BJ196" si="146">$BJ$3</f>
        <v>42.34857998136755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2.8421709430404007E-14</v>
      </c>
      <c r="BZ133" s="13">
        <f>BY133*VLOOKUP('Données projet'!$B$12,Paramètres!$A$1:$I$89,3,0)*VLOOKUP('Données projet'!$B$12,Paramètres!$A$1:$I$89,5,0)</f>
        <v>2.7489477361086758E-14</v>
      </c>
      <c r="CA133" s="13">
        <f t="shared" ref="CA133:CA153" si="147">EXP(-1.0587+0.8836*LN(BZ133)+0.284)</f>
        <v>4.7995394886724981E-13</v>
      </c>
      <c r="CB133" s="20">
        <f t="shared" si="118"/>
        <v>8.8379730068101964E-13</v>
      </c>
      <c r="CC133" s="59">
        <f t="shared" si="119"/>
        <v>293.33333333333422</v>
      </c>
      <c r="CD133" s="59">
        <f ca="1">AVERAGE(OFFSET($CC$3,0,0,'Données projet'!$E$12+1,1))-AVERAGE(OFFSET($H$3,0,0,'Données projet'!$E$12+1,1))</f>
        <v>201.36664523637006</v>
      </c>
      <c r="CE133" s="59">
        <f t="shared" ref="CE133:CE196" si="148">$CE$3</f>
        <v>79.394119001888555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13.3713265188091</v>
      </c>
      <c r="CM133" s="21">
        <f>EXP(-LN(2)/2)*CM132+(1-EXP(-LN(2)/2))/(LN(2)/2)*CG133*CJ133*VLOOKUP('Données projet'!$B$12,Paramètres!$A$1:$I$89,3,0)*0.475*44/12</f>
        <v>3.5015033374138159E-13</v>
      </c>
      <c r="CN133" s="22">
        <f t="shared" si="120"/>
        <v>13.37132651880945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1.1368683772161603E-13</v>
      </c>
      <c r="CU133" s="17">
        <f>CT133*VLOOKUP('Données projet'!$B$13,Paramètres!$A$1:$I$89,3,0)*VLOOKUP('Données projet'!$B$13,Paramètres!$A$1:$I$89,5,0)</f>
        <v>1.0286385077051818E-13</v>
      </c>
      <c r="CV133" s="13">
        <f t="shared" ref="CV133:CV153" si="149">EXP(-1.0587+0.8836*LN(CU133)+0.284)</f>
        <v>1.5402366592183556E-12</v>
      </c>
      <c r="CW133" s="20">
        <f t="shared" si="121"/>
        <v>2.8617333882306215E-12</v>
      </c>
      <c r="CX133" s="59">
        <f t="shared" si="122"/>
        <v>293.33333333333616</v>
      </c>
      <c r="CY133" s="59">
        <f ca="1">AVERAGE(OFFSET($CX$3,0,0,'Données projet'!$E$13+1,1))-AVERAGE(OFFSET($H$3,0,0,'Données projet'!$E$13+1,1))</f>
        <v>282.08542131880455</v>
      </c>
      <c r="CZ133" s="59">
        <f t="shared" ref="CZ133:CZ196" si="150">$CZ$3</f>
        <v>174.27503468762325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93.521283146058366</v>
      </c>
      <c r="DG133" s="21">
        <f>EXP(-LN(2)/25)*DG132+(1-EXP(-LN(2)/25))/(LN(2)/25)*Calculateur!DB133*Calculateur!DD133*VLOOKUP('Données projet'!$B$13,Paramètres!$A$1:$I$89,3,0)*0.475*44/12</f>
        <v>53.347767485286887</v>
      </c>
      <c r="DH133" s="21">
        <f>EXP(-LN(2)/2)*DH132+(1-EXP(-LN(2)/2))/(LN(2)/2)*DB133*DE133*VLOOKUP('Données projet'!$B$13,Paramètres!$A$1:$I$89,3,0)*0.475*44/12</f>
        <v>5.2053225203780568E-13</v>
      </c>
      <c r="DI133" s="22">
        <f t="shared" si="123"/>
        <v>146.86905063134577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5.6843418860808015E-14</v>
      </c>
      <c r="DP133" s="17">
        <f>DO133*VLOOKUP('Données projet'!$B$14,Paramètres!$A$1:$I$89,3,0)*VLOOKUP('Données projet'!$B$14,Paramètres!$A$1:$I$89,5,0)</f>
        <v>4.6111381379887463E-14</v>
      </c>
      <c r="DQ133" s="13">
        <f t="shared" ref="DQ133:DQ153" si="151">EXP(-1.0587+0.8836*LN(DP133)+0.284)</f>
        <v>7.5804141040779151E-13</v>
      </c>
      <c r="DR133" s="20">
        <f t="shared" si="124"/>
        <v>1.4005661123635408E-12</v>
      </c>
      <c r="DS133" s="59">
        <f t="shared" si="125"/>
        <v>293.33333333333474</v>
      </c>
      <c r="DT133" s="59">
        <f ca="1">AVERAGE(OFFSET($DS$3,0,0,'Données projet'!$E$14+1,1))-AVERAGE(OFFSET($H$3,0,0,'Données projet'!$E$14+1,1))</f>
        <v>235.31102883830971</v>
      </c>
      <c r="DU133" s="59">
        <f t="shared" ref="DU133:DU196" si="152">$DU$3</f>
        <v>271.48630853790422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21.063493513718065</v>
      </c>
      <c r="EB133" s="21">
        <f>EXP(-LN(2)/25)*EB132+(1-EXP(-LN(2)/25))/(LN(2)/25)*Calculateur!DW133*Calculateur!DY133*VLOOKUP('Données projet'!$B$14,Paramètres!$A$1:$I$89,3,0)*0.475*44/12</f>
        <v>19.511812848213665</v>
      </c>
      <c r="EC133" s="21">
        <f>EXP(-LN(2)/2)*EC132+(1-EXP(-LN(2)/2))/(LN(2)/2)*DW133*DZ133*VLOOKUP('Données projet'!$B$14,Paramètres!$A$1:$I$89,3,0)*0.475*44/12</f>
        <v>6.2813706823499193E-13</v>
      </c>
      <c r="ED133" s="22">
        <f t="shared" si="126"/>
        <v>40.575306361932356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-1.2505552149377763E-12</v>
      </c>
      <c r="O134" s="13">
        <f>N134*VLOOKUP('Données projet'!$B$9,Paramètres!$A$1:$I$89,3,0)*VLOOKUP('Données projet'!$B$9,Paramètres!$A$1:$I$89,5,0)</f>
        <v>-6.9906036515021697E-13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446.28010102877403</v>
      </c>
      <c r="T134" s="59">
        <f t="shared" si="142"/>
        <v>445.84011537290456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1.5451630929676523</v>
      </c>
      <c r="AA134" s="21">
        <f>EXP(-LN(2)/25)*AA133+(1-EXP(-LN(2)/25))/(LN(2)/25)*Calculateur!V134*Calculateur!X134*VLOOKUP('Données projet'!$B$9,Paramètres!$A$1:$I$89,3,0)*0.475*44/12</f>
        <v>2.3562207498430938</v>
      </c>
      <c r="AB134" s="21">
        <f>EXP(-LN(2)/2)*AB133+(1-EXP(-LN(2)/2))/(LN(2)/2)*V134*Y134*VLOOKUP('Données projet'!$B$9,Paramètres!$A$1:$I$89,3,0)*0.475*44/12</f>
        <v>2.2905696628189202E-14</v>
      </c>
      <c r="AC134" s="22">
        <f t="shared" si="111"/>
        <v>3.9013838428107692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-5.3205440053716299E-14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252.98248842635206</v>
      </c>
      <c r="AO134" s="59">
        <f t="shared" si="144"/>
        <v>207.11938580878308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0.42412416857470842</v>
      </c>
      <c r="AV134" s="21">
        <f>EXP(-LN(2)/25)*AV133+(1-EXP(-LN(2)/25))/(LN(2)/25)*Calculateur!AQ134*Calculateur!AS134*VLOOKUP('Données projet'!$B$10,Paramètres!$A$1:$I$89,3,0)*0.475*44/12</f>
        <v>0.47754101675827293</v>
      </c>
      <c r="AW134" s="21">
        <f>EXP(-LN(2)/2)*AW133+(1-EXP(-LN(2)/2))/(LN(2)/2)*AQ134*AT134*VLOOKUP('Données projet'!$B$10,Paramètres!$A$1:$I$89,3,0)*0.475*44/12</f>
        <v>6.1749704576642879E-15</v>
      </c>
      <c r="AX134" s="21">
        <f t="shared" si="114"/>
        <v>0.90166518533298756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2.8421709430404007E-14</v>
      </c>
      <c r="BE134" s="13">
        <f>BD134*VLOOKUP('Données projet'!$B$11,Paramètres!$A$1:$I$89,3,0)*VLOOKUP('Données projet'!$B$11,Paramètres!$A$1:$I$89,5,0)</f>
        <v>1.8621904018800706E-14</v>
      </c>
      <c r="BF134" s="13">
        <f t="shared" si="145"/>
        <v>3.40208645124969E-13</v>
      </c>
      <c r="BG134" s="20">
        <f t="shared" si="115"/>
        <v>6.2496320642539887E-13</v>
      </c>
      <c r="BH134" s="59">
        <f t="shared" si="116"/>
        <v>293.33333333333394</v>
      </c>
      <c r="BI134" s="59">
        <f ca="1">AVERAGE(OFFSET($BH$3,0,0,'Données projet'!$E$11+1,1))-AVERAGE(OFFSET($H$3,0,0,'Données projet'!$E$11+1,1))</f>
        <v>114.23168847330004</v>
      </c>
      <c r="BJ134" s="59">
        <f t="shared" si="146"/>
        <v>42.34857998136755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2.8421709430404007E-14</v>
      </c>
      <c r="BZ134" s="13">
        <f>BY134*VLOOKUP('Données projet'!$B$12,Paramètres!$A$1:$I$89,3,0)*VLOOKUP('Données projet'!$B$12,Paramètres!$A$1:$I$89,5,0)</f>
        <v>2.7489477361086758E-14</v>
      </c>
      <c r="CA134" s="13">
        <f t="shared" si="147"/>
        <v>4.7995394886724981E-13</v>
      </c>
      <c r="CB134" s="20">
        <f t="shared" si="118"/>
        <v>8.8379730068101964E-13</v>
      </c>
      <c r="CC134" s="59">
        <f t="shared" si="119"/>
        <v>293.33333333333422</v>
      </c>
      <c r="CD134" s="59">
        <f ca="1">AVERAGE(OFFSET($CC$3,0,0,'Données projet'!$E$12+1,1))-AVERAGE(OFFSET($H$3,0,0,'Données projet'!$E$12+1,1))</f>
        <v>201.36664523637006</v>
      </c>
      <c r="CE134" s="59">
        <f t="shared" si="148"/>
        <v>79.394119001888555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13.005686891984764</v>
      </c>
      <c r="CM134" s="21">
        <f>EXP(-LN(2)/2)*CM133+(1-EXP(-LN(2)/2))/(LN(2)/2)*CG134*CJ134*VLOOKUP('Données projet'!$B$12,Paramètres!$A$1:$I$89,3,0)*0.475*44/12</f>
        <v>2.4759367542326369E-13</v>
      </c>
      <c r="CN134" s="22">
        <f t="shared" si="120"/>
        <v>13.005686891985011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1.1368683772161603E-13</v>
      </c>
      <c r="CU134" s="17">
        <f>CT134*VLOOKUP('Données projet'!$B$13,Paramètres!$A$1:$I$89,3,0)*VLOOKUP('Données projet'!$B$13,Paramètres!$A$1:$I$89,5,0)</f>
        <v>1.0286385077051818E-13</v>
      </c>
      <c r="CV134" s="13">
        <f t="shared" si="149"/>
        <v>1.5402366592183556E-12</v>
      </c>
      <c r="CW134" s="20">
        <f t="shared" si="121"/>
        <v>2.8617333882306215E-12</v>
      </c>
      <c r="CX134" s="59">
        <f t="shared" si="122"/>
        <v>293.33333333333616</v>
      </c>
      <c r="CY134" s="59">
        <f ca="1">AVERAGE(OFFSET($CX$3,0,0,'Données projet'!$E$13+1,1))-AVERAGE(OFFSET($H$3,0,0,'Données projet'!$E$13+1,1))</f>
        <v>282.08542131880455</v>
      </c>
      <c r="CZ134" s="59">
        <f t="shared" si="150"/>
        <v>174.27503468762325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91.687387825914413</v>
      </c>
      <c r="DG134" s="21">
        <f>EXP(-LN(2)/25)*DG133+(1-EXP(-LN(2)/25))/(LN(2)/25)*Calculateur!DB134*Calculateur!DD134*VLOOKUP('Données projet'!$B$13,Paramètres!$A$1:$I$89,3,0)*0.475*44/12</f>
        <v>51.888969977964557</v>
      </c>
      <c r="DH134" s="21">
        <f>EXP(-LN(2)/2)*DH133+(1-EXP(-LN(2)/2))/(LN(2)/2)*DB134*DE134*VLOOKUP('Données projet'!$B$13,Paramètres!$A$1:$I$89,3,0)*0.475*44/12</f>
        <v>3.6807188524223747E-13</v>
      </c>
      <c r="DI134" s="22">
        <f t="shared" si="123"/>
        <v>143.57635780387935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5.6843418860808015E-14</v>
      </c>
      <c r="DP134" s="17">
        <f>DO134*VLOOKUP('Données projet'!$B$14,Paramètres!$A$1:$I$89,3,0)*VLOOKUP('Données projet'!$B$14,Paramètres!$A$1:$I$89,5,0)</f>
        <v>4.6111381379887463E-14</v>
      </c>
      <c r="DQ134" s="13">
        <f t="shared" si="151"/>
        <v>7.5804141040779151E-13</v>
      </c>
      <c r="DR134" s="20">
        <f t="shared" si="124"/>
        <v>1.4005661123635408E-12</v>
      </c>
      <c r="DS134" s="59">
        <f t="shared" si="125"/>
        <v>293.33333333333474</v>
      </c>
      <c r="DT134" s="59">
        <f ca="1">AVERAGE(OFFSET($DS$3,0,0,'Données projet'!$E$14+1,1))-AVERAGE(OFFSET($H$3,0,0,'Données projet'!$E$14+1,1))</f>
        <v>235.31102883830971</v>
      </c>
      <c r="DU134" s="59">
        <f t="shared" si="152"/>
        <v>271.48630853790422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20.650451253376517</v>
      </c>
      <c r="EB134" s="21">
        <f>EXP(-LN(2)/25)*EB133+(1-EXP(-LN(2)/25))/(LN(2)/25)*Calculateur!DW134*Calculateur!DY134*VLOOKUP('Données projet'!$B$14,Paramètres!$A$1:$I$89,3,0)*0.475*44/12</f>
        <v>18.978261299797619</v>
      </c>
      <c r="EC134" s="21">
        <f>EXP(-LN(2)/2)*EC133+(1-EXP(-LN(2)/2))/(LN(2)/2)*DW134*DZ134*VLOOKUP('Données projet'!$B$14,Paramètres!$A$1:$I$89,3,0)*0.475*44/12</f>
        <v>4.4415998046359992E-13</v>
      </c>
      <c r="ED134" s="22">
        <f t="shared" si="126"/>
        <v>39.628712553174587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-1.2505552149377763E-12</v>
      </c>
      <c r="O135" s="13">
        <f>N135*VLOOKUP('Données projet'!$B$9,Paramètres!$A$1:$I$89,3,0)*VLOOKUP('Données projet'!$B$9,Paramètres!$A$1:$I$89,5,0)</f>
        <v>-6.9906036515021697E-13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446.28010102877403</v>
      </c>
      <c r="T135" s="59">
        <f t="shared" si="142"/>
        <v>445.84011537290456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1.5148633871709836</v>
      </c>
      <c r="AA135" s="21">
        <f>EXP(-LN(2)/25)*AA134+(1-EXP(-LN(2)/25))/(LN(2)/25)*Calculateur!V135*Calculateur!X135*VLOOKUP('Données projet'!$B$9,Paramètres!$A$1:$I$89,3,0)*0.475*44/12</f>
        <v>2.2917897695303706</v>
      </c>
      <c r="AB135" s="21">
        <f>EXP(-LN(2)/2)*AB134+(1-EXP(-LN(2)/2))/(LN(2)/2)*V135*Y135*VLOOKUP('Données projet'!$B$9,Paramètres!$A$1:$I$89,3,0)*0.475*44/12</f>
        <v>1.6196773413594421E-14</v>
      </c>
      <c r="AC135" s="22">
        <f t="shared" si="111"/>
        <v>3.8066531567013699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-5.3205440053716299E-14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252.98248842635206</v>
      </c>
      <c r="AO135" s="59">
        <f t="shared" si="144"/>
        <v>207.11938580878308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0.41580735231915766</v>
      </c>
      <c r="AV135" s="21">
        <f>EXP(-LN(2)/25)*AV134+(1-EXP(-LN(2)/25))/(LN(2)/25)*Calculateur!AQ135*Calculateur!AS135*VLOOKUP('Données projet'!$B$10,Paramètres!$A$1:$I$89,3,0)*0.475*44/12</f>
        <v>0.46448263254222732</v>
      </c>
      <c r="AW135" s="21">
        <f>EXP(-LN(2)/2)*AW134+(1-EXP(-LN(2)/2))/(LN(2)/2)*AQ135*AT135*VLOOKUP('Données projet'!$B$10,Paramètres!$A$1:$I$89,3,0)*0.475*44/12</f>
        <v>4.3663634842410168E-15</v>
      </c>
      <c r="AX135" s="21">
        <f t="shared" si="114"/>
        <v>0.88028998486138932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2.8421709430404007E-14</v>
      </c>
      <c r="BE135" s="13">
        <f>BD135*VLOOKUP('Données projet'!$B$11,Paramètres!$A$1:$I$89,3,0)*VLOOKUP('Données projet'!$B$11,Paramètres!$A$1:$I$89,5,0)</f>
        <v>1.8621904018800706E-14</v>
      </c>
      <c r="BF135" s="13">
        <f t="shared" si="145"/>
        <v>3.40208645124969E-13</v>
      </c>
      <c r="BG135" s="20">
        <f t="shared" si="115"/>
        <v>6.2496320642539887E-13</v>
      </c>
      <c r="BH135" s="59">
        <f t="shared" si="116"/>
        <v>293.33333333333394</v>
      </c>
      <c r="BI135" s="59">
        <f ca="1">AVERAGE(OFFSET($BH$3,0,0,'Données projet'!$E$11+1,1))-AVERAGE(OFFSET($H$3,0,0,'Données projet'!$E$11+1,1))</f>
        <v>114.23168847330004</v>
      </c>
      <c r="BJ135" s="59">
        <f t="shared" si="146"/>
        <v>42.34857998136755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2.8421709430404007E-14</v>
      </c>
      <c r="BZ135" s="13">
        <f>BY135*VLOOKUP('Données projet'!$B$12,Paramètres!$A$1:$I$89,3,0)*VLOOKUP('Données projet'!$B$12,Paramètres!$A$1:$I$89,5,0)</f>
        <v>2.7489477361086758E-14</v>
      </c>
      <c r="CA135" s="13">
        <f t="shared" si="147"/>
        <v>4.7995394886724981E-13</v>
      </c>
      <c r="CB135" s="20">
        <f t="shared" si="118"/>
        <v>8.8379730068101964E-13</v>
      </c>
      <c r="CC135" s="59">
        <f t="shared" si="119"/>
        <v>293.33333333333422</v>
      </c>
      <c r="CD135" s="59">
        <f ca="1">AVERAGE(OFFSET($CC$3,0,0,'Données projet'!$E$12+1,1))-AVERAGE(OFFSET($H$3,0,0,'Données projet'!$E$12+1,1))</f>
        <v>201.36664523637006</v>
      </c>
      <c r="CE135" s="59">
        <f t="shared" si="148"/>
        <v>79.394119001888555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12.650045699984092</v>
      </c>
      <c r="CM135" s="21">
        <f>EXP(-LN(2)/2)*CM134+(1-EXP(-LN(2)/2))/(LN(2)/2)*CG135*CJ135*VLOOKUP('Données projet'!$B$12,Paramètres!$A$1:$I$89,3,0)*0.475*44/12</f>
        <v>1.7507516687069079E-13</v>
      </c>
      <c r="CN135" s="22">
        <f t="shared" si="120"/>
        <v>12.650045699984268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1.1368683772161603E-13</v>
      </c>
      <c r="CU135" s="17">
        <f>CT135*VLOOKUP('Données projet'!$B$13,Paramètres!$A$1:$I$89,3,0)*VLOOKUP('Données projet'!$B$13,Paramètres!$A$1:$I$89,5,0)</f>
        <v>1.0286385077051818E-13</v>
      </c>
      <c r="CV135" s="13">
        <f t="shared" si="149"/>
        <v>1.5402366592183556E-12</v>
      </c>
      <c r="CW135" s="20">
        <f t="shared" si="121"/>
        <v>2.8617333882306215E-12</v>
      </c>
      <c r="CX135" s="59">
        <f t="shared" si="122"/>
        <v>293.33333333333616</v>
      </c>
      <c r="CY135" s="59">
        <f ca="1">AVERAGE(OFFSET($CX$3,0,0,'Données projet'!$E$13+1,1))-AVERAGE(OFFSET($H$3,0,0,'Données projet'!$E$13+1,1))</f>
        <v>282.08542131880455</v>
      </c>
      <c r="CZ135" s="59">
        <f t="shared" si="150"/>
        <v>174.27503468762325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89.889454074432791</v>
      </c>
      <c r="DG135" s="21">
        <f>EXP(-LN(2)/25)*DG134+(1-EXP(-LN(2)/25))/(LN(2)/25)*Calculateur!DB135*Calculateur!DD135*VLOOKUP('Données projet'!$B$13,Paramètres!$A$1:$I$89,3,0)*0.475*44/12</f>
        <v>50.470063365194775</v>
      </c>
      <c r="DH135" s="21">
        <f>EXP(-LN(2)/2)*DH134+(1-EXP(-LN(2)/2))/(LN(2)/2)*DB135*DE135*VLOOKUP('Données projet'!$B$13,Paramètres!$A$1:$I$89,3,0)*0.475*44/12</f>
        <v>2.6026612601890284E-13</v>
      </c>
      <c r="DI135" s="22">
        <f t="shared" si="123"/>
        <v>140.35951743962781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5.6843418860808015E-14</v>
      </c>
      <c r="DP135" s="17">
        <f>DO135*VLOOKUP('Données projet'!$B$14,Paramètres!$A$1:$I$89,3,0)*VLOOKUP('Données projet'!$B$14,Paramètres!$A$1:$I$89,5,0)</f>
        <v>4.6111381379887463E-14</v>
      </c>
      <c r="DQ135" s="13">
        <f t="shared" si="151"/>
        <v>7.5804141040779151E-13</v>
      </c>
      <c r="DR135" s="20">
        <f t="shared" si="124"/>
        <v>1.4005661123635408E-12</v>
      </c>
      <c r="DS135" s="59">
        <f t="shared" si="125"/>
        <v>293.33333333333474</v>
      </c>
      <c r="DT135" s="59">
        <f ca="1">AVERAGE(OFFSET($DS$3,0,0,'Données projet'!$E$14+1,1))-AVERAGE(OFFSET($H$3,0,0,'Données projet'!$E$14+1,1))</f>
        <v>235.31102883830971</v>
      </c>
      <c r="DU135" s="59">
        <f t="shared" si="152"/>
        <v>271.48630853790422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20.245508499829363</v>
      </c>
      <c r="EB135" s="21">
        <f>EXP(-LN(2)/25)*EB134+(1-EXP(-LN(2)/25))/(LN(2)/25)*Calculateur!DW135*Calculateur!DY135*VLOOKUP('Données projet'!$B$14,Paramètres!$A$1:$I$89,3,0)*0.475*44/12</f>
        <v>18.459299746531268</v>
      </c>
      <c r="EC135" s="21">
        <f>EXP(-LN(2)/2)*EC134+(1-EXP(-LN(2)/2))/(LN(2)/2)*DW135*DZ135*VLOOKUP('Données projet'!$B$14,Paramètres!$A$1:$I$89,3,0)*0.475*44/12</f>
        <v>3.1406853411749602E-13</v>
      </c>
      <c r="ED135" s="22">
        <f t="shared" si="126"/>
        <v>38.70480824636094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-1.2505552149377763E-12</v>
      </c>
      <c r="O136" s="13">
        <f>N136*VLOOKUP('Données projet'!$B$9,Paramètres!$A$1:$I$89,3,0)*VLOOKUP('Données projet'!$B$9,Paramètres!$A$1:$I$89,5,0)</f>
        <v>-6.9906036515021697E-13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446.28010102877403</v>
      </c>
      <c r="T136" s="59">
        <f t="shared" si="142"/>
        <v>445.84011537290456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1.4851578401239918</v>
      </c>
      <c r="AA136" s="21">
        <f>EXP(-LN(2)/25)*AA135+(1-EXP(-LN(2)/25))/(LN(2)/25)*Calculateur!V136*Calculateur!X136*VLOOKUP('Données projet'!$B$9,Paramètres!$A$1:$I$89,3,0)*0.475*44/12</f>
        <v>2.2291206577625764</v>
      </c>
      <c r="AB136" s="21">
        <f>EXP(-LN(2)/2)*AB135+(1-EXP(-LN(2)/2))/(LN(2)/2)*V136*Y136*VLOOKUP('Données projet'!$B$9,Paramètres!$A$1:$I$89,3,0)*0.475*44/12</f>
        <v>1.1452848314094601E-14</v>
      </c>
      <c r="AC136" s="22">
        <f t="shared" si="111"/>
        <v>3.7142784978865797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-5.3205440053716299E-14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252.98248842635206</v>
      </c>
      <c r="AO136" s="59">
        <f t="shared" si="144"/>
        <v>207.11938580878308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0.40765362375762126</v>
      </c>
      <c r="AV136" s="21">
        <f>EXP(-LN(2)/25)*AV135+(1-EXP(-LN(2)/25))/(LN(2)/25)*Calculateur!AQ136*Calculateur!AS136*VLOOKUP('Données projet'!$B$10,Paramètres!$A$1:$I$89,3,0)*0.475*44/12</f>
        <v>0.45178133052928005</v>
      </c>
      <c r="AW136" s="21">
        <f>EXP(-LN(2)/2)*AW135+(1-EXP(-LN(2)/2))/(LN(2)/2)*AQ136*AT136*VLOOKUP('Données projet'!$B$10,Paramètres!$A$1:$I$89,3,0)*0.475*44/12</f>
        <v>3.087485228832144E-15</v>
      </c>
      <c r="AX136" s="21">
        <f t="shared" si="114"/>
        <v>0.85943495428690442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2.8421709430404007E-14</v>
      </c>
      <c r="BE136" s="13">
        <f>BD136*VLOOKUP('Données projet'!$B$11,Paramètres!$A$1:$I$89,3,0)*VLOOKUP('Données projet'!$B$11,Paramètres!$A$1:$I$89,5,0)</f>
        <v>1.8621904018800706E-14</v>
      </c>
      <c r="BF136" s="13">
        <f t="shared" si="145"/>
        <v>3.40208645124969E-13</v>
      </c>
      <c r="BG136" s="20">
        <f t="shared" si="115"/>
        <v>6.2496320642539887E-13</v>
      </c>
      <c r="BH136" s="59">
        <f t="shared" si="116"/>
        <v>293.33333333333394</v>
      </c>
      <c r="BI136" s="59">
        <f ca="1">AVERAGE(OFFSET($BH$3,0,0,'Données projet'!$E$11+1,1))-AVERAGE(OFFSET($H$3,0,0,'Données projet'!$E$11+1,1))</f>
        <v>114.23168847330004</v>
      </c>
      <c r="BJ136" s="59">
        <f t="shared" si="146"/>
        <v>42.34857998136755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2.8421709430404007E-14</v>
      </c>
      <c r="BZ136" s="13">
        <f>BY136*VLOOKUP('Données projet'!$B$12,Paramètres!$A$1:$I$89,3,0)*VLOOKUP('Données projet'!$B$12,Paramètres!$A$1:$I$89,5,0)</f>
        <v>2.7489477361086758E-14</v>
      </c>
      <c r="CA136" s="13">
        <f t="shared" si="147"/>
        <v>4.7995394886724981E-13</v>
      </c>
      <c r="CB136" s="20">
        <f t="shared" si="118"/>
        <v>8.8379730068101964E-13</v>
      </c>
      <c r="CC136" s="59">
        <f t="shared" si="119"/>
        <v>293.33333333333422</v>
      </c>
      <c r="CD136" s="59">
        <f ca="1">AVERAGE(OFFSET($CC$3,0,0,'Données projet'!$E$12+1,1))-AVERAGE(OFFSET($H$3,0,0,'Données projet'!$E$12+1,1))</f>
        <v>201.36664523637006</v>
      </c>
      <c r="CE136" s="59">
        <f t="shared" si="148"/>
        <v>79.394119001888555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12.304129535081037</v>
      </c>
      <c r="CM136" s="21">
        <f>EXP(-LN(2)/2)*CM135+(1-EXP(-LN(2)/2))/(LN(2)/2)*CG136*CJ136*VLOOKUP('Données projet'!$B$12,Paramètres!$A$1:$I$89,3,0)*0.475*44/12</f>
        <v>1.2379683771163185E-13</v>
      </c>
      <c r="CN136" s="22">
        <f t="shared" si="120"/>
        <v>12.304129535081161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1.1368683772161603E-13</v>
      </c>
      <c r="CU136" s="17">
        <f>CT136*VLOOKUP('Données projet'!$B$13,Paramètres!$A$1:$I$89,3,0)*VLOOKUP('Données projet'!$B$13,Paramètres!$A$1:$I$89,5,0)</f>
        <v>1.0286385077051818E-13</v>
      </c>
      <c r="CV136" s="13">
        <f t="shared" si="149"/>
        <v>1.5402366592183556E-12</v>
      </c>
      <c r="CW136" s="20">
        <f t="shared" si="121"/>
        <v>2.8617333882306215E-12</v>
      </c>
      <c r="CX136" s="59">
        <f t="shared" si="122"/>
        <v>293.33333333333616</v>
      </c>
      <c r="CY136" s="59">
        <f ca="1">AVERAGE(OFFSET($CX$3,0,0,'Données projet'!$E$13+1,1))-AVERAGE(OFFSET($H$3,0,0,'Données projet'!$E$13+1,1))</f>
        <v>282.08542131880455</v>
      </c>
      <c r="CZ136" s="59">
        <f t="shared" si="150"/>
        <v>174.27503468762325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88.126776707186423</v>
      </c>
      <c r="DG136" s="21">
        <f>EXP(-LN(2)/25)*DG135+(1-EXP(-LN(2)/25))/(LN(2)/25)*Calculateur!DB136*Calculateur!DD136*VLOOKUP('Données projet'!$B$13,Paramètres!$A$1:$I$89,3,0)*0.475*44/12</f>
        <v>49.089956828368244</v>
      </c>
      <c r="DH136" s="21">
        <f>EXP(-LN(2)/2)*DH135+(1-EXP(-LN(2)/2))/(LN(2)/2)*DB136*DE136*VLOOKUP('Données projet'!$B$13,Paramètres!$A$1:$I$89,3,0)*0.475*44/12</f>
        <v>1.8403594262111874E-13</v>
      </c>
      <c r="DI136" s="22">
        <f t="shared" si="123"/>
        <v>137.21673353555485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5.6843418860808015E-14</v>
      </c>
      <c r="DP136" s="17">
        <f>DO136*VLOOKUP('Données projet'!$B$14,Paramètres!$A$1:$I$89,3,0)*VLOOKUP('Données projet'!$B$14,Paramètres!$A$1:$I$89,5,0)</f>
        <v>4.6111381379887463E-14</v>
      </c>
      <c r="DQ136" s="13">
        <f t="shared" si="151"/>
        <v>7.5804141040779151E-13</v>
      </c>
      <c r="DR136" s="20">
        <f t="shared" si="124"/>
        <v>1.4005661123635408E-12</v>
      </c>
      <c r="DS136" s="59">
        <f t="shared" si="125"/>
        <v>293.33333333333474</v>
      </c>
      <c r="DT136" s="59">
        <f ca="1">AVERAGE(OFFSET($DS$3,0,0,'Données projet'!$E$14+1,1))-AVERAGE(OFFSET($H$3,0,0,'Données projet'!$E$14+1,1))</f>
        <v>235.31102883830971</v>
      </c>
      <c r="DU136" s="59">
        <f t="shared" si="152"/>
        <v>271.48630853790422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19.848506426688576</v>
      </c>
      <c r="EB136" s="21">
        <f>EXP(-LN(2)/25)*EB135+(1-EXP(-LN(2)/25))/(LN(2)/25)*Calculateur!DW136*Calculateur!DY136*VLOOKUP('Données projet'!$B$14,Paramètres!$A$1:$I$89,3,0)*0.475*44/12</f>
        <v>17.954529224229987</v>
      </c>
      <c r="EC136" s="21">
        <f>EXP(-LN(2)/2)*EC135+(1-EXP(-LN(2)/2))/(LN(2)/2)*DW136*DZ136*VLOOKUP('Données projet'!$B$14,Paramètres!$A$1:$I$89,3,0)*0.475*44/12</f>
        <v>2.2207999023180001E-13</v>
      </c>
      <c r="ED136" s="22">
        <f t="shared" si="126"/>
        <v>37.80303565091878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-1.2505552149377763E-12</v>
      </c>
      <c r="O137" s="13">
        <f>N137*VLOOKUP('Données projet'!$B$9,Paramètres!$A$1:$I$89,3,0)*VLOOKUP('Données projet'!$B$9,Paramètres!$A$1:$I$89,5,0)</f>
        <v>-6.9906036515021697E-13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446.28010102877403</v>
      </c>
      <c r="T137" s="59">
        <f t="shared" si="142"/>
        <v>445.84011537290456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1.4560348007359969</v>
      </c>
      <c r="AA137" s="21">
        <f>EXP(-LN(2)/25)*AA136+(1-EXP(-LN(2)/25))/(LN(2)/25)*Calculateur!V137*Calculateur!X137*VLOOKUP('Données projet'!$B$9,Paramètres!$A$1:$I$89,3,0)*0.475*44/12</f>
        <v>2.1681652361516979</v>
      </c>
      <c r="AB137" s="21">
        <f>EXP(-LN(2)/2)*AB136+(1-EXP(-LN(2)/2))/(LN(2)/2)*V137*Y137*VLOOKUP('Données projet'!$B$9,Paramètres!$A$1:$I$89,3,0)*0.475*44/12</f>
        <v>8.0983867067972106E-15</v>
      </c>
      <c r="AC137" s="22">
        <f t="shared" si="111"/>
        <v>3.6242000368877028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-5.3205440053716299E-14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252.98248842635206</v>
      </c>
      <c r="AO137" s="59">
        <f t="shared" si="144"/>
        <v>207.11938580878308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0.39965978483989323</v>
      </c>
      <c r="AV137" s="21">
        <f>EXP(-LN(2)/25)*AV136+(1-EXP(-LN(2)/25))/(LN(2)/25)*Calculateur!AQ137*Calculateur!AS137*VLOOKUP('Données projet'!$B$10,Paramètres!$A$1:$I$89,3,0)*0.475*44/12</f>
        <v>0.43942734628780927</v>
      </c>
      <c r="AW137" s="21">
        <f>EXP(-LN(2)/2)*AW136+(1-EXP(-LN(2)/2))/(LN(2)/2)*AQ137*AT137*VLOOKUP('Données projet'!$B$10,Paramètres!$A$1:$I$89,3,0)*0.475*44/12</f>
        <v>2.1831817421205084E-15</v>
      </c>
      <c r="AX137" s="21">
        <f t="shared" si="114"/>
        <v>0.83908713112770472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2.8421709430404007E-14</v>
      </c>
      <c r="BE137" s="13">
        <f>BD137*VLOOKUP('Données projet'!$B$11,Paramètres!$A$1:$I$89,3,0)*VLOOKUP('Données projet'!$B$11,Paramètres!$A$1:$I$89,5,0)</f>
        <v>1.8621904018800706E-14</v>
      </c>
      <c r="BF137" s="13">
        <f t="shared" si="145"/>
        <v>3.40208645124969E-13</v>
      </c>
      <c r="BG137" s="20">
        <f t="shared" si="115"/>
        <v>6.2496320642539887E-13</v>
      </c>
      <c r="BH137" s="59">
        <f t="shared" si="116"/>
        <v>293.33333333333394</v>
      </c>
      <c r="BI137" s="59">
        <f ca="1">AVERAGE(OFFSET($BH$3,0,0,'Données projet'!$E$11+1,1))-AVERAGE(OFFSET($H$3,0,0,'Données projet'!$E$11+1,1))</f>
        <v>114.23168847330004</v>
      </c>
      <c r="BJ137" s="59">
        <f t="shared" si="146"/>
        <v>42.34857998136755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2.8421709430404007E-14</v>
      </c>
      <c r="BZ137" s="13">
        <f>BY137*VLOOKUP('Données projet'!$B$12,Paramètres!$A$1:$I$89,3,0)*VLOOKUP('Données projet'!$B$12,Paramètres!$A$1:$I$89,5,0)</f>
        <v>2.7489477361086758E-14</v>
      </c>
      <c r="CA137" s="13">
        <f t="shared" si="147"/>
        <v>4.7995394886724981E-13</v>
      </c>
      <c r="CB137" s="20">
        <f t="shared" si="118"/>
        <v>8.8379730068101964E-13</v>
      </c>
      <c r="CC137" s="59">
        <f t="shared" si="119"/>
        <v>293.33333333333422</v>
      </c>
      <c r="CD137" s="59">
        <f ca="1">AVERAGE(OFFSET($CC$3,0,0,'Données projet'!$E$12+1,1))-AVERAGE(OFFSET($H$3,0,0,'Données projet'!$E$12+1,1))</f>
        <v>201.36664523637006</v>
      </c>
      <c r="CE137" s="59">
        <f t="shared" si="148"/>
        <v>79.394119001888555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11.967672465898195</v>
      </c>
      <c r="CM137" s="21">
        <f>EXP(-LN(2)/2)*CM136+(1-EXP(-LN(2)/2))/(LN(2)/2)*CG137*CJ137*VLOOKUP('Données projet'!$B$12,Paramètres!$A$1:$I$89,3,0)*0.475*44/12</f>
        <v>8.7537583435345397E-14</v>
      </c>
      <c r="CN137" s="22">
        <f t="shared" si="120"/>
        <v>11.967672465898282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1.1368683772161603E-13</v>
      </c>
      <c r="CU137" s="17">
        <f>CT137*VLOOKUP('Données projet'!$B$13,Paramètres!$A$1:$I$89,3,0)*VLOOKUP('Données projet'!$B$13,Paramètres!$A$1:$I$89,5,0)</f>
        <v>1.0286385077051818E-13</v>
      </c>
      <c r="CV137" s="13">
        <f t="shared" si="149"/>
        <v>1.5402366592183556E-12</v>
      </c>
      <c r="CW137" s="20">
        <f t="shared" si="121"/>
        <v>2.8617333882306215E-12</v>
      </c>
      <c r="CX137" s="59">
        <f t="shared" si="122"/>
        <v>293.33333333333616</v>
      </c>
      <c r="CY137" s="59">
        <f ca="1">AVERAGE(OFFSET($CX$3,0,0,'Données projet'!$E$13+1,1))-AVERAGE(OFFSET($H$3,0,0,'Données projet'!$E$13+1,1))</f>
        <v>282.08542131880455</v>
      </c>
      <c r="CZ137" s="59">
        <f t="shared" si="150"/>
        <v>174.27503468762325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86.398664367984722</v>
      </c>
      <c r="DG137" s="21">
        <f>EXP(-LN(2)/25)*DG136+(1-EXP(-LN(2)/25))/(LN(2)/25)*Calculateur!DB137*Calculateur!DD137*VLOOKUP('Données projet'!$B$13,Paramètres!$A$1:$I$89,3,0)*0.475*44/12</f>
        <v>47.747589377367881</v>
      </c>
      <c r="DH137" s="21">
        <f>EXP(-LN(2)/2)*DH136+(1-EXP(-LN(2)/2))/(LN(2)/2)*DB137*DE137*VLOOKUP('Données projet'!$B$13,Paramètres!$A$1:$I$89,3,0)*0.475*44/12</f>
        <v>1.3013306300945142E-13</v>
      </c>
      <c r="DI137" s="22">
        <f t="shared" si="123"/>
        <v>134.14625374535274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5.6843418860808015E-14</v>
      </c>
      <c r="DP137" s="17">
        <f>DO137*VLOOKUP('Données projet'!$B$14,Paramètres!$A$1:$I$89,3,0)*VLOOKUP('Données projet'!$B$14,Paramètres!$A$1:$I$89,5,0)</f>
        <v>4.6111381379887463E-14</v>
      </c>
      <c r="DQ137" s="13">
        <f t="shared" si="151"/>
        <v>7.5804141040779151E-13</v>
      </c>
      <c r="DR137" s="20">
        <f t="shared" si="124"/>
        <v>1.4005661123635408E-12</v>
      </c>
      <c r="DS137" s="59">
        <f t="shared" si="125"/>
        <v>293.33333333333474</v>
      </c>
      <c r="DT137" s="59">
        <f ca="1">AVERAGE(OFFSET($DS$3,0,0,'Données projet'!$E$14+1,1))-AVERAGE(OFFSET($H$3,0,0,'Données projet'!$E$14+1,1))</f>
        <v>235.31102883830971</v>
      </c>
      <c r="DU137" s="59">
        <f t="shared" si="152"/>
        <v>271.48630853790422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19.459289322054726</v>
      </c>
      <c r="EB137" s="21">
        <f>EXP(-LN(2)/25)*EB136+(1-EXP(-LN(2)/25))/(LN(2)/25)*Calculateur!DW137*Calculateur!DY137*VLOOKUP('Données projet'!$B$14,Paramètres!$A$1:$I$89,3,0)*0.475*44/12</f>
        <v>17.46356167840576</v>
      </c>
      <c r="EC137" s="21">
        <f>EXP(-LN(2)/2)*EC136+(1-EXP(-LN(2)/2))/(LN(2)/2)*DW137*DZ137*VLOOKUP('Données projet'!$B$14,Paramètres!$A$1:$I$89,3,0)*0.475*44/12</f>
        <v>1.5703426705874803E-13</v>
      </c>
      <c r="ED137" s="22">
        <f t="shared" si="126"/>
        <v>36.922851000460639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-1.2505552149377763E-12</v>
      </c>
      <c r="O138" s="13">
        <f>N138*VLOOKUP('Données projet'!$B$9,Paramètres!$A$1:$I$89,3,0)*VLOOKUP('Données projet'!$B$9,Paramètres!$A$1:$I$89,5,0)</f>
        <v>-6.9906036515021697E-13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446.28010102877403</v>
      </c>
      <c r="T138" s="59">
        <f t="shared" si="142"/>
        <v>445.84011537290456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1.4274828463871005</v>
      </c>
      <c r="AA138" s="21">
        <f>EXP(-LN(2)/25)*AA137+(1-EXP(-LN(2)/25))/(LN(2)/25)*Calculateur!V138*Calculateur!X138*VLOOKUP('Données projet'!$B$9,Paramètres!$A$1:$I$89,3,0)*0.475*44/12</f>
        <v>2.1088766437502753</v>
      </c>
      <c r="AB138" s="21">
        <f>EXP(-LN(2)/2)*AB137+(1-EXP(-LN(2)/2))/(LN(2)/2)*V138*Y138*VLOOKUP('Données projet'!$B$9,Paramètres!$A$1:$I$89,3,0)*0.475*44/12</f>
        <v>5.7264241570473004E-15</v>
      </c>
      <c r="AC138" s="22">
        <f t="shared" si="111"/>
        <v>3.5363594901373818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-5.3205440053716299E-14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252.98248842635206</v>
      </c>
      <c r="AO138" s="59">
        <f t="shared" si="144"/>
        <v>207.11938580878308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0.39182270022758153</v>
      </c>
      <c r="AV138" s="21">
        <f>EXP(-LN(2)/25)*AV137+(1-EXP(-LN(2)/25))/(LN(2)/25)*Calculateur!AQ138*Calculateur!AS138*VLOOKUP('Données projet'!$B$10,Paramètres!$A$1:$I$89,3,0)*0.475*44/12</f>
        <v>0.4274111823950893</v>
      </c>
      <c r="AW138" s="21">
        <f>EXP(-LN(2)/2)*AW137+(1-EXP(-LN(2)/2))/(LN(2)/2)*AQ138*AT138*VLOOKUP('Données projet'!$B$10,Paramètres!$A$1:$I$89,3,0)*0.475*44/12</f>
        <v>1.543742614416072E-15</v>
      </c>
      <c r="AX138" s="21">
        <f t="shared" si="114"/>
        <v>0.81923388262267238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2.8421709430404007E-14</v>
      </c>
      <c r="BE138" s="13">
        <f>BD138*VLOOKUP('Données projet'!$B$11,Paramètres!$A$1:$I$89,3,0)*VLOOKUP('Données projet'!$B$11,Paramètres!$A$1:$I$89,5,0)</f>
        <v>1.8621904018800706E-14</v>
      </c>
      <c r="BF138" s="13">
        <f t="shared" si="145"/>
        <v>3.40208645124969E-13</v>
      </c>
      <c r="BG138" s="20">
        <f t="shared" si="115"/>
        <v>6.2496320642539887E-13</v>
      </c>
      <c r="BH138" s="59">
        <f t="shared" si="116"/>
        <v>293.33333333333394</v>
      </c>
      <c r="BI138" s="59">
        <f ca="1">AVERAGE(OFFSET($BH$3,0,0,'Données projet'!$E$11+1,1))-AVERAGE(OFFSET($H$3,0,0,'Données projet'!$E$11+1,1))</f>
        <v>114.23168847330004</v>
      </c>
      <c r="BJ138" s="59">
        <f t="shared" si="146"/>
        <v>42.34857998136755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2.8421709430404007E-14</v>
      </c>
      <c r="BZ138" s="13">
        <f>BY138*VLOOKUP('Données projet'!$B$12,Paramètres!$A$1:$I$89,3,0)*VLOOKUP('Données projet'!$B$12,Paramètres!$A$1:$I$89,5,0)</f>
        <v>2.7489477361086758E-14</v>
      </c>
      <c r="CA138" s="13">
        <f t="shared" si="147"/>
        <v>4.7995394886724981E-13</v>
      </c>
      <c r="CB138" s="20">
        <f t="shared" si="118"/>
        <v>8.8379730068101964E-13</v>
      </c>
      <c r="CC138" s="59">
        <f t="shared" si="119"/>
        <v>293.33333333333422</v>
      </c>
      <c r="CD138" s="59">
        <f ca="1">AVERAGE(OFFSET($CC$3,0,0,'Données projet'!$E$12+1,1))-AVERAGE(OFFSET($H$3,0,0,'Données projet'!$E$12+1,1))</f>
        <v>201.36664523637006</v>
      </c>
      <c r="CE138" s="59">
        <f t="shared" si="148"/>
        <v>79.394119001888555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11.640415832965667</v>
      </c>
      <c r="CM138" s="21">
        <f>EXP(-LN(2)/2)*CM137+(1-EXP(-LN(2)/2))/(LN(2)/2)*CG138*CJ138*VLOOKUP('Données projet'!$B$12,Paramètres!$A$1:$I$89,3,0)*0.475*44/12</f>
        <v>6.1898418855815923E-14</v>
      </c>
      <c r="CN138" s="22">
        <f t="shared" si="120"/>
        <v>11.640415832965729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1.1368683772161603E-13</v>
      </c>
      <c r="CU138" s="17">
        <f>CT138*VLOOKUP('Données projet'!$B$13,Paramètres!$A$1:$I$89,3,0)*VLOOKUP('Données projet'!$B$13,Paramètres!$A$1:$I$89,5,0)</f>
        <v>1.0286385077051818E-13</v>
      </c>
      <c r="CV138" s="13">
        <f t="shared" si="149"/>
        <v>1.5402366592183556E-12</v>
      </c>
      <c r="CW138" s="20">
        <f t="shared" si="121"/>
        <v>2.8617333882306215E-12</v>
      </c>
      <c r="CX138" s="59">
        <f t="shared" si="122"/>
        <v>293.33333333333616</v>
      </c>
      <c r="CY138" s="59">
        <f ca="1">AVERAGE(OFFSET($CX$3,0,0,'Données projet'!$E$13+1,1))-AVERAGE(OFFSET($H$3,0,0,'Données projet'!$E$13+1,1))</f>
        <v>282.08542131880455</v>
      </c>
      <c r="CZ138" s="59">
        <f t="shared" si="150"/>
        <v>174.27503468762325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84.70443925771032</v>
      </c>
      <c r="DG138" s="21">
        <f>EXP(-LN(2)/25)*DG137+(1-EXP(-LN(2)/25))/(LN(2)/25)*Calculateur!DB138*Calculateur!DD138*VLOOKUP('Données projet'!$B$13,Paramètres!$A$1:$I$89,3,0)*0.475*44/12</f>
        <v>46.441929034907162</v>
      </c>
      <c r="DH138" s="21">
        <f>EXP(-LN(2)/2)*DH137+(1-EXP(-LN(2)/2))/(LN(2)/2)*DB138*DE138*VLOOKUP('Données projet'!$B$13,Paramètres!$A$1:$I$89,3,0)*0.475*44/12</f>
        <v>9.2017971310559368E-14</v>
      </c>
      <c r="DI138" s="22">
        <f t="shared" si="123"/>
        <v>131.14636829261755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5.6843418860808015E-14</v>
      </c>
      <c r="DP138" s="17">
        <f>DO138*VLOOKUP('Données projet'!$B$14,Paramètres!$A$1:$I$89,3,0)*VLOOKUP('Données projet'!$B$14,Paramètres!$A$1:$I$89,5,0)</f>
        <v>4.6111381379887463E-14</v>
      </c>
      <c r="DQ138" s="13">
        <f t="shared" si="151"/>
        <v>7.5804141040779151E-13</v>
      </c>
      <c r="DR138" s="20">
        <f t="shared" si="124"/>
        <v>1.4005661123635408E-12</v>
      </c>
      <c r="DS138" s="59">
        <f t="shared" si="125"/>
        <v>293.33333333333474</v>
      </c>
      <c r="DT138" s="59">
        <f ca="1">AVERAGE(OFFSET($DS$3,0,0,'Données projet'!$E$14+1,1))-AVERAGE(OFFSET($H$3,0,0,'Données projet'!$E$14+1,1))</f>
        <v>235.31102883830971</v>
      </c>
      <c r="DU138" s="59">
        <f t="shared" si="152"/>
        <v>271.48630853790422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19.077704527443753</v>
      </c>
      <c r="EB138" s="21">
        <f>EXP(-LN(2)/25)*EB137+(1-EXP(-LN(2)/25))/(LN(2)/25)*Calculateur!DW138*Calculateur!DY138*VLOOKUP('Données projet'!$B$14,Paramètres!$A$1:$I$89,3,0)*0.475*44/12</f>
        <v>16.986019665940958</v>
      </c>
      <c r="EC138" s="21">
        <f>EXP(-LN(2)/2)*EC137+(1-EXP(-LN(2)/2))/(LN(2)/2)*DW138*DZ138*VLOOKUP('Données projet'!$B$14,Paramètres!$A$1:$I$89,3,0)*0.475*44/12</f>
        <v>1.1103999511590002E-13</v>
      </c>
      <c r="ED138" s="22">
        <f t="shared" si="126"/>
        <v>36.063724193384829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-1.2505552149377763E-12</v>
      </c>
      <c r="O139" s="13">
        <f>N139*VLOOKUP('Données projet'!$B$9,Paramètres!$A$1:$I$89,3,0)*VLOOKUP('Données projet'!$B$9,Paramètres!$A$1:$I$89,5,0)</f>
        <v>-6.9906036515021697E-13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446.28010102877403</v>
      </c>
      <c r="T139" s="59">
        <f t="shared" si="142"/>
        <v>445.84011537290456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1.3994907784480135</v>
      </c>
      <c r="AA139" s="21">
        <f>EXP(-LN(2)/25)*AA138+(1-EXP(-LN(2)/25))/(LN(2)/25)*Calculateur!V139*Calculateur!X139*VLOOKUP('Données projet'!$B$9,Paramètres!$A$1:$I$89,3,0)*0.475*44/12</f>
        <v>2.0512093010259211</v>
      </c>
      <c r="AB139" s="21">
        <f>EXP(-LN(2)/2)*AB138+(1-EXP(-LN(2)/2))/(LN(2)/2)*V139*Y139*VLOOKUP('Données projet'!$B$9,Paramètres!$A$1:$I$89,3,0)*0.475*44/12</f>
        <v>4.0491933533986053E-15</v>
      </c>
      <c r="AC139" s="22">
        <f t="shared" si="111"/>
        <v>3.4507000794739384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-5.3205440053716299E-14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252.98248842635206</v>
      </c>
      <c r="AO139" s="59">
        <f t="shared" si="144"/>
        <v>207.11938580878308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0.38413929606436764</v>
      </c>
      <c r="AV139" s="21">
        <f>EXP(-LN(2)/25)*AV138+(1-EXP(-LN(2)/25))/(LN(2)/25)*Calculateur!AQ139*Calculateur!AS139*VLOOKUP('Données projet'!$B$10,Paramètres!$A$1:$I$89,3,0)*0.475*44/12</f>
        <v>0.41572360113591833</v>
      </c>
      <c r="AW139" s="21">
        <f>EXP(-LN(2)/2)*AW138+(1-EXP(-LN(2)/2))/(LN(2)/2)*AQ139*AT139*VLOOKUP('Données projet'!$B$10,Paramètres!$A$1:$I$89,3,0)*0.475*44/12</f>
        <v>1.0915908710602542E-15</v>
      </c>
      <c r="AX139" s="21">
        <f t="shared" si="114"/>
        <v>0.79986289720028703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2.8421709430404007E-14</v>
      </c>
      <c r="BE139" s="13">
        <f>BD139*VLOOKUP('Données projet'!$B$11,Paramètres!$A$1:$I$89,3,0)*VLOOKUP('Données projet'!$B$11,Paramètres!$A$1:$I$89,5,0)</f>
        <v>1.8621904018800706E-14</v>
      </c>
      <c r="BF139" s="13">
        <f t="shared" si="145"/>
        <v>3.40208645124969E-13</v>
      </c>
      <c r="BG139" s="20">
        <f t="shared" si="115"/>
        <v>6.2496320642539887E-13</v>
      </c>
      <c r="BH139" s="59">
        <f t="shared" si="116"/>
        <v>293.33333333333394</v>
      </c>
      <c r="BI139" s="59">
        <f ca="1">AVERAGE(OFFSET($BH$3,0,0,'Données projet'!$E$11+1,1))-AVERAGE(OFFSET($H$3,0,0,'Données projet'!$E$11+1,1))</f>
        <v>114.23168847330004</v>
      </c>
      <c r="BJ139" s="59">
        <f t="shared" si="146"/>
        <v>42.34857998136755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2.8421709430404007E-14</v>
      </c>
      <c r="BZ139" s="13">
        <f>BY139*VLOOKUP('Données projet'!$B$12,Paramètres!$A$1:$I$89,3,0)*VLOOKUP('Données projet'!$B$12,Paramètres!$A$1:$I$89,5,0)</f>
        <v>2.7489477361086758E-14</v>
      </c>
      <c r="CA139" s="13">
        <f t="shared" si="147"/>
        <v>4.7995394886724981E-13</v>
      </c>
      <c r="CB139" s="20">
        <f t="shared" si="118"/>
        <v>8.8379730068101964E-13</v>
      </c>
      <c r="CC139" s="59">
        <f t="shared" si="119"/>
        <v>293.33333333333422</v>
      </c>
      <c r="CD139" s="59">
        <f ca="1">AVERAGE(OFFSET($CC$3,0,0,'Données projet'!$E$12+1,1))-AVERAGE(OFFSET($H$3,0,0,'Données projet'!$E$12+1,1))</f>
        <v>201.36664523637006</v>
      </c>
      <c r="CE139" s="59">
        <f t="shared" si="148"/>
        <v>79.394119001888555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11.322108049870357</v>
      </c>
      <c r="CM139" s="21">
        <f>EXP(-LN(2)/2)*CM138+(1-EXP(-LN(2)/2))/(LN(2)/2)*CG139*CJ139*VLOOKUP('Données projet'!$B$12,Paramètres!$A$1:$I$89,3,0)*0.475*44/12</f>
        <v>4.3768791717672699E-14</v>
      </c>
      <c r="CN139" s="22">
        <f t="shared" si="120"/>
        <v>11.322108049870401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1.1368683772161603E-13</v>
      </c>
      <c r="CU139" s="17">
        <f>CT139*VLOOKUP('Données projet'!$B$13,Paramètres!$A$1:$I$89,3,0)*VLOOKUP('Données projet'!$B$13,Paramètres!$A$1:$I$89,5,0)</f>
        <v>1.0286385077051818E-13</v>
      </c>
      <c r="CV139" s="13">
        <f t="shared" si="149"/>
        <v>1.5402366592183556E-12</v>
      </c>
      <c r="CW139" s="20">
        <f t="shared" si="121"/>
        <v>2.8617333882306215E-12</v>
      </c>
      <c r="CX139" s="59">
        <f t="shared" si="122"/>
        <v>293.33333333333616</v>
      </c>
      <c r="CY139" s="59">
        <f ca="1">AVERAGE(OFFSET($CX$3,0,0,'Données projet'!$E$13+1,1))-AVERAGE(OFFSET($H$3,0,0,'Données projet'!$E$13+1,1))</f>
        <v>282.08542131880455</v>
      </c>
      <c r="CZ139" s="59">
        <f t="shared" si="150"/>
        <v>174.27503468762325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83.043436868473108</v>
      </c>
      <c r="DG139" s="21">
        <f>EXP(-LN(2)/25)*DG138+(1-EXP(-LN(2)/25))/(LN(2)/25)*Calculateur!DB139*Calculateur!DD139*VLOOKUP('Données projet'!$B$13,Paramètres!$A$1:$I$89,3,0)*0.475*44/12</f>
        <v>45.171972043172723</v>
      </c>
      <c r="DH139" s="21">
        <f>EXP(-LN(2)/2)*DH138+(1-EXP(-LN(2)/2))/(LN(2)/2)*DB139*DE139*VLOOKUP('Données projet'!$B$13,Paramètres!$A$1:$I$89,3,0)*0.475*44/12</f>
        <v>6.5066531504725709E-14</v>
      </c>
      <c r="DI139" s="22">
        <f t="shared" si="123"/>
        <v>128.21540891164588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5.6843418860808015E-14</v>
      </c>
      <c r="DP139" s="17">
        <f>DO139*VLOOKUP('Données projet'!$B$14,Paramètres!$A$1:$I$89,3,0)*VLOOKUP('Données projet'!$B$14,Paramètres!$A$1:$I$89,5,0)</f>
        <v>4.6111381379887463E-14</v>
      </c>
      <c r="DQ139" s="13">
        <f t="shared" si="151"/>
        <v>7.5804141040779151E-13</v>
      </c>
      <c r="DR139" s="20">
        <f t="shared" si="124"/>
        <v>1.4005661123635408E-12</v>
      </c>
      <c r="DS139" s="59">
        <f t="shared" si="125"/>
        <v>293.33333333333474</v>
      </c>
      <c r="DT139" s="59">
        <f ca="1">AVERAGE(OFFSET($DS$3,0,0,'Données projet'!$E$14+1,1))-AVERAGE(OFFSET($H$3,0,0,'Données projet'!$E$14+1,1))</f>
        <v>235.31102883830971</v>
      </c>
      <c r="DU139" s="59">
        <f t="shared" si="152"/>
        <v>271.48630853790422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18.703602377911359</v>
      </c>
      <c r="EB139" s="21">
        <f>EXP(-LN(2)/25)*EB138+(1-EXP(-LN(2)/25))/(LN(2)/25)*Calculateur!DW139*Calculateur!DY139*VLOOKUP('Données projet'!$B$14,Paramètres!$A$1:$I$89,3,0)*0.475*44/12</f>
        <v>16.52153606491985</v>
      </c>
      <c r="EC139" s="21">
        <f>EXP(-LN(2)/2)*EC138+(1-EXP(-LN(2)/2))/(LN(2)/2)*DW139*DZ139*VLOOKUP('Données projet'!$B$14,Paramètres!$A$1:$I$89,3,0)*0.475*44/12</f>
        <v>7.8517133529374029E-14</v>
      </c>
      <c r="ED139" s="22">
        <f t="shared" si="126"/>
        <v>35.225138442831287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-1.2505552149377763E-12</v>
      </c>
      <c r="O140" s="13">
        <f>N140*VLOOKUP('Données projet'!$B$9,Paramètres!$A$1:$I$89,3,0)*VLOOKUP('Données projet'!$B$9,Paramètres!$A$1:$I$89,5,0)</f>
        <v>-6.9906036515021697E-13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446.28010102877403</v>
      </c>
      <c r="T140" s="59">
        <f t="shared" si="142"/>
        <v>445.84011537290456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1.3720476178877363</v>
      </c>
      <c r="AA140" s="21">
        <f>EXP(-LN(2)/25)*AA139+(1-EXP(-LN(2)/25))/(LN(2)/25)*Calculateur!V140*Calculateur!X140*VLOOKUP('Données projet'!$B$9,Paramètres!$A$1:$I$89,3,0)*0.475*44/12</f>
        <v>1.9951188748209583</v>
      </c>
      <c r="AB140" s="21">
        <f>EXP(-LN(2)/2)*AB139+(1-EXP(-LN(2)/2))/(LN(2)/2)*V140*Y140*VLOOKUP('Données projet'!$B$9,Paramètres!$A$1:$I$89,3,0)*0.475*44/12</f>
        <v>2.8632120785236502E-15</v>
      </c>
      <c r="AC140" s="22">
        <f t="shared" si="111"/>
        <v>3.3671664927086971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-5.3205440053716299E-14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252.98248842635206</v>
      </c>
      <c r="AO140" s="59">
        <f t="shared" si="144"/>
        <v>207.11938580878308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0.37660655877038063</v>
      </c>
      <c r="AV140" s="21">
        <f>EXP(-LN(2)/25)*AV139+(1-EXP(-LN(2)/25))/(LN(2)/25)*Calculateur!AQ140*Calculateur!AS140*VLOOKUP('Données projet'!$B$10,Paramètres!$A$1:$I$89,3,0)*0.475*44/12</f>
        <v>0.40435561740090259</v>
      </c>
      <c r="AW140" s="21">
        <f>EXP(-LN(2)/2)*AW139+(1-EXP(-LN(2)/2))/(LN(2)/2)*AQ140*AT140*VLOOKUP('Données projet'!$B$10,Paramètres!$A$1:$I$89,3,0)*0.475*44/12</f>
        <v>7.7187130720803599E-16</v>
      </c>
      <c r="AX140" s="21">
        <f t="shared" si="114"/>
        <v>0.78096217617128405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2.8421709430404007E-14</v>
      </c>
      <c r="BE140" s="13">
        <f>BD140*VLOOKUP('Données projet'!$B$11,Paramètres!$A$1:$I$89,3,0)*VLOOKUP('Données projet'!$B$11,Paramètres!$A$1:$I$89,5,0)</f>
        <v>1.8621904018800706E-14</v>
      </c>
      <c r="BF140" s="13">
        <f t="shared" si="145"/>
        <v>3.40208645124969E-13</v>
      </c>
      <c r="BG140" s="20">
        <f t="shared" si="115"/>
        <v>6.2496320642539887E-13</v>
      </c>
      <c r="BH140" s="59">
        <f t="shared" si="116"/>
        <v>293.33333333333394</v>
      </c>
      <c r="BI140" s="59">
        <f ca="1">AVERAGE(OFFSET($BH$3,0,0,'Données projet'!$E$11+1,1))-AVERAGE(OFFSET($H$3,0,0,'Données projet'!$E$11+1,1))</f>
        <v>114.23168847330004</v>
      </c>
      <c r="BJ140" s="59">
        <f t="shared" si="146"/>
        <v>42.34857998136755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2.8421709430404007E-14</v>
      </c>
      <c r="BZ140" s="13">
        <f>BY140*VLOOKUP('Données projet'!$B$12,Paramètres!$A$1:$I$89,3,0)*VLOOKUP('Données projet'!$B$12,Paramètres!$A$1:$I$89,5,0)</f>
        <v>2.7489477361086758E-14</v>
      </c>
      <c r="CA140" s="13">
        <f t="shared" si="147"/>
        <v>4.7995394886724981E-13</v>
      </c>
      <c r="CB140" s="20">
        <f t="shared" si="118"/>
        <v>8.8379730068101964E-13</v>
      </c>
      <c r="CC140" s="59">
        <f t="shared" si="119"/>
        <v>293.33333333333422</v>
      </c>
      <c r="CD140" s="59">
        <f ca="1">AVERAGE(OFFSET($CC$3,0,0,'Données projet'!$E$12+1,1))-AVERAGE(OFFSET($H$3,0,0,'Données projet'!$E$12+1,1))</f>
        <v>201.36664523637006</v>
      </c>
      <c r="CE140" s="59">
        <f t="shared" si="148"/>
        <v>79.394119001888555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11.012504409842867</v>
      </c>
      <c r="CM140" s="21">
        <f>EXP(-LN(2)/2)*CM139+(1-EXP(-LN(2)/2))/(LN(2)/2)*CG140*CJ140*VLOOKUP('Données projet'!$B$12,Paramètres!$A$1:$I$89,3,0)*0.475*44/12</f>
        <v>3.0949209427907962E-14</v>
      </c>
      <c r="CN140" s="22">
        <f t="shared" si="120"/>
        <v>11.012504409842897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1.1368683772161603E-13</v>
      </c>
      <c r="CU140" s="17">
        <f>CT140*VLOOKUP('Données projet'!$B$13,Paramètres!$A$1:$I$89,3,0)*VLOOKUP('Données projet'!$B$13,Paramètres!$A$1:$I$89,5,0)</f>
        <v>1.0286385077051818E-13</v>
      </c>
      <c r="CV140" s="13">
        <f t="shared" si="149"/>
        <v>1.5402366592183556E-12</v>
      </c>
      <c r="CW140" s="20">
        <f t="shared" si="121"/>
        <v>2.8617333882306215E-12</v>
      </c>
      <c r="CX140" s="59">
        <f t="shared" si="122"/>
        <v>293.33333333333616</v>
      </c>
      <c r="CY140" s="59">
        <f ca="1">AVERAGE(OFFSET($CX$3,0,0,'Données projet'!$E$13+1,1))-AVERAGE(OFFSET($H$3,0,0,'Données projet'!$E$13+1,1))</f>
        <v>282.08542131880455</v>
      </c>
      <c r="CZ140" s="59">
        <f t="shared" si="150"/>
        <v>174.27503468762325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81.415005722977426</v>
      </c>
      <c r="DG140" s="21">
        <f>EXP(-LN(2)/25)*DG139+(1-EXP(-LN(2)/25))/(LN(2)/25)*Calculateur!DB140*Calculateur!DD140*VLOOKUP('Données projet'!$B$13,Paramètres!$A$1:$I$89,3,0)*0.475*44/12</f>
        <v>43.936742092161396</v>
      </c>
      <c r="DH140" s="21">
        <f>EXP(-LN(2)/2)*DH139+(1-EXP(-LN(2)/2))/(LN(2)/2)*DB140*DE140*VLOOKUP('Données projet'!$B$13,Paramètres!$A$1:$I$89,3,0)*0.475*44/12</f>
        <v>4.6008985655279684E-14</v>
      </c>
      <c r="DI140" s="22">
        <f t="shared" si="123"/>
        <v>125.35174781513886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5.6843418860808015E-14</v>
      </c>
      <c r="DP140" s="17">
        <f>DO140*VLOOKUP('Données projet'!$B$14,Paramètres!$A$1:$I$89,3,0)*VLOOKUP('Données projet'!$B$14,Paramètres!$A$1:$I$89,5,0)</f>
        <v>4.6111381379887463E-14</v>
      </c>
      <c r="DQ140" s="13">
        <f t="shared" si="151"/>
        <v>7.5804141040779151E-13</v>
      </c>
      <c r="DR140" s="20">
        <f t="shared" si="124"/>
        <v>1.4005661123635408E-12</v>
      </c>
      <c r="DS140" s="59">
        <f t="shared" si="125"/>
        <v>293.33333333333474</v>
      </c>
      <c r="DT140" s="59">
        <f ca="1">AVERAGE(OFFSET($DS$3,0,0,'Données projet'!$E$14+1,1))-AVERAGE(OFFSET($H$3,0,0,'Données projet'!$E$14+1,1))</f>
        <v>235.31102883830971</v>
      </c>
      <c r="DU140" s="59">
        <f t="shared" si="152"/>
        <v>271.48630853790422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18.336836143351515</v>
      </c>
      <c r="EB140" s="21">
        <f>EXP(-LN(2)/25)*EB139+(1-EXP(-LN(2)/25))/(LN(2)/25)*Calculateur!DW140*Calculateur!DY140*VLOOKUP('Données projet'!$B$14,Paramètres!$A$1:$I$89,3,0)*0.475*44/12</f>
        <v>16.069753792394796</v>
      </c>
      <c r="EC140" s="21">
        <f>EXP(-LN(2)/2)*EC139+(1-EXP(-LN(2)/2))/(LN(2)/2)*DW140*DZ140*VLOOKUP('Données projet'!$B$14,Paramètres!$A$1:$I$89,3,0)*0.475*44/12</f>
        <v>5.5519997557950022E-14</v>
      </c>
      <c r="ED140" s="22">
        <f t="shared" si="126"/>
        <v>34.406589935746368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-1.2505552149377763E-12</v>
      </c>
      <c r="O141" s="13">
        <f>N141*VLOOKUP('Données projet'!$B$9,Paramètres!$A$1:$I$89,3,0)*VLOOKUP('Données projet'!$B$9,Paramètres!$A$1:$I$89,5,0)</f>
        <v>-6.9906036515021697E-13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446.28010102877403</v>
      </c>
      <c r="T141" s="59">
        <f t="shared" si="142"/>
        <v>445.84011537290456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1.345142600967371</v>
      </c>
      <c r="AA141" s="21">
        <f>EXP(-LN(2)/25)*AA140+(1-EXP(-LN(2)/25))/(LN(2)/25)*Calculateur!V141*Calculateur!X141*VLOOKUP('Données projet'!$B$9,Paramètres!$A$1:$I$89,3,0)*0.475*44/12</f>
        <v>1.9405622442702375</v>
      </c>
      <c r="AB141" s="21">
        <f>EXP(-LN(2)/2)*AB140+(1-EXP(-LN(2)/2))/(LN(2)/2)*V141*Y141*VLOOKUP('Données projet'!$B$9,Paramètres!$A$1:$I$89,3,0)*0.475*44/12</f>
        <v>2.0245966766993026E-15</v>
      </c>
      <c r="AC141" s="22">
        <f t="shared" si="111"/>
        <v>3.285704845237611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-5.3205440053716299E-14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252.98248842635206</v>
      </c>
      <c r="AO141" s="59">
        <f t="shared" si="144"/>
        <v>207.11938580878308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0.36922153386021261</v>
      </c>
      <c r="AV141" s="21">
        <f>EXP(-LN(2)/25)*AV140+(1-EXP(-LN(2)/25))/(LN(2)/25)*Calculateur!AQ141*Calculateur!AS141*VLOOKUP('Données projet'!$B$10,Paramètres!$A$1:$I$89,3,0)*0.475*44/12</f>
        <v>0.39329849177893716</v>
      </c>
      <c r="AW141" s="21">
        <f>EXP(-LN(2)/2)*AW140+(1-EXP(-LN(2)/2))/(LN(2)/2)*AQ141*AT141*VLOOKUP('Données projet'!$B$10,Paramètres!$A$1:$I$89,3,0)*0.475*44/12</f>
        <v>5.457954355301271E-16</v>
      </c>
      <c r="AX141" s="21">
        <f t="shared" si="114"/>
        <v>0.76252002563915033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2.8421709430404007E-14</v>
      </c>
      <c r="BE141" s="13">
        <f>BD141*VLOOKUP('Données projet'!$B$11,Paramètres!$A$1:$I$89,3,0)*VLOOKUP('Données projet'!$B$11,Paramètres!$A$1:$I$89,5,0)</f>
        <v>1.8621904018800706E-14</v>
      </c>
      <c r="BF141" s="13">
        <f t="shared" si="145"/>
        <v>3.40208645124969E-13</v>
      </c>
      <c r="BG141" s="20">
        <f t="shared" si="115"/>
        <v>6.2496320642539887E-13</v>
      </c>
      <c r="BH141" s="59">
        <f t="shared" si="116"/>
        <v>293.33333333333394</v>
      </c>
      <c r="BI141" s="59">
        <f ca="1">AVERAGE(OFFSET($BH$3,0,0,'Données projet'!$E$11+1,1))-AVERAGE(OFFSET($H$3,0,0,'Données projet'!$E$11+1,1))</f>
        <v>114.23168847330004</v>
      </c>
      <c r="BJ141" s="59">
        <f t="shared" si="146"/>
        <v>42.34857998136755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2.8421709430404007E-14</v>
      </c>
      <c r="BZ141" s="13">
        <f>BY141*VLOOKUP('Données projet'!$B$12,Paramètres!$A$1:$I$89,3,0)*VLOOKUP('Données projet'!$B$12,Paramètres!$A$1:$I$89,5,0)</f>
        <v>2.7489477361086758E-14</v>
      </c>
      <c r="CA141" s="13">
        <f t="shared" si="147"/>
        <v>4.7995394886724981E-13</v>
      </c>
      <c r="CB141" s="20">
        <f t="shared" si="118"/>
        <v>8.8379730068101964E-13</v>
      </c>
      <c r="CC141" s="59">
        <f t="shared" si="119"/>
        <v>293.33333333333422</v>
      </c>
      <c r="CD141" s="59">
        <f ca="1">AVERAGE(OFFSET($CC$3,0,0,'Données projet'!$E$12+1,1))-AVERAGE(OFFSET($H$3,0,0,'Données projet'!$E$12+1,1))</f>
        <v>201.36664523637006</v>
      </c>
      <c r="CE141" s="59">
        <f t="shared" si="148"/>
        <v>79.394119001888555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10.711366897633276</v>
      </c>
      <c r="CM141" s="21">
        <f>EXP(-LN(2)/2)*CM140+(1-EXP(-LN(2)/2))/(LN(2)/2)*CG141*CJ141*VLOOKUP('Données projet'!$B$12,Paramètres!$A$1:$I$89,3,0)*0.475*44/12</f>
        <v>2.1884395858836349E-14</v>
      </c>
      <c r="CN141" s="22">
        <f t="shared" si="120"/>
        <v>10.711366897633297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1.1368683772161603E-13</v>
      </c>
      <c r="CU141" s="17">
        <f>CT141*VLOOKUP('Données projet'!$B$13,Paramètres!$A$1:$I$89,3,0)*VLOOKUP('Données projet'!$B$13,Paramètres!$A$1:$I$89,5,0)</f>
        <v>1.0286385077051818E-13</v>
      </c>
      <c r="CV141" s="13">
        <f t="shared" si="149"/>
        <v>1.5402366592183556E-12</v>
      </c>
      <c r="CW141" s="20">
        <f t="shared" si="121"/>
        <v>2.8617333882306215E-12</v>
      </c>
      <c r="CX141" s="59">
        <f t="shared" si="122"/>
        <v>293.33333333333616</v>
      </c>
      <c r="CY141" s="59">
        <f ca="1">AVERAGE(OFFSET($CX$3,0,0,'Données projet'!$E$13+1,1))-AVERAGE(OFFSET($H$3,0,0,'Données projet'!$E$13+1,1))</f>
        <v>282.08542131880455</v>
      </c>
      <c r="CZ141" s="59">
        <f t="shared" si="150"/>
        <v>174.27503468762325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79.818507118999989</v>
      </c>
      <c r="DG141" s="21">
        <f>EXP(-LN(2)/25)*DG140+(1-EXP(-LN(2)/25))/(LN(2)/25)*Calculateur!DB141*Calculateur!DD141*VLOOKUP('Données projet'!$B$13,Paramètres!$A$1:$I$89,3,0)*0.475*44/12</f>
        <v>42.735289569118393</v>
      </c>
      <c r="DH141" s="21">
        <f>EXP(-LN(2)/2)*DH140+(1-EXP(-LN(2)/2))/(LN(2)/2)*DB141*DE141*VLOOKUP('Données projet'!$B$13,Paramètres!$A$1:$I$89,3,0)*0.475*44/12</f>
        <v>3.2533265752362855E-14</v>
      </c>
      <c r="DI141" s="22">
        <f t="shared" si="123"/>
        <v>122.55379668811841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5.6843418860808015E-14</v>
      </c>
      <c r="DP141" s="17">
        <f>DO141*VLOOKUP('Données projet'!$B$14,Paramètres!$A$1:$I$89,3,0)*VLOOKUP('Données projet'!$B$14,Paramètres!$A$1:$I$89,5,0)</f>
        <v>4.6111381379887463E-14</v>
      </c>
      <c r="DQ141" s="13">
        <f t="shared" si="151"/>
        <v>7.5804141040779151E-13</v>
      </c>
      <c r="DR141" s="20">
        <f t="shared" si="124"/>
        <v>1.4005661123635408E-12</v>
      </c>
      <c r="DS141" s="59">
        <f t="shared" si="125"/>
        <v>293.33333333333474</v>
      </c>
      <c r="DT141" s="59">
        <f ca="1">AVERAGE(OFFSET($DS$3,0,0,'Données projet'!$E$14+1,1))-AVERAGE(OFFSET($H$3,0,0,'Données projet'!$E$14+1,1))</f>
        <v>235.31102883830971</v>
      </c>
      <c r="DU141" s="59">
        <f t="shared" si="152"/>
        <v>271.48630853790422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17.977261970946074</v>
      </c>
      <c r="EB141" s="21">
        <f>EXP(-LN(2)/25)*EB140+(1-EXP(-LN(2)/25))/(LN(2)/25)*Calculateur!DW141*Calculateur!DY141*VLOOKUP('Données projet'!$B$14,Paramètres!$A$1:$I$89,3,0)*0.475*44/12</f>
        <v>15.630325529870136</v>
      </c>
      <c r="EC141" s="21">
        <f>EXP(-LN(2)/2)*EC140+(1-EXP(-LN(2)/2))/(LN(2)/2)*DW141*DZ141*VLOOKUP('Données projet'!$B$14,Paramètres!$A$1:$I$89,3,0)*0.475*44/12</f>
        <v>3.9258566764687021E-14</v>
      </c>
      <c r="ED141" s="22">
        <f t="shared" si="126"/>
        <v>33.607587500816251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-1.2505552149377763E-12</v>
      </c>
      <c r="O142" s="13">
        <f>N142*VLOOKUP('Données projet'!$B$9,Paramètres!$A$1:$I$89,3,0)*VLOOKUP('Données projet'!$B$9,Paramètres!$A$1:$I$89,5,0)</f>
        <v>-6.9906036515021697E-13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446.28010102877403</v>
      </c>
      <c r="T142" s="59">
        <f t="shared" si="142"/>
        <v>445.84011537290456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1.3187651750183742</v>
      </c>
      <c r="AA142" s="21">
        <f>EXP(-LN(2)/25)*AA141+(1-EXP(-LN(2)/25))/(LN(2)/25)*Calculateur!V142*Calculateur!X142*VLOOKUP('Données projet'!$B$9,Paramètres!$A$1:$I$89,3,0)*0.475*44/12</f>
        <v>1.8874974676509346</v>
      </c>
      <c r="AB142" s="21">
        <f>EXP(-LN(2)/2)*AB141+(1-EXP(-LN(2)/2))/(LN(2)/2)*V142*Y142*VLOOKUP('Données projet'!$B$9,Paramètres!$A$1:$I$89,3,0)*0.475*44/12</f>
        <v>1.4316060392618251E-15</v>
      </c>
      <c r="AC142" s="22">
        <f t="shared" si="111"/>
        <v>3.2062626426693099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-5.3205440053716299E-14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252.98248842635206</v>
      </c>
      <c r="AO142" s="59">
        <f t="shared" si="144"/>
        <v>207.11938580878308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0.36198132478411255</v>
      </c>
      <c r="AV142" s="21">
        <f>EXP(-LN(2)/25)*AV141+(1-EXP(-LN(2)/25))/(LN(2)/25)*Calculateur!AQ142*Calculateur!AS142*VLOOKUP('Données projet'!$B$10,Paramètres!$A$1:$I$89,3,0)*0.475*44/12</f>
        <v>0.38254372383857332</v>
      </c>
      <c r="AW142" s="21">
        <f>EXP(-LN(2)/2)*AW141+(1-EXP(-LN(2)/2))/(LN(2)/2)*AQ142*AT142*VLOOKUP('Données projet'!$B$10,Paramètres!$A$1:$I$89,3,0)*0.475*44/12</f>
        <v>3.85935653604018E-16</v>
      </c>
      <c r="AX142" s="21">
        <f t="shared" si="114"/>
        <v>0.7445250486226862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2.8421709430404007E-14</v>
      </c>
      <c r="BE142" s="13">
        <f>BD142*VLOOKUP('Données projet'!$B$11,Paramètres!$A$1:$I$89,3,0)*VLOOKUP('Données projet'!$B$11,Paramètres!$A$1:$I$89,5,0)</f>
        <v>1.8621904018800706E-14</v>
      </c>
      <c r="BF142" s="13">
        <f t="shared" si="145"/>
        <v>3.40208645124969E-13</v>
      </c>
      <c r="BG142" s="20">
        <f t="shared" si="115"/>
        <v>6.2496320642539887E-13</v>
      </c>
      <c r="BH142" s="59">
        <f t="shared" si="116"/>
        <v>293.33333333333394</v>
      </c>
      <c r="BI142" s="59">
        <f ca="1">AVERAGE(OFFSET($BH$3,0,0,'Données projet'!$E$11+1,1))-AVERAGE(OFFSET($H$3,0,0,'Données projet'!$E$11+1,1))</f>
        <v>114.23168847330004</v>
      </c>
      <c r="BJ142" s="59">
        <f t="shared" si="146"/>
        <v>42.34857998136755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2.8421709430404007E-14</v>
      </c>
      <c r="BZ142" s="13">
        <f>BY142*VLOOKUP('Données projet'!$B$12,Paramètres!$A$1:$I$89,3,0)*VLOOKUP('Données projet'!$B$12,Paramètres!$A$1:$I$89,5,0)</f>
        <v>2.7489477361086758E-14</v>
      </c>
      <c r="CA142" s="13">
        <f t="shared" si="147"/>
        <v>4.7995394886724981E-13</v>
      </c>
      <c r="CB142" s="20">
        <f t="shared" si="118"/>
        <v>8.8379730068101964E-13</v>
      </c>
      <c r="CC142" s="59">
        <f t="shared" si="119"/>
        <v>293.33333333333422</v>
      </c>
      <c r="CD142" s="59">
        <f ca="1">AVERAGE(OFFSET($CC$3,0,0,'Données projet'!$E$12+1,1))-AVERAGE(OFFSET($H$3,0,0,'Données projet'!$E$12+1,1))</f>
        <v>201.36664523637006</v>
      </c>
      <c r="CE142" s="59">
        <f t="shared" si="148"/>
        <v>79.394119001888555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10.41846400653119</v>
      </c>
      <c r="CM142" s="21">
        <f>EXP(-LN(2)/2)*CM141+(1-EXP(-LN(2)/2))/(LN(2)/2)*CG142*CJ142*VLOOKUP('Données projet'!$B$12,Paramètres!$A$1:$I$89,3,0)*0.475*44/12</f>
        <v>1.5474604713953981E-14</v>
      </c>
      <c r="CN142" s="22">
        <f t="shared" si="120"/>
        <v>10.418464006531206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1.1368683772161603E-13</v>
      </c>
      <c r="CU142" s="17">
        <f>CT142*VLOOKUP('Données projet'!$B$13,Paramètres!$A$1:$I$89,3,0)*VLOOKUP('Données projet'!$B$13,Paramètres!$A$1:$I$89,5,0)</f>
        <v>1.0286385077051818E-13</v>
      </c>
      <c r="CV142" s="13">
        <f t="shared" si="149"/>
        <v>1.5402366592183556E-12</v>
      </c>
      <c r="CW142" s="20">
        <f t="shared" si="121"/>
        <v>2.8617333882306215E-12</v>
      </c>
      <c r="CX142" s="59">
        <f t="shared" si="122"/>
        <v>293.33333333333616</v>
      </c>
      <c r="CY142" s="59">
        <f ca="1">AVERAGE(OFFSET($CX$3,0,0,'Données projet'!$E$13+1,1))-AVERAGE(OFFSET($H$3,0,0,'Données projet'!$E$13+1,1))</f>
        <v>282.08542131880455</v>
      </c>
      <c r="CZ142" s="59">
        <f t="shared" si="150"/>
        <v>174.27503468762325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78.253314878878555</v>
      </c>
      <c r="DG142" s="21">
        <f>EXP(-LN(2)/25)*DG141+(1-EXP(-LN(2)/25))/(LN(2)/25)*Calculateur!DB142*Calculateur!DD142*VLOOKUP('Données projet'!$B$13,Paramètres!$A$1:$I$89,3,0)*0.475*44/12</f>
        <v>41.566690828499645</v>
      </c>
      <c r="DH142" s="21">
        <f>EXP(-LN(2)/2)*DH141+(1-EXP(-LN(2)/2))/(LN(2)/2)*DB142*DE142*VLOOKUP('Données projet'!$B$13,Paramètres!$A$1:$I$89,3,0)*0.475*44/12</f>
        <v>2.3004492827639842E-14</v>
      </c>
      <c r="DI142" s="22">
        <f t="shared" si="123"/>
        <v>119.82000570737823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5.6843418860808015E-14</v>
      </c>
      <c r="DP142" s="17">
        <f>DO142*VLOOKUP('Données projet'!$B$14,Paramètres!$A$1:$I$89,3,0)*VLOOKUP('Données projet'!$B$14,Paramètres!$A$1:$I$89,5,0)</f>
        <v>4.6111381379887463E-14</v>
      </c>
      <c r="DQ142" s="13">
        <f t="shared" si="151"/>
        <v>7.5804141040779151E-13</v>
      </c>
      <c r="DR142" s="20">
        <f t="shared" si="124"/>
        <v>1.4005661123635408E-12</v>
      </c>
      <c r="DS142" s="59">
        <f t="shared" si="125"/>
        <v>293.33333333333474</v>
      </c>
      <c r="DT142" s="59">
        <f ca="1">AVERAGE(OFFSET($DS$3,0,0,'Données projet'!$E$14+1,1))-AVERAGE(OFFSET($H$3,0,0,'Données projet'!$E$14+1,1))</f>
        <v>235.31102883830971</v>
      </c>
      <c r="DU142" s="59">
        <f t="shared" si="152"/>
        <v>271.48630853790422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17.624738828742917</v>
      </c>
      <c r="EB142" s="21">
        <f>EXP(-LN(2)/25)*EB141+(1-EXP(-LN(2)/25))/(LN(2)/25)*Calculateur!DW142*Calculateur!DY142*VLOOKUP('Données projet'!$B$14,Paramètres!$A$1:$I$89,3,0)*0.475*44/12</f>
        <v>15.202913456292741</v>
      </c>
      <c r="EC142" s="21">
        <f>EXP(-LN(2)/2)*EC141+(1-EXP(-LN(2)/2))/(LN(2)/2)*DW142*DZ142*VLOOKUP('Données projet'!$B$14,Paramètres!$A$1:$I$89,3,0)*0.475*44/12</f>
        <v>2.7759998778975014E-14</v>
      </c>
      <c r="ED142" s="22">
        <f t="shared" si="126"/>
        <v>32.827652285035683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-1.2505552149377763E-12</v>
      </c>
      <c r="O143" s="13">
        <f>N143*VLOOKUP('Données projet'!$B$9,Paramètres!$A$1:$I$89,3,0)*VLOOKUP('Données projet'!$B$9,Paramètres!$A$1:$I$89,5,0)</f>
        <v>-6.9906036515021697E-13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446.28010102877403</v>
      </c>
      <c r="T143" s="59">
        <f t="shared" si="142"/>
        <v>445.84011537290456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1.292904994303596</v>
      </c>
      <c r="AA143" s="21">
        <f>EXP(-LN(2)/25)*AA142+(1-EXP(-LN(2)/25))/(LN(2)/25)*Calculateur!V143*Calculateur!X143*VLOOKUP('Données projet'!$B$9,Paramètres!$A$1:$I$89,3,0)*0.475*44/12</f>
        <v>1.8358837501388419</v>
      </c>
      <c r="AB143" s="21">
        <f>EXP(-LN(2)/2)*AB142+(1-EXP(-LN(2)/2))/(LN(2)/2)*V143*Y143*VLOOKUP('Données projet'!$B$9,Paramètres!$A$1:$I$89,3,0)*0.475*44/12</f>
        <v>1.0122983383496513E-15</v>
      </c>
      <c r="AC143" s="22">
        <f t="shared" si="111"/>
        <v>3.1287887444424385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-5.3205440053716299E-14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252.98248842635206</v>
      </c>
      <c r="AO143" s="59">
        <f t="shared" si="144"/>
        <v>207.11938580878308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0.3548830917919033</v>
      </c>
      <c r="AV143" s="21">
        <f>EXP(-LN(2)/25)*AV142+(1-EXP(-LN(2)/25))/(LN(2)/25)*Calculateur!AQ143*Calculateur!AS143*VLOOKUP('Données projet'!$B$10,Paramètres!$A$1:$I$89,3,0)*0.475*44/12</f>
        <v>0.3720830455931074</v>
      </c>
      <c r="AW143" s="21">
        <f>EXP(-LN(2)/2)*AW142+(1-EXP(-LN(2)/2))/(LN(2)/2)*AQ143*AT143*VLOOKUP('Données projet'!$B$10,Paramètres!$A$1:$I$89,3,0)*0.475*44/12</f>
        <v>2.7289771776506355E-16</v>
      </c>
      <c r="AX143" s="21">
        <f t="shared" si="114"/>
        <v>0.72696613738501092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2.8421709430404007E-14</v>
      </c>
      <c r="BE143" s="13">
        <f>BD143*VLOOKUP('Données projet'!$B$11,Paramètres!$A$1:$I$89,3,0)*VLOOKUP('Données projet'!$B$11,Paramètres!$A$1:$I$89,5,0)</f>
        <v>1.8621904018800706E-14</v>
      </c>
      <c r="BF143" s="13">
        <f t="shared" si="145"/>
        <v>3.40208645124969E-13</v>
      </c>
      <c r="BG143" s="20">
        <f t="shared" si="115"/>
        <v>6.2496320642539887E-13</v>
      </c>
      <c r="BH143" s="59">
        <f t="shared" si="116"/>
        <v>293.33333333333394</v>
      </c>
      <c r="BI143" s="59">
        <f ca="1">AVERAGE(OFFSET($BH$3,0,0,'Données projet'!$E$11+1,1))-AVERAGE(OFFSET($H$3,0,0,'Données projet'!$E$11+1,1))</f>
        <v>114.23168847330004</v>
      </c>
      <c r="BJ143" s="59">
        <f t="shared" si="146"/>
        <v>42.34857998136755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2.8421709430404007E-14</v>
      </c>
      <c r="BZ143" s="13">
        <f>BY143*VLOOKUP('Données projet'!$B$12,Paramètres!$A$1:$I$89,3,0)*VLOOKUP('Données projet'!$B$12,Paramètres!$A$1:$I$89,5,0)</f>
        <v>2.7489477361086758E-14</v>
      </c>
      <c r="CA143" s="13">
        <f t="shared" si="147"/>
        <v>4.7995394886724981E-13</v>
      </c>
      <c r="CB143" s="20">
        <f t="shared" si="118"/>
        <v>8.8379730068101964E-13</v>
      </c>
      <c r="CC143" s="59">
        <f t="shared" si="119"/>
        <v>293.33333333333422</v>
      </c>
      <c r="CD143" s="59">
        <f ca="1">AVERAGE(OFFSET($CC$3,0,0,'Données projet'!$E$12+1,1))-AVERAGE(OFFSET($H$3,0,0,'Données projet'!$E$12+1,1))</f>
        <v>201.36664523637006</v>
      </c>
      <c r="CE143" s="59">
        <f t="shared" si="148"/>
        <v>79.394119001888555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10.133570560389384</v>
      </c>
      <c r="CM143" s="21">
        <f>EXP(-LN(2)/2)*CM142+(1-EXP(-LN(2)/2))/(LN(2)/2)*CG143*CJ143*VLOOKUP('Données projet'!$B$12,Paramètres!$A$1:$I$89,3,0)*0.475*44/12</f>
        <v>1.0942197929418175E-14</v>
      </c>
      <c r="CN143" s="22">
        <f t="shared" si="120"/>
        <v>10.133570560389394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1.1368683772161603E-13</v>
      </c>
      <c r="CU143" s="17">
        <f>CT143*VLOOKUP('Données projet'!$B$13,Paramètres!$A$1:$I$89,3,0)*VLOOKUP('Données projet'!$B$13,Paramètres!$A$1:$I$89,5,0)</f>
        <v>1.0286385077051818E-13</v>
      </c>
      <c r="CV143" s="13">
        <f t="shared" si="149"/>
        <v>1.5402366592183556E-12</v>
      </c>
      <c r="CW143" s="20">
        <f t="shared" si="121"/>
        <v>2.8617333882306215E-12</v>
      </c>
      <c r="CX143" s="59">
        <f t="shared" si="122"/>
        <v>293.33333333333616</v>
      </c>
      <c r="CY143" s="59">
        <f ca="1">AVERAGE(OFFSET($CX$3,0,0,'Données projet'!$E$13+1,1))-AVERAGE(OFFSET($H$3,0,0,'Données projet'!$E$13+1,1))</f>
        <v>282.08542131880455</v>
      </c>
      <c r="CZ143" s="59">
        <f t="shared" si="150"/>
        <v>174.27503468762325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76.718815103912902</v>
      </c>
      <c r="DG143" s="21">
        <f>EXP(-LN(2)/25)*DG142+(1-EXP(-LN(2)/25))/(LN(2)/25)*Calculateur!DB143*Calculateur!DD143*VLOOKUP('Données projet'!$B$13,Paramètres!$A$1:$I$89,3,0)*0.475*44/12</f>
        <v>40.430047481897056</v>
      </c>
      <c r="DH143" s="21">
        <f>EXP(-LN(2)/2)*DH142+(1-EXP(-LN(2)/2))/(LN(2)/2)*DB143*DE143*VLOOKUP('Données projet'!$B$13,Paramètres!$A$1:$I$89,3,0)*0.475*44/12</f>
        <v>1.6266632876181427E-14</v>
      </c>
      <c r="DI143" s="22">
        <f t="shared" si="123"/>
        <v>117.14886258580997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5.6843418860808015E-14</v>
      </c>
      <c r="DP143" s="17">
        <f>DO143*VLOOKUP('Données projet'!$B$14,Paramètres!$A$1:$I$89,3,0)*VLOOKUP('Données projet'!$B$14,Paramètres!$A$1:$I$89,5,0)</f>
        <v>4.6111381379887463E-14</v>
      </c>
      <c r="DQ143" s="13">
        <f t="shared" si="151"/>
        <v>7.5804141040779151E-13</v>
      </c>
      <c r="DR143" s="20">
        <f t="shared" si="124"/>
        <v>1.4005661123635408E-12</v>
      </c>
      <c r="DS143" s="59">
        <f t="shared" si="125"/>
        <v>293.33333333333474</v>
      </c>
      <c r="DT143" s="59">
        <f ca="1">AVERAGE(OFFSET($DS$3,0,0,'Données projet'!$E$14+1,1))-AVERAGE(OFFSET($H$3,0,0,'Données projet'!$E$14+1,1))</f>
        <v>235.31102883830971</v>
      </c>
      <c r="DU143" s="59">
        <f t="shared" si="152"/>
        <v>271.48630853790422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17.279128450340476</v>
      </c>
      <c r="EB143" s="21">
        <f>EXP(-LN(2)/25)*EB142+(1-EXP(-LN(2)/25))/(LN(2)/25)*Calculateur!DW143*Calculateur!DY143*VLOOKUP('Données projet'!$B$14,Paramètres!$A$1:$I$89,3,0)*0.475*44/12</f>
        <v>14.787188988343944</v>
      </c>
      <c r="EC143" s="21">
        <f>EXP(-LN(2)/2)*EC142+(1-EXP(-LN(2)/2))/(LN(2)/2)*DW143*DZ143*VLOOKUP('Données projet'!$B$14,Paramètres!$A$1:$I$89,3,0)*0.475*44/12</f>
        <v>1.9629283382343514E-14</v>
      </c>
      <c r="ED143" s="22">
        <f t="shared" si="126"/>
        <v>32.066317438684443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-1.2505552149377763E-12</v>
      </c>
      <c r="O144" s="13">
        <f>N144*VLOOKUP('Données projet'!$B$9,Paramètres!$A$1:$I$89,3,0)*VLOOKUP('Données projet'!$B$9,Paramètres!$A$1:$I$89,5,0)</f>
        <v>-6.9906036515021697E-13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446.28010102877403</v>
      </c>
      <c r="T144" s="59">
        <f t="shared" si="142"/>
        <v>445.84011537290456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1.2675519159594817</v>
      </c>
      <c r="AA144" s="21">
        <f>EXP(-LN(2)/25)*AA143+(1-EXP(-LN(2)/25))/(LN(2)/25)*Calculateur!V144*Calculateur!X144*VLOOKUP('Données projet'!$B$9,Paramètres!$A$1:$I$89,3,0)*0.475*44/12</f>
        <v>1.7856814124463647</v>
      </c>
      <c r="AB144" s="21">
        <f>EXP(-LN(2)/2)*AB143+(1-EXP(-LN(2)/2))/(LN(2)/2)*V144*Y144*VLOOKUP('Données projet'!$B$9,Paramètres!$A$1:$I$89,3,0)*0.475*44/12</f>
        <v>7.1580301963091256E-16</v>
      </c>
      <c r="AC144" s="22">
        <f t="shared" si="111"/>
        <v>3.053233328405847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-5.3205440053716299E-14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252.98248842635206</v>
      </c>
      <c r="AO144" s="59">
        <f t="shared" si="144"/>
        <v>207.11938580878308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0.34792405081917671</v>
      </c>
      <c r="AV144" s="21">
        <f>EXP(-LN(2)/25)*AV143+(1-EXP(-LN(2)/25))/(LN(2)/25)*Calculateur!AQ144*Calculateur!AS144*VLOOKUP('Données projet'!$B$10,Paramètres!$A$1:$I$89,3,0)*0.475*44/12</f>
        <v>0.36190841514436689</v>
      </c>
      <c r="AW144" s="21">
        <f>EXP(-LN(2)/2)*AW143+(1-EXP(-LN(2)/2))/(LN(2)/2)*AQ144*AT144*VLOOKUP('Données projet'!$B$10,Paramètres!$A$1:$I$89,3,0)*0.475*44/12</f>
        <v>1.92967826802009E-16</v>
      </c>
      <c r="AX144" s="21">
        <f t="shared" si="114"/>
        <v>0.70983246596354377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2.8421709430404007E-14</v>
      </c>
      <c r="BE144" s="13">
        <f>BD144*VLOOKUP('Données projet'!$B$11,Paramètres!$A$1:$I$89,3,0)*VLOOKUP('Données projet'!$B$11,Paramètres!$A$1:$I$89,5,0)</f>
        <v>1.8621904018800706E-14</v>
      </c>
      <c r="BF144" s="13">
        <f t="shared" si="145"/>
        <v>3.40208645124969E-13</v>
      </c>
      <c r="BG144" s="20">
        <f t="shared" si="115"/>
        <v>6.2496320642539887E-13</v>
      </c>
      <c r="BH144" s="59">
        <f t="shared" si="116"/>
        <v>293.33333333333394</v>
      </c>
      <c r="BI144" s="59">
        <f ca="1">AVERAGE(OFFSET($BH$3,0,0,'Données projet'!$E$11+1,1))-AVERAGE(OFFSET($H$3,0,0,'Données projet'!$E$11+1,1))</f>
        <v>114.23168847330004</v>
      </c>
      <c r="BJ144" s="59">
        <f t="shared" si="146"/>
        <v>42.34857998136755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2.8421709430404007E-14</v>
      </c>
      <c r="BZ144" s="13">
        <f>BY144*VLOOKUP('Données projet'!$B$12,Paramètres!$A$1:$I$89,3,0)*VLOOKUP('Données projet'!$B$12,Paramètres!$A$1:$I$89,5,0)</f>
        <v>2.7489477361086758E-14</v>
      </c>
      <c r="CA144" s="13">
        <f t="shared" si="147"/>
        <v>4.7995394886724981E-13</v>
      </c>
      <c r="CB144" s="20">
        <f t="shared" si="118"/>
        <v>8.8379730068101964E-13</v>
      </c>
      <c r="CC144" s="59">
        <f t="shared" si="119"/>
        <v>293.33333333333422</v>
      </c>
      <c r="CD144" s="59">
        <f ca="1">AVERAGE(OFFSET($CC$3,0,0,'Données projet'!$E$12+1,1))-AVERAGE(OFFSET($H$3,0,0,'Données projet'!$E$12+1,1))</f>
        <v>201.36664523637006</v>
      </c>
      <c r="CE144" s="59">
        <f t="shared" si="148"/>
        <v>79.394119001888555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9.8564675405142204</v>
      </c>
      <c r="CM144" s="21">
        <f>EXP(-LN(2)/2)*CM143+(1-EXP(-LN(2)/2))/(LN(2)/2)*CG144*CJ144*VLOOKUP('Données projet'!$B$12,Paramètres!$A$1:$I$89,3,0)*0.475*44/12</f>
        <v>7.7373023569769904E-15</v>
      </c>
      <c r="CN144" s="22">
        <f t="shared" si="120"/>
        <v>9.8564675405142275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1.1368683772161603E-13</v>
      </c>
      <c r="CU144" s="17">
        <f>CT144*VLOOKUP('Données projet'!$B$13,Paramètres!$A$1:$I$89,3,0)*VLOOKUP('Données projet'!$B$13,Paramètres!$A$1:$I$89,5,0)</f>
        <v>1.0286385077051818E-13</v>
      </c>
      <c r="CV144" s="13">
        <f t="shared" si="149"/>
        <v>1.5402366592183556E-12</v>
      </c>
      <c r="CW144" s="20">
        <f t="shared" si="121"/>
        <v>2.8617333882306215E-12</v>
      </c>
      <c r="CX144" s="59">
        <f t="shared" si="122"/>
        <v>293.33333333333616</v>
      </c>
      <c r="CY144" s="59">
        <f ca="1">AVERAGE(OFFSET($CX$3,0,0,'Données projet'!$E$13+1,1))-AVERAGE(OFFSET($H$3,0,0,'Données projet'!$E$13+1,1))</f>
        <v>282.08542131880455</v>
      </c>
      <c r="CZ144" s="59">
        <f t="shared" si="150"/>
        <v>174.27503468762325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75.214405933581872</v>
      </c>
      <c r="DG144" s="21">
        <f>EXP(-LN(2)/25)*DG143+(1-EXP(-LN(2)/25))/(LN(2)/25)*Calculateur!DB144*Calculateur!DD144*VLOOKUP('Données projet'!$B$13,Paramètres!$A$1:$I$89,3,0)*0.475*44/12</f>
        <v>39.324485707380788</v>
      </c>
      <c r="DH144" s="21">
        <f>EXP(-LN(2)/2)*DH143+(1-EXP(-LN(2)/2))/(LN(2)/2)*DB144*DE144*VLOOKUP('Données projet'!$B$13,Paramètres!$A$1:$I$89,3,0)*0.475*44/12</f>
        <v>1.1502246413819921E-14</v>
      </c>
      <c r="DI144" s="22">
        <f t="shared" si="123"/>
        <v>114.53889164096267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5.6843418860808015E-14</v>
      </c>
      <c r="DP144" s="17">
        <f>DO144*VLOOKUP('Données projet'!$B$14,Paramètres!$A$1:$I$89,3,0)*VLOOKUP('Données projet'!$B$14,Paramètres!$A$1:$I$89,5,0)</f>
        <v>4.6111381379887463E-14</v>
      </c>
      <c r="DQ144" s="13">
        <f t="shared" si="151"/>
        <v>7.5804141040779151E-13</v>
      </c>
      <c r="DR144" s="20">
        <f t="shared" si="124"/>
        <v>1.4005661123635408E-12</v>
      </c>
      <c r="DS144" s="59">
        <f t="shared" si="125"/>
        <v>293.33333333333474</v>
      </c>
      <c r="DT144" s="59">
        <f ca="1">AVERAGE(OFFSET($DS$3,0,0,'Données projet'!$E$14+1,1))-AVERAGE(OFFSET($H$3,0,0,'Données projet'!$E$14+1,1))</f>
        <v>235.31102883830971</v>
      </c>
      <c r="DU144" s="59">
        <f t="shared" si="152"/>
        <v>271.48630853790422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16.94029528065699</v>
      </c>
      <c r="EB144" s="21">
        <f>EXP(-LN(2)/25)*EB143+(1-EXP(-LN(2)/25))/(LN(2)/25)*Calculateur!DW144*Calculateur!DY144*VLOOKUP('Données projet'!$B$14,Paramètres!$A$1:$I$89,3,0)*0.475*44/12</f>
        <v>14.382832527833207</v>
      </c>
      <c r="EC144" s="21">
        <f>EXP(-LN(2)/2)*EC143+(1-EXP(-LN(2)/2))/(LN(2)/2)*DW144*DZ144*VLOOKUP('Données projet'!$B$14,Paramètres!$A$1:$I$89,3,0)*0.475*44/12</f>
        <v>1.3879999389487509E-14</v>
      </c>
      <c r="ED144" s="22">
        <f t="shared" si="126"/>
        <v>31.323127808490213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-1.2505552149377763E-12</v>
      </c>
      <c r="O145" s="13">
        <f>N145*VLOOKUP('Données projet'!$B$9,Paramètres!$A$1:$I$89,3,0)*VLOOKUP('Données projet'!$B$9,Paramètres!$A$1:$I$89,5,0)</f>
        <v>-6.9906036515021697E-13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446.28010102877403</v>
      </c>
      <c r="T145" s="59">
        <f t="shared" si="142"/>
        <v>445.84011537290456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1.2426959960178448</v>
      </c>
      <c r="AA145" s="21">
        <f>EXP(-LN(2)/25)*AA144+(1-EXP(-LN(2)/25))/(LN(2)/25)*Calculateur!V145*Calculateur!X145*VLOOKUP('Données projet'!$B$9,Paramètres!$A$1:$I$89,3,0)*0.475*44/12</f>
        <v>1.7368518603181147</v>
      </c>
      <c r="AB145" s="21">
        <f>EXP(-LN(2)/2)*AB144+(1-EXP(-LN(2)/2))/(LN(2)/2)*V145*Y145*VLOOKUP('Données projet'!$B$9,Paramètres!$A$1:$I$89,3,0)*0.475*44/12</f>
        <v>5.0614916917482566E-16</v>
      </c>
      <c r="AC145" s="22">
        <f t="shared" si="111"/>
        <v>2.9795478563359601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-5.3205440053716299E-14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252.98248842635206</v>
      </c>
      <c r="AO145" s="59">
        <f t="shared" si="144"/>
        <v>207.11938580878308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0.3411014723953294</v>
      </c>
      <c r="AV145" s="21">
        <f>EXP(-LN(2)/25)*AV144+(1-EXP(-LN(2)/25))/(LN(2)/25)*Calculateur!AQ145*Calculateur!AS145*VLOOKUP('Données projet'!$B$10,Paramètres!$A$1:$I$89,3,0)*0.475*44/12</f>
        <v>0.35201201050030778</v>
      </c>
      <c r="AW145" s="21">
        <f>EXP(-LN(2)/2)*AW144+(1-EXP(-LN(2)/2))/(LN(2)/2)*AQ145*AT145*VLOOKUP('Données projet'!$B$10,Paramètres!$A$1:$I$89,3,0)*0.475*44/12</f>
        <v>1.3644885888253177E-16</v>
      </c>
      <c r="AX145" s="21">
        <f t="shared" si="114"/>
        <v>0.69311348289563723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2.8421709430404007E-14</v>
      </c>
      <c r="BE145" s="13">
        <f>BD145*VLOOKUP('Données projet'!$B$11,Paramètres!$A$1:$I$89,3,0)*VLOOKUP('Données projet'!$B$11,Paramètres!$A$1:$I$89,5,0)</f>
        <v>1.8621904018800706E-14</v>
      </c>
      <c r="BF145" s="13">
        <f t="shared" si="145"/>
        <v>3.40208645124969E-13</v>
      </c>
      <c r="BG145" s="20">
        <f t="shared" si="115"/>
        <v>6.2496320642539887E-13</v>
      </c>
      <c r="BH145" s="59">
        <f t="shared" si="116"/>
        <v>293.33333333333394</v>
      </c>
      <c r="BI145" s="59">
        <f ca="1">AVERAGE(OFFSET($BH$3,0,0,'Données projet'!$E$11+1,1))-AVERAGE(OFFSET($H$3,0,0,'Données projet'!$E$11+1,1))</f>
        <v>114.23168847330004</v>
      </c>
      <c r="BJ145" s="59">
        <f t="shared" si="146"/>
        <v>42.34857998136755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2.8421709430404007E-14</v>
      </c>
      <c r="BZ145" s="13">
        <f>BY145*VLOOKUP('Données projet'!$B$12,Paramètres!$A$1:$I$89,3,0)*VLOOKUP('Données projet'!$B$12,Paramètres!$A$1:$I$89,5,0)</f>
        <v>2.7489477361086758E-14</v>
      </c>
      <c r="CA145" s="13">
        <f t="shared" si="147"/>
        <v>4.7995394886724981E-13</v>
      </c>
      <c r="CB145" s="20">
        <f t="shared" si="118"/>
        <v>8.8379730068101964E-13</v>
      </c>
      <c r="CC145" s="59">
        <f t="shared" si="119"/>
        <v>293.33333333333422</v>
      </c>
      <c r="CD145" s="59">
        <f ca="1">AVERAGE(OFFSET($CC$3,0,0,'Données projet'!$E$12+1,1))-AVERAGE(OFFSET($H$3,0,0,'Données projet'!$E$12+1,1))</f>
        <v>201.36664523637006</v>
      </c>
      <c r="CE145" s="59">
        <f t="shared" si="148"/>
        <v>79.394119001888555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9.5869419172897583</v>
      </c>
      <c r="CM145" s="21">
        <f>EXP(-LN(2)/2)*CM144+(1-EXP(-LN(2)/2))/(LN(2)/2)*CG145*CJ145*VLOOKUP('Données projet'!$B$12,Paramètres!$A$1:$I$89,3,0)*0.475*44/12</f>
        <v>5.4710989647090873E-15</v>
      </c>
      <c r="CN145" s="22">
        <f t="shared" si="120"/>
        <v>9.5869419172897636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1.1368683772161603E-13</v>
      </c>
      <c r="CU145" s="17">
        <f>CT145*VLOOKUP('Données projet'!$B$13,Paramètres!$A$1:$I$89,3,0)*VLOOKUP('Données projet'!$B$13,Paramètres!$A$1:$I$89,5,0)</f>
        <v>1.0286385077051818E-13</v>
      </c>
      <c r="CV145" s="13">
        <f t="shared" si="149"/>
        <v>1.5402366592183556E-12</v>
      </c>
      <c r="CW145" s="20">
        <f t="shared" si="121"/>
        <v>2.8617333882306215E-12</v>
      </c>
      <c r="CX145" s="59">
        <f t="shared" si="122"/>
        <v>293.33333333333616</v>
      </c>
      <c r="CY145" s="59">
        <f ca="1">AVERAGE(OFFSET($CX$3,0,0,'Données projet'!$E$13+1,1))-AVERAGE(OFFSET($H$3,0,0,'Données projet'!$E$13+1,1))</f>
        <v>282.08542131880455</v>
      </c>
      <c r="CZ145" s="59">
        <f t="shared" si="150"/>
        <v>174.27503468762325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73.739497309482047</v>
      </c>
      <c r="DG145" s="21">
        <f>EXP(-LN(2)/25)*DG144+(1-EXP(-LN(2)/25))/(LN(2)/25)*Calculateur!DB145*Calculateur!DD145*VLOOKUP('Données projet'!$B$13,Paramètres!$A$1:$I$89,3,0)*0.475*44/12</f>
        <v>38.249155577727635</v>
      </c>
      <c r="DH145" s="21">
        <f>EXP(-LN(2)/2)*DH144+(1-EXP(-LN(2)/2))/(LN(2)/2)*DB145*DE145*VLOOKUP('Données projet'!$B$13,Paramètres!$A$1:$I$89,3,0)*0.475*44/12</f>
        <v>8.1333164380907137E-15</v>
      </c>
      <c r="DI145" s="22">
        <f t="shared" si="123"/>
        <v>111.9886528872097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5.6843418860808015E-14</v>
      </c>
      <c r="DP145" s="17">
        <f>DO145*VLOOKUP('Données projet'!$B$14,Paramètres!$A$1:$I$89,3,0)*VLOOKUP('Données projet'!$B$14,Paramètres!$A$1:$I$89,5,0)</f>
        <v>4.6111381379887463E-14</v>
      </c>
      <c r="DQ145" s="13">
        <f t="shared" si="151"/>
        <v>7.5804141040779151E-13</v>
      </c>
      <c r="DR145" s="20">
        <f t="shared" si="124"/>
        <v>1.4005661123635408E-12</v>
      </c>
      <c r="DS145" s="59">
        <f t="shared" si="125"/>
        <v>293.33333333333474</v>
      </c>
      <c r="DT145" s="59">
        <f ca="1">AVERAGE(OFFSET($DS$3,0,0,'Données projet'!$E$14+1,1))-AVERAGE(OFFSET($H$3,0,0,'Données projet'!$E$14+1,1))</f>
        <v>235.31102883830971</v>
      </c>
      <c r="DU145" s="59">
        <f t="shared" si="152"/>
        <v>271.48630853790422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16.608106422763171</v>
      </c>
      <c r="EB145" s="21">
        <f>EXP(-LN(2)/25)*EB144+(1-EXP(-LN(2)/25))/(LN(2)/25)*Calculateur!DW145*Calculateur!DY145*VLOOKUP('Données projet'!$B$14,Paramètres!$A$1:$I$89,3,0)*0.475*44/12</f>
        <v>13.989533215999318</v>
      </c>
      <c r="EC145" s="21">
        <f>EXP(-LN(2)/2)*EC144+(1-EXP(-LN(2)/2))/(LN(2)/2)*DW145*DZ145*VLOOKUP('Données projet'!$B$14,Paramètres!$A$1:$I$89,3,0)*0.475*44/12</f>
        <v>9.8146416911717584E-15</v>
      </c>
      <c r="ED145" s="22">
        <f t="shared" si="126"/>
        <v>30.597639638762498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-1.2505552149377763E-12</v>
      </c>
      <c r="O146" s="13">
        <f>N146*VLOOKUP('Données projet'!$B$9,Paramètres!$A$1:$I$89,3,0)*VLOOKUP('Données projet'!$B$9,Paramètres!$A$1:$I$89,5,0)</f>
        <v>-6.9906036515021697E-13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446.28010102877403</v>
      </c>
      <c r="T146" s="59">
        <f t="shared" si="142"/>
        <v>445.84011537290456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1.2183274855056492</v>
      </c>
      <c r="AA146" s="21">
        <f>EXP(-LN(2)/25)*AA145+(1-EXP(-LN(2)/25))/(LN(2)/25)*Calculateur!V146*Calculateur!X146*VLOOKUP('Données projet'!$B$9,Paramètres!$A$1:$I$89,3,0)*0.475*44/12</f>
        <v>1.6893575548606461</v>
      </c>
      <c r="AB146" s="21">
        <f>EXP(-LN(2)/2)*AB145+(1-EXP(-LN(2)/2))/(LN(2)/2)*V146*Y146*VLOOKUP('Données projet'!$B$9,Paramètres!$A$1:$I$89,3,0)*0.475*44/12</f>
        <v>3.5790150981545628E-16</v>
      </c>
      <c r="AC146" s="22">
        <f t="shared" si="111"/>
        <v>2.9076850403662955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-5.3205440053716299E-14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252.98248842635206</v>
      </c>
      <c r="AO146" s="59">
        <f t="shared" si="144"/>
        <v>207.11938580878308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0.33441268057301177</v>
      </c>
      <c r="AV146" s="21">
        <f>EXP(-LN(2)/25)*AV145+(1-EXP(-LN(2)/25))/(LN(2)/25)*Calculateur!AQ146*Calculateur!AS146*VLOOKUP('Données projet'!$B$10,Paramètres!$A$1:$I$89,3,0)*0.475*44/12</f>
        <v>0.34238622356166976</v>
      </c>
      <c r="AW146" s="21">
        <f>EXP(-LN(2)/2)*AW145+(1-EXP(-LN(2)/2))/(LN(2)/2)*AQ146*AT146*VLOOKUP('Données projet'!$B$10,Paramètres!$A$1:$I$89,3,0)*0.475*44/12</f>
        <v>9.6483913401004499E-17</v>
      </c>
      <c r="AX146" s="21">
        <f t="shared" si="114"/>
        <v>0.67679890413468169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2.8421709430404007E-14</v>
      </c>
      <c r="BE146" s="13">
        <f>BD146*VLOOKUP('Données projet'!$B$11,Paramètres!$A$1:$I$89,3,0)*VLOOKUP('Données projet'!$B$11,Paramètres!$A$1:$I$89,5,0)</f>
        <v>1.8621904018800706E-14</v>
      </c>
      <c r="BF146" s="13">
        <f t="shared" si="145"/>
        <v>3.40208645124969E-13</v>
      </c>
      <c r="BG146" s="20">
        <f t="shared" si="115"/>
        <v>6.2496320642539887E-13</v>
      </c>
      <c r="BH146" s="59">
        <f t="shared" si="116"/>
        <v>293.33333333333394</v>
      </c>
      <c r="BI146" s="59">
        <f ca="1">AVERAGE(OFFSET($BH$3,0,0,'Données projet'!$E$11+1,1))-AVERAGE(OFFSET($H$3,0,0,'Données projet'!$E$11+1,1))</f>
        <v>114.23168847330004</v>
      </c>
      <c r="BJ146" s="59">
        <f t="shared" si="146"/>
        <v>42.34857998136755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2.8421709430404007E-14</v>
      </c>
      <c r="BZ146" s="13">
        <f>BY146*VLOOKUP('Données projet'!$B$12,Paramètres!$A$1:$I$89,3,0)*VLOOKUP('Données projet'!$B$12,Paramètres!$A$1:$I$89,5,0)</f>
        <v>2.7489477361086758E-14</v>
      </c>
      <c r="CA146" s="13">
        <f t="shared" si="147"/>
        <v>4.7995394886724981E-13</v>
      </c>
      <c r="CB146" s="20">
        <f t="shared" si="118"/>
        <v>8.8379730068101964E-13</v>
      </c>
      <c r="CC146" s="59">
        <f t="shared" si="119"/>
        <v>293.33333333333422</v>
      </c>
      <c r="CD146" s="59">
        <f ca="1">AVERAGE(OFFSET($CC$3,0,0,'Données projet'!$E$12+1,1))-AVERAGE(OFFSET($H$3,0,0,'Données projet'!$E$12+1,1))</f>
        <v>201.36664523637006</v>
      </c>
      <c r="CE146" s="59">
        <f t="shared" si="148"/>
        <v>79.394119001888555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9.3247864864061061</v>
      </c>
      <c r="CM146" s="21">
        <f>EXP(-LN(2)/2)*CM145+(1-EXP(-LN(2)/2))/(LN(2)/2)*CG146*CJ146*VLOOKUP('Données projet'!$B$12,Paramètres!$A$1:$I$89,3,0)*0.475*44/12</f>
        <v>3.8686511784884952E-15</v>
      </c>
      <c r="CN146" s="22">
        <f t="shared" si="120"/>
        <v>9.3247864864061096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1.1368683772161603E-13</v>
      </c>
      <c r="CU146" s="17">
        <f>CT146*VLOOKUP('Données projet'!$B$13,Paramètres!$A$1:$I$89,3,0)*VLOOKUP('Données projet'!$B$13,Paramètres!$A$1:$I$89,5,0)</f>
        <v>1.0286385077051818E-13</v>
      </c>
      <c r="CV146" s="13">
        <f t="shared" si="149"/>
        <v>1.5402366592183556E-12</v>
      </c>
      <c r="CW146" s="20">
        <f t="shared" si="121"/>
        <v>2.8617333882306215E-12</v>
      </c>
      <c r="CX146" s="59">
        <f t="shared" si="122"/>
        <v>293.33333333333616</v>
      </c>
      <c r="CY146" s="59">
        <f ca="1">AVERAGE(OFFSET($CX$3,0,0,'Données projet'!$E$13+1,1))-AVERAGE(OFFSET($H$3,0,0,'Données projet'!$E$13+1,1))</f>
        <v>282.08542131880455</v>
      </c>
      <c r="CZ146" s="59">
        <f t="shared" si="150"/>
        <v>174.27503468762325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72.293510743895382</v>
      </c>
      <c r="DG146" s="21">
        <f>EXP(-LN(2)/25)*DG145+(1-EXP(-LN(2)/25))/(LN(2)/25)*Calculateur!DB146*Calculateur!DD146*VLOOKUP('Données projet'!$B$13,Paramètres!$A$1:$I$89,3,0)*0.475*44/12</f>
        <v>37.203230407018999</v>
      </c>
      <c r="DH146" s="21">
        <f>EXP(-LN(2)/2)*DH145+(1-EXP(-LN(2)/2))/(LN(2)/2)*DB146*DE146*VLOOKUP('Données projet'!$B$13,Paramètres!$A$1:$I$89,3,0)*0.475*44/12</f>
        <v>5.7511232069099605E-15</v>
      </c>
      <c r="DI146" s="22">
        <f t="shared" si="123"/>
        <v>109.49674115091437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5.6843418860808015E-14</v>
      </c>
      <c r="DP146" s="17">
        <f>DO146*VLOOKUP('Données projet'!$B$14,Paramètres!$A$1:$I$89,3,0)*VLOOKUP('Données projet'!$B$14,Paramètres!$A$1:$I$89,5,0)</f>
        <v>4.6111381379887463E-14</v>
      </c>
      <c r="DQ146" s="13">
        <f t="shared" si="151"/>
        <v>7.5804141040779151E-13</v>
      </c>
      <c r="DR146" s="20">
        <f t="shared" si="124"/>
        <v>1.4005661123635408E-12</v>
      </c>
      <c r="DS146" s="59">
        <f t="shared" si="125"/>
        <v>293.33333333333474</v>
      </c>
      <c r="DT146" s="59">
        <f ca="1">AVERAGE(OFFSET($DS$3,0,0,'Données projet'!$E$14+1,1))-AVERAGE(OFFSET($H$3,0,0,'Données projet'!$E$14+1,1))</f>
        <v>235.31102883830971</v>
      </c>
      <c r="DU146" s="59">
        <f t="shared" si="152"/>
        <v>271.48630853790422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16.282431585757454</v>
      </c>
      <c r="EB146" s="21">
        <f>EXP(-LN(2)/25)*EB145+(1-EXP(-LN(2)/25))/(LN(2)/25)*Calculateur!DW146*Calculateur!DY146*VLOOKUP('Données projet'!$B$14,Paramètres!$A$1:$I$89,3,0)*0.475*44/12</f>
        <v>13.606988694530239</v>
      </c>
      <c r="EC146" s="21">
        <f>EXP(-LN(2)/2)*EC145+(1-EXP(-LN(2)/2))/(LN(2)/2)*DW146*DZ146*VLOOKUP('Données projet'!$B$14,Paramètres!$A$1:$I$89,3,0)*0.475*44/12</f>
        <v>6.9399996947437559E-15</v>
      </c>
      <c r="ED146" s="22">
        <f t="shared" si="126"/>
        <v>29.889420280287702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-1.2505552149377763E-12</v>
      </c>
      <c r="O147" s="13">
        <f>N147*VLOOKUP('Données projet'!$B$9,Paramètres!$A$1:$I$89,3,0)*VLOOKUP('Données projet'!$B$9,Paramètres!$A$1:$I$89,5,0)</f>
        <v>-6.9906036515021697E-13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446.28010102877403</v>
      </c>
      <c r="T147" s="59">
        <f t="shared" si="142"/>
        <v>445.84011537290456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1.1944368266212739</v>
      </c>
      <c r="AA147" s="21">
        <f>EXP(-LN(2)/25)*AA146+(1-EXP(-LN(2)/25))/(LN(2)/25)*Calculateur!V147*Calculateur!X147*VLOOKUP('Données projet'!$B$9,Paramètres!$A$1:$I$89,3,0)*0.475*44/12</f>
        <v>1.6431619836835289</v>
      </c>
      <c r="AB147" s="21">
        <f>EXP(-LN(2)/2)*AB146+(1-EXP(-LN(2)/2))/(LN(2)/2)*V147*Y147*VLOOKUP('Données projet'!$B$9,Paramètres!$A$1:$I$89,3,0)*0.475*44/12</f>
        <v>2.5307458458741283E-16</v>
      </c>
      <c r="AC147" s="22">
        <f t="shared" si="111"/>
        <v>2.8375988103048031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-5.3205440053716299E-14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252.98248842635206</v>
      </c>
      <c r="AO147" s="59">
        <f t="shared" si="144"/>
        <v>207.11938580878308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0.32785505187856961</v>
      </c>
      <c r="AV147" s="21">
        <f>EXP(-LN(2)/25)*AV146+(1-EXP(-LN(2)/25))/(LN(2)/25)*Calculateur!AQ147*Calculateur!AS147*VLOOKUP('Données projet'!$B$10,Paramètres!$A$1:$I$89,3,0)*0.475*44/12</f>
        <v>0.33302365427306696</v>
      </c>
      <c r="AW147" s="21">
        <f>EXP(-LN(2)/2)*AW146+(1-EXP(-LN(2)/2))/(LN(2)/2)*AQ147*AT147*VLOOKUP('Données projet'!$B$10,Paramètres!$A$1:$I$89,3,0)*0.475*44/12</f>
        <v>6.8224429441265887E-17</v>
      </c>
      <c r="AX147" s="21">
        <f t="shared" si="114"/>
        <v>0.66087870615163669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2.8421709430404007E-14</v>
      </c>
      <c r="BE147" s="13">
        <f>BD147*VLOOKUP('Données projet'!$B$11,Paramètres!$A$1:$I$89,3,0)*VLOOKUP('Données projet'!$B$11,Paramètres!$A$1:$I$89,5,0)</f>
        <v>1.8621904018800706E-14</v>
      </c>
      <c r="BF147" s="13">
        <f t="shared" si="145"/>
        <v>3.40208645124969E-13</v>
      </c>
      <c r="BG147" s="20">
        <f t="shared" si="115"/>
        <v>6.2496320642539887E-13</v>
      </c>
      <c r="BH147" s="59">
        <f t="shared" si="116"/>
        <v>293.33333333333394</v>
      </c>
      <c r="BI147" s="59">
        <f ca="1">AVERAGE(OFFSET($BH$3,0,0,'Données projet'!$E$11+1,1))-AVERAGE(OFFSET($H$3,0,0,'Données projet'!$E$11+1,1))</f>
        <v>114.23168847330004</v>
      </c>
      <c r="BJ147" s="59">
        <f t="shared" si="146"/>
        <v>42.34857998136755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2.8421709430404007E-14</v>
      </c>
      <c r="BZ147" s="13">
        <f>BY147*VLOOKUP('Données projet'!$B$12,Paramètres!$A$1:$I$89,3,0)*VLOOKUP('Données projet'!$B$12,Paramètres!$A$1:$I$89,5,0)</f>
        <v>2.7489477361086758E-14</v>
      </c>
      <c r="CA147" s="13">
        <f t="shared" si="147"/>
        <v>4.7995394886724981E-13</v>
      </c>
      <c r="CB147" s="20">
        <f t="shared" si="118"/>
        <v>8.8379730068101964E-13</v>
      </c>
      <c r="CC147" s="59">
        <f t="shared" si="119"/>
        <v>293.33333333333422</v>
      </c>
      <c r="CD147" s="59">
        <f ca="1">AVERAGE(OFFSET($CC$3,0,0,'Données projet'!$E$12+1,1))-AVERAGE(OFFSET($H$3,0,0,'Données projet'!$E$12+1,1))</f>
        <v>201.36664523637006</v>
      </c>
      <c r="CE147" s="59">
        <f t="shared" si="148"/>
        <v>79.394119001888555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9.0697997095661211</v>
      </c>
      <c r="CM147" s="21">
        <f>EXP(-LN(2)/2)*CM146+(1-EXP(-LN(2)/2))/(LN(2)/2)*CG147*CJ147*VLOOKUP('Données projet'!$B$12,Paramètres!$A$1:$I$89,3,0)*0.475*44/12</f>
        <v>2.7355494823545437E-15</v>
      </c>
      <c r="CN147" s="22">
        <f t="shared" si="120"/>
        <v>9.0697997095661247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1.1368683772161603E-13</v>
      </c>
      <c r="CU147" s="17">
        <f>CT147*VLOOKUP('Données projet'!$B$13,Paramètres!$A$1:$I$89,3,0)*VLOOKUP('Données projet'!$B$13,Paramètres!$A$1:$I$89,5,0)</f>
        <v>1.0286385077051818E-13</v>
      </c>
      <c r="CV147" s="13">
        <f t="shared" si="149"/>
        <v>1.5402366592183556E-12</v>
      </c>
      <c r="CW147" s="20">
        <f t="shared" si="121"/>
        <v>2.8617333882306215E-12</v>
      </c>
      <c r="CX147" s="59">
        <f t="shared" si="122"/>
        <v>293.33333333333616</v>
      </c>
      <c r="CY147" s="59">
        <f ca="1">AVERAGE(OFFSET($CX$3,0,0,'Données projet'!$E$13+1,1))-AVERAGE(OFFSET($H$3,0,0,'Données projet'!$E$13+1,1))</f>
        <v>282.08542131880455</v>
      </c>
      <c r="CZ147" s="59">
        <f t="shared" si="150"/>
        <v>174.27503468762325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70.875879092895161</v>
      </c>
      <c r="DG147" s="21">
        <f>EXP(-LN(2)/25)*DG146+(1-EXP(-LN(2)/25))/(LN(2)/25)*Calculateur!DB147*Calculateur!DD147*VLOOKUP('Données projet'!$B$13,Paramètres!$A$1:$I$89,3,0)*0.475*44/12</f>
        <v>36.185906115106206</v>
      </c>
      <c r="DH147" s="21">
        <f>EXP(-LN(2)/2)*DH146+(1-EXP(-LN(2)/2))/(LN(2)/2)*DB147*DE147*VLOOKUP('Données projet'!$B$13,Paramètres!$A$1:$I$89,3,0)*0.475*44/12</f>
        <v>4.0666582190453568E-15</v>
      </c>
      <c r="DI147" s="22">
        <f t="shared" si="123"/>
        <v>107.06178520800137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5.6843418860808015E-14</v>
      </c>
      <c r="DP147" s="17">
        <f>DO147*VLOOKUP('Données projet'!$B$14,Paramètres!$A$1:$I$89,3,0)*VLOOKUP('Données projet'!$B$14,Paramètres!$A$1:$I$89,5,0)</f>
        <v>4.6111381379887463E-14</v>
      </c>
      <c r="DQ147" s="13">
        <f t="shared" si="151"/>
        <v>7.5804141040779151E-13</v>
      </c>
      <c r="DR147" s="20">
        <f t="shared" si="124"/>
        <v>1.4005661123635408E-12</v>
      </c>
      <c r="DS147" s="59">
        <f t="shared" si="125"/>
        <v>293.33333333333474</v>
      </c>
      <c r="DT147" s="59">
        <f ca="1">AVERAGE(OFFSET($DS$3,0,0,'Données projet'!$E$14+1,1))-AVERAGE(OFFSET($H$3,0,0,'Données projet'!$E$14+1,1))</f>
        <v>235.31102883830971</v>
      </c>
      <c r="DU147" s="59">
        <f t="shared" si="152"/>
        <v>271.48630853790422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15.963143033663384</v>
      </c>
      <c r="EB147" s="21">
        <f>EXP(-LN(2)/25)*EB146+(1-EXP(-LN(2)/25))/(LN(2)/25)*Calculateur!DW147*Calculateur!DY147*VLOOKUP('Données projet'!$B$14,Paramètres!$A$1:$I$89,3,0)*0.475*44/12</f>
        <v>13.234904873117873</v>
      </c>
      <c r="EC147" s="21">
        <f>EXP(-LN(2)/2)*EC146+(1-EXP(-LN(2)/2))/(LN(2)/2)*DW147*DZ147*VLOOKUP('Données projet'!$B$14,Paramètres!$A$1:$I$89,3,0)*0.475*44/12</f>
        <v>4.90732084558588E-15</v>
      </c>
      <c r="ED147" s="22">
        <f t="shared" si="126"/>
        <v>29.198047906781259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-1.2505552149377763E-12</v>
      </c>
      <c r="O148" s="13">
        <f>N148*VLOOKUP('Données projet'!$B$9,Paramètres!$A$1:$I$89,3,0)*VLOOKUP('Données projet'!$B$9,Paramètres!$A$1:$I$89,5,0)</f>
        <v>-6.9906036515021697E-13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446.28010102877403</v>
      </c>
      <c r="T148" s="59">
        <f t="shared" si="142"/>
        <v>445.84011537290456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1.1710146489857582</v>
      </c>
      <c r="AA148" s="21">
        <f>EXP(-LN(2)/25)*AA147+(1-EXP(-LN(2)/25))/(LN(2)/25)*Calculateur!V148*Calculateur!X148*VLOOKUP('Données projet'!$B$9,Paramètres!$A$1:$I$89,3,0)*0.475*44/12</f>
        <v>1.5982296328295695</v>
      </c>
      <c r="AB148" s="21">
        <f>EXP(-LN(2)/2)*AB147+(1-EXP(-LN(2)/2))/(LN(2)/2)*V148*Y148*VLOOKUP('Données projet'!$B$9,Paramètres!$A$1:$I$89,3,0)*0.475*44/12</f>
        <v>1.7895075490772814E-16</v>
      </c>
      <c r="AC148" s="22">
        <f t="shared" si="111"/>
        <v>2.769244281815328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-5.3205440053716299E-14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252.98248842635206</v>
      </c>
      <c r="AO148" s="59">
        <f t="shared" si="144"/>
        <v>207.11938580878308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0.32142601428306694</v>
      </c>
      <c r="AV148" s="21">
        <f>EXP(-LN(2)/25)*AV147+(1-EXP(-LN(2)/25))/(LN(2)/25)*Calculateur!AQ148*Calculateur!AS148*VLOOKUP('Données projet'!$B$10,Paramètres!$A$1:$I$89,3,0)*0.475*44/12</f>
        <v>0.3239171049340171</v>
      </c>
      <c r="AW148" s="21">
        <f>EXP(-LN(2)/2)*AW147+(1-EXP(-LN(2)/2))/(LN(2)/2)*AQ148*AT148*VLOOKUP('Données projet'!$B$10,Paramètres!$A$1:$I$89,3,0)*0.475*44/12</f>
        <v>4.8241956700502249E-17</v>
      </c>
      <c r="AX148" s="21">
        <f t="shared" si="114"/>
        <v>0.64534311921708398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2.8421709430404007E-14</v>
      </c>
      <c r="BE148" s="13">
        <f>BD148*VLOOKUP('Données projet'!$B$11,Paramètres!$A$1:$I$89,3,0)*VLOOKUP('Données projet'!$B$11,Paramètres!$A$1:$I$89,5,0)</f>
        <v>1.8621904018800706E-14</v>
      </c>
      <c r="BF148" s="13">
        <f t="shared" si="145"/>
        <v>3.40208645124969E-13</v>
      </c>
      <c r="BG148" s="20">
        <f t="shared" si="115"/>
        <v>6.2496320642539887E-13</v>
      </c>
      <c r="BH148" s="59">
        <f t="shared" si="116"/>
        <v>293.33333333333394</v>
      </c>
      <c r="BI148" s="59">
        <f ca="1">AVERAGE(OFFSET($BH$3,0,0,'Données projet'!$E$11+1,1))-AVERAGE(OFFSET($H$3,0,0,'Données projet'!$E$11+1,1))</f>
        <v>114.23168847330004</v>
      </c>
      <c r="BJ148" s="59">
        <f t="shared" si="146"/>
        <v>42.34857998136755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2.8421709430404007E-14</v>
      </c>
      <c r="BZ148" s="13">
        <f>BY148*VLOOKUP('Données projet'!$B$12,Paramètres!$A$1:$I$89,3,0)*VLOOKUP('Données projet'!$B$12,Paramètres!$A$1:$I$89,5,0)</f>
        <v>2.7489477361086758E-14</v>
      </c>
      <c r="CA148" s="13">
        <f t="shared" si="147"/>
        <v>4.7995394886724981E-13</v>
      </c>
      <c r="CB148" s="20">
        <f t="shared" si="118"/>
        <v>8.8379730068101964E-13</v>
      </c>
      <c r="CC148" s="59">
        <f t="shared" si="119"/>
        <v>293.33333333333422</v>
      </c>
      <c r="CD148" s="59">
        <f ca="1">AVERAGE(OFFSET($CC$3,0,0,'Données projet'!$E$12+1,1))-AVERAGE(OFFSET($H$3,0,0,'Données projet'!$E$12+1,1))</f>
        <v>201.36664523637006</v>
      </c>
      <c r="CE148" s="59">
        <f t="shared" si="148"/>
        <v>79.394119001888555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8.8217855595479975</v>
      </c>
      <c r="CM148" s="21">
        <f>EXP(-LN(2)/2)*CM147+(1-EXP(-LN(2)/2))/(LN(2)/2)*CG148*CJ148*VLOOKUP('Données projet'!$B$12,Paramètres!$A$1:$I$89,3,0)*0.475*44/12</f>
        <v>1.9343255892442476E-15</v>
      </c>
      <c r="CN148" s="22">
        <f t="shared" si="120"/>
        <v>8.8217855595479993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1.1368683772161603E-13</v>
      </c>
      <c r="CU148" s="17">
        <f>CT148*VLOOKUP('Données projet'!$B$13,Paramètres!$A$1:$I$89,3,0)*VLOOKUP('Données projet'!$B$13,Paramètres!$A$1:$I$89,5,0)</f>
        <v>1.0286385077051818E-13</v>
      </c>
      <c r="CV148" s="13">
        <f t="shared" si="149"/>
        <v>1.5402366592183556E-12</v>
      </c>
      <c r="CW148" s="20">
        <f t="shared" si="121"/>
        <v>2.8617333882306215E-12</v>
      </c>
      <c r="CX148" s="59">
        <f t="shared" si="122"/>
        <v>293.33333333333616</v>
      </c>
      <c r="CY148" s="59">
        <f ca="1">AVERAGE(OFFSET($CX$3,0,0,'Données projet'!$E$13+1,1))-AVERAGE(OFFSET($H$3,0,0,'Données projet'!$E$13+1,1))</f>
        <v>282.08542131880455</v>
      </c>
      <c r="CZ148" s="59">
        <f t="shared" si="150"/>
        <v>174.27503468762325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69.486046333901129</v>
      </c>
      <c r="DG148" s="21">
        <f>EXP(-LN(2)/25)*DG147+(1-EXP(-LN(2)/25))/(LN(2)/25)*Calculateur!DB148*Calculateur!DD148*VLOOKUP('Données projet'!$B$13,Paramètres!$A$1:$I$89,3,0)*0.475*44/12</f>
        <v>35.196400609454528</v>
      </c>
      <c r="DH148" s="21">
        <f>EXP(-LN(2)/2)*DH147+(1-EXP(-LN(2)/2))/(LN(2)/2)*DB148*DE148*VLOOKUP('Données projet'!$B$13,Paramètres!$A$1:$I$89,3,0)*0.475*44/12</f>
        <v>2.8755616034549803E-15</v>
      </c>
      <c r="DI148" s="22">
        <f t="shared" si="123"/>
        <v>104.68244694335566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5.6843418860808015E-14</v>
      </c>
      <c r="DP148" s="17">
        <f>DO148*VLOOKUP('Données projet'!$B$14,Paramètres!$A$1:$I$89,3,0)*VLOOKUP('Données projet'!$B$14,Paramètres!$A$1:$I$89,5,0)</f>
        <v>4.6111381379887463E-14</v>
      </c>
      <c r="DQ148" s="13">
        <f t="shared" si="151"/>
        <v>7.5804141040779151E-13</v>
      </c>
      <c r="DR148" s="20">
        <f t="shared" si="124"/>
        <v>1.4005661123635408E-12</v>
      </c>
      <c r="DS148" s="59">
        <f t="shared" si="125"/>
        <v>293.33333333333474</v>
      </c>
      <c r="DT148" s="59">
        <f ca="1">AVERAGE(OFFSET($DS$3,0,0,'Données projet'!$E$14+1,1))-AVERAGE(OFFSET($H$3,0,0,'Données projet'!$E$14+1,1))</f>
        <v>235.31102883830971</v>
      </c>
      <c r="DU148" s="59">
        <f t="shared" si="152"/>
        <v>271.48630853790422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15.650115535329091</v>
      </c>
      <c r="EB148" s="21">
        <f>EXP(-LN(2)/25)*EB147+(1-EXP(-LN(2)/25))/(LN(2)/25)*Calculateur!DW148*Calculateur!DY148*VLOOKUP('Données projet'!$B$14,Paramètres!$A$1:$I$89,3,0)*0.475*44/12</f>
        <v>12.872995703369067</v>
      </c>
      <c r="EC148" s="21">
        <f>EXP(-LN(2)/2)*EC147+(1-EXP(-LN(2)/2))/(LN(2)/2)*DW148*DZ148*VLOOKUP('Données projet'!$B$14,Paramètres!$A$1:$I$89,3,0)*0.475*44/12</f>
        <v>3.4699998473718783E-15</v>
      </c>
      <c r="ED148" s="22">
        <f t="shared" si="126"/>
        <v>28.52311123869816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-1.2505552149377763E-12</v>
      </c>
      <c r="O149" s="13">
        <f>N149*VLOOKUP('Données projet'!$B$9,Paramètres!$A$1:$I$89,3,0)*VLOOKUP('Données projet'!$B$9,Paramètres!$A$1:$I$89,5,0)</f>
        <v>-6.9906036515021697E-13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446.28010102877403</v>
      </c>
      <c r="T149" s="59">
        <f t="shared" si="142"/>
        <v>445.84011537290456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1.1480517659675573</v>
      </c>
      <c r="AA149" s="21">
        <f>EXP(-LN(2)/25)*AA148+(1-EXP(-LN(2)/25))/(LN(2)/25)*Calculateur!V149*Calculateur!X149*VLOOKUP('Données projet'!$B$9,Paramètres!$A$1:$I$89,3,0)*0.475*44/12</f>
        <v>1.5545259594726013</v>
      </c>
      <c r="AB149" s="21">
        <f>EXP(-LN(2)/2)*AB148+(1-EXP(-LN(2)/2))/(LN(2)/2)*V149*Y149*VLOOKUP('Données projet'!$B$9,Paramètres!$A$1:$I$89,3,0)*0.475*44/12</f>
        <v>1.2653729229370642E-16</v>
      </c>
      <c r="AC149" s="22">
        <f t="shared" si="111"/>
        <v>2.7025777254401584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-5.3205440053716299E-14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252.98248842635206</v>
      </c>
      <c r="AO149" s="59">
        <f t="shared" si="144"/>
        <v>207.11938580878308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0.31512304619348636</v>
      </c>
      <c r="AV149" s="21">
        <f>EXP(-LN(2)/25)*AV148+(1-EXP(-LN(2)/25))/(LN(2)/25)*Calculateur!AQ149*Calculateur!AS149*VLOOKUP('Données projet'!$B$10,Paramètres!$A$1:$I$89,3,0)*0.475*44/12</f>
        <v>0.31505957466553619</v>
      </c>
      <c r="AW149" s="21">
        <f>EXP(-LN(2)/2)*AW148+(1-EXP(-LN(2)/2))/(LN(2)/2)*AQ149*AT149*VLOOKUP('Données projet'!$B$10,Paramètres!$A$1:$I$89,3,0)*0.475*44/12</f>
        <v>3.4112214720632944E-17</v>
      </c>
      <c r="AX149" s="21">
        <f t="shared" si="114"/>
        <v>0.63018262085902255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2.8421709430404007E-14</v>
      </c>
      <c r="BE149" s="13">
        <f>BD149*VLOOKUP('Données projet'!$B$11,Paramètres!$A$1:$I$89,3,0)*VLOOKUP('Données projet'!$B$11,Paramètres!$A$1:$I$89,5,0)</f>
        <v>1.8621904018800706E-14</v>
      </c>
      <c r="BF149" s="13">
        <f t="shared" si="145"/>
        <v>3.40208645124969E-13</v>
      </c>
      <c r="BG149" s="20">
        <f t="shared" si="115"/>
        <v>6.2496320642539887E-13</v>
      </c>
      <c r="BH149" s="59">
        <f t="shared" si="116"/>
        <v>293.33333333333394</v>
      </c>
      <c r="BI149" s="59">
        <f ca="1">AVERAGE(OFFSET($BH$3,0,0,'Données projet'!$E$11+1,1))-AVERAGE(OFFSET($H$3,0,0,'Données projet'!$E$11+1,1))</f>
        <v>114.23168847330004</v>
      </c>
      <c r="BJ149" s="59">
        <f t="shared" si="146"/>
        <v>42.34857998136755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2.8421709430404007E-14</v>
      </c>
      <c r="BZ149" s="13">
        <f>BY149*VLOOKUP('Données projet'!$B$12,Paramètres!$A$1:$I$89,3,0)*VLOOKUP('Données projet'!$B$12,Paramètres!$A$1:$I$89,5,0)</f>
        <v>2.7489477361086758E-14</v>
      </c>
      <c r="CA149" s="13">
        <f t="shared" si="147"/>
        <v>4.7995394886724981E-13</v>
      </c>
      <c r="CB149" s="20">
        <f t="shared" si="118"/>
        <v>8.8379730068101964E-13</v>
      </c>
      <c r="CC149" s="59">
        <f t="shared" si="119"/>
        <v>293.33333333333422</v>
      </c>
      <c r="CD149" s="59">
        <f ca="1">AVERAGE(OFFSET($CC$3,0,0,'Données projet'!$E$12+1,1))-AVERAGE(OFFSET($H$3,0,0,'Données projet'!$E$12+1,1))</f>
        <v>201.36664523637006</v>
      </c>
      <c r="CE149" s="59">
        <f t="shared" si="148"/>
        <v>79.394119001888555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8.5805533695046172</v>
      </c>
      <c r="CM149" s="21">
        <f>EXP(-LN(2)/2)*CM148+(1-EXP(-LN(2)/2))/(LN(2)/2)*CG149*CJ149*VLOOKUP('Données projet'!$B$12,Paramètres!$A$1:$I$89,3,0)*0.475*44/12</f>
        <v>1.3677747411772718E-15</v>
      </c>
      <c r="CN149" s="22">
        <f t="shared" si="120"/>
        <v>8.580553369504619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1.1368683772161603E-13</v>
      </c>
      <c r="CU149" s="17">
        <f>CT149*VLOOKUP('Données projet'!$B$13,Paramètres!$A$1:$I$89,3,0)*VLOOKUP('Données projet'!$B$13,Paramètres!$A$1:$I$89,5,0)</f>
        <v>1.0286385077051818E-13</v>
      </c>
      <c r="CV149" s="13">
        <f t="shared" si="149"/>
        <v>1.5402366592183556E-12</v>
      </c>
      <c r="CW149" s="20">
        <f t="shared" si="121"/>
        <v>2.8617333882306215E-12</v>
      </c>
      <c r="CX149" s="59">
        <f t="shared" si="122"/>
        <v>293.33333333333616</v>
      </c>
      <c r="CY149" s="59">
        <f ca="1">AVERAGE(OFFSET($CX$3,0,0,'Données projet'!$E$13+1,1))-AVERAGE(OFFSET($H$3,0,0,'Données projet'!$E$13+1,1))</f>
        <v>282.08542131880455</v>
      </c>
      <c r="CZ149" s="59">
        <f t="shared" si="150"/>
        <v>174.27503468762325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68.123467347596687</v>
      </c>
      <c r="DG149" s="21">
        <f>EXP(-LN(2)/25)*DG148+(1-EXP(-LN(2)/25))/(LN(2)/25)*Calculateur!DB149*Calculateur!DD149*VLOOKUP('Données projet'!$B$13,Paramètres!$A$1:$I$89,3,0)*0.475*44/12</f>
        <v>34.233953183890726</v>
      </c>
      <c r="DH149" s="21">
        <f>EXP(-LN(2)/2)*DH148+(1-EXP(-LN(2)/2))/(LN(2)/2)*DB149*DE149*VLOOKUP('Données projet'!$B$13,Paramètres!$A$1:$I$89,3,0)*0.475*44/12</f>
        <v>2.0333291095226784E-15</v>
      </c>
      <c r="DI149" s="22">
        <f t="shared" si="123"/>
        <v>102.35742053148741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5.6843418860808015E-14</v>
      </c>
      <c r="DP149" s="17">
        <f>DO149*VLOOKUP('Données projet'!$B$14,Paramètres!$A$1:$I$89,3,0)*VLOOKUP('Données projet'!$B$14,Paramètres!$A$1:$I$89,5,0)</f>
        <v>4.6111381379887463E-14</v>
      </c>
      <c r="DQ149" s="13">
        <f t="shared" si="151"/>
        <v>7.5804141040779151E-13</v>
      </c>
      <c r="DR149" s="20">
        <f t="shared" si="124"/>
        <v>1.4005661123635408E-12</v>
      </c>
      <c r="DS149" s="59">
        <f t="shared" si="125"/>
        <v>293.33333333333474</v>
      </c>
      <c r="DT149" s="59">
        <f ca="1">AVERAGE(OFFSET($DS$3,0,0,'Données projet'!$E$14+1,1))-AVERAGE(OFFSET($H$3,0,0,'Données projet'!$E$14+1,1))</f>
        <v>235.31102883830971</v>
      </c>
      <c r="DU149" s="59">
        <f t="shared" si="152"/>
        <v>271.48630853790422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15.343226315309211</v>
      </c>
      <c r="EB149" s="21">
        <f>EXP(-LN(2)/25)*EB148+(1-EXP(-LN(2)/25))/(LN(2)/25)*Calculateur!DW149*Calculateur!DY149*VLOOKUP('Données projet'!$B$14,Paramètres!$A$1:$I$89,3,0)*0.475*44/12</f>
        <v>12.520982958899017</v>
      </c>
      <c r="EC149" s="21">
        <f>EXP(-LN(2)/2)*EC148+(1-EXP(-LN(2)/2))/(LN(2)/2)*DW149*DZ149*VLOOKUP('Données projet'!$B$14,Paramètres!$A$1:$I$89,3,0)*0.475*44/12</f>
        <v>2.4536604227929404E-15</v>
      </c>
      <c r="ED149" s="22">
        <f t="shared" si="126"/>
        <v>27.864209274208232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-1.2505552149377763E-12</v>
      </c>
      <c r="O150" s="13">
        <f>N150*VLOOKUP('Données projet'!$B$9,Paramètres!$A$1:$I$89,3,0)*VLOOKUP('Données projet'!$B$9,Paramètres!$A$1:$I$89,5,0)</f>
        <v>-6.9906036515021697E-13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446.28010102877403</v>
      </c>
      <c r="T150" s="59">
        <f t="shared" si="142"/>
        <v>445.84011537290456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1.1255391710793676</v>
      </c>
      <c r="AA150" s="21">
        <f>EXP(-LN(2)/25)*AA149+(1-EXP(-LN(2)/25))/(LN(2)/25)*Calculateur!V150*Calculateur!X150*VLOOKUP('Données projet'!$B$9,Paramètres!$A$1:$I$89,3,0)*0.475*44/12</f>
        <v>1.5120173653618558</v>
      </c>
      <c r="AB150" s="21">
        <f>EXP(-LN(2)/2)*AB149+(1-EXP(-LN(2)/2))/(LN(2)/2)*V150*Y150*VLOOKUP('Données projet'!$B$9,Paramètres!$A$1:$I$89,3,0)*0.475*44/12</f>
        <v>8.947537745386407E-17</v>
      </c>
      <c r="AC150" s="22">
        <f t="shared" si="111"/>
        <v>2.6375565364412235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-5.3205440053716299E-14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252.98248842635206</v>
      </c>
      <c r="AO150" s="59">
        <f t="shared" si="144"/>
        <v>207.11938580878308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0.30894367546371149</v>
      </c>
      <c r="AV150" s="21">
        <f>EXP(-LN(2)/25)*AV149+(1-EXP(-LN(2)/25))/(LN(2)/25)*Calculateur!AQ150*Calculateur!AS150*VLOOKUP('Données projet'!$B$10,Paramètres!$A$1:$I$89,3,0)*0.475*44/12</f>
        <v>0.30644425402804415</v>
      </c>
      <c r="AW150" s="21">
        <f>EXP(-LN(2)/2)*AW149+(1-EXP(-LN(2)/2))/(LN(2)/2)*AQ150*AT150*VLOOKUP('Données projet'!$B$10,Paramètres!$A$1:$I$89,3,0)*0.475*44/12</f>
        <v>2.4120978350251125E-17</v>
      </c>
      <c r="AX150" s="21">
        <f t="shared" si="114"/>
        <v>0.61538792949175569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2.8421709430404007E-14</v>
      </c>
      <c r="BE150" s="13">
        <f>BD150*VLOOKUP('Données projet'!$B$11,Paramètres!$A$1:$I$89,3,0)*VLOOKUP('Données projet'!$B$11,Paramètres!$A$1:$I$89,5,0)</f>
        <v>1.8621904018800706E-14</v>
      </c>
      <c r="BF150" s="13">
        <f t="shared" si="145"/>
        <v>3.40208645124969E-13</v>
      </c>
      <c r="BG150" s="20">
        <f t="shared" si="115"/>
        <v>6.2496320642539887E-13</v>
      </c>
      <c r="BH150" s="59">
        <f t="shared" si="116"/>
        <v>293.33333333333394</v>
      </c>
      <c r="BI150" s="59">
        <f ca="1">AVERAGE(OFFSET($BH$3,0,0,'Données projet'!$E$11+1,1))-AVERAGE(OFFSET($H$3,0,0,'Données projet'!$E$11+1,1))</f>
        <v>114.23168847330004</v>
      </c>
      <c r="BJ150" s="59">
        <f t="shared" si="146"/>
        <v>42.34857998136755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2.8421709430404007E-14</v>
      </c>
      <c r="BZ150" s="13">
        <f>BY150*VLOOKUP('Données projet'!$B$12,Paramètres!$A$1:$I$89,3,0)*VLOOKUP('Données projet'!$B$12,Paramètres!$A$1:$I$89,5,0)</f>
        <v>2.7489477361086758E-14</v>
      </c>
      <c r="CA150" s="13">
        <f t="shared" si="147"/>
        <v>4.7995394886724981E-13</v>
      </c>
      <c r="CB150" s="20">
        <f t="shared" si="118"/>
        <v>8.8379730068101964E-13</v>
      </c>
      <c r="CC150" s="59">
        <f t="shared" si="119"/>
        <v>293.33333333333422</v>
      </c>
      <c r="CD150" s="59">
        <f ca="1">AVERAGE(OFFSET($CC$3,0,0,'Données projet'!$E$12+1,1))-AVERAGE(OFFSET($H$3,0,0,'Données projet'!$E$12+1,1))</f>
        <v>201.36664523637006</v>
      </c>
      <c r="CE150" s="59">
        <f t="shared" si="148"/>
        <v>79.394119001888555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8.3459176863838227</v>
      </c>
      <c r="CM150" s="21">
        <f>EXP(-LN(2)/2)*CM149+(1-EXP(-LN(2)/2))/(LN(2)/2)*CG150*CJ150*VLOOKUP('Données projet'!$B$12,Paramètres!$A$1:$I$89,3,0)*0.475*44/12</f>
        <v>9.671627946221238E-16</v>
      </c>
      <c r="CN150" s="22">
        <f t="shared" si="120"/>
        <v>8.3459176863838245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1.1368683772161603E-13</v>
      </c>
      <c r="CU150" s="17">
        <f>CT150*VLOOKUP('Données projet'!$B$13,Paramètres!$A$1:$I$89,3,0)*VLOOKUP('Données projet'!$B$13,Paramètres!$A$1:$I$89,5,0)</f>
        <v>1.0286385077051818E-13</v>
      </c>
      <c r="CV150" s="13">
        <f t="shared" si="149"/>
        <v>1.5402366592183556E-12</v>
      </c>
      <c r="CW150" s="20">
        <f t="shared" si="121"/>
        <v>2.8617333882306215E-12</v>
      </c>
      <c r="CX150" s="59">
        <f t="shared" si="122"/>
        <v>293.33333333333616</v>
      </c>
      <c r="CY150" s="59">
        <f ca="1">AVERAGE(OFFSET($CX$3,0,0,'Données projet'!$E$13+1,1))-AVERAGE(OFFSET($H$3,0,0,'Données projet'!$E$13+1,1))</f>
        <v>282.08542131880455</v>
      </c>
      <c r="CZ150" s="59">
        <f t="shared" si="150"/>
        <v>174.27503468762325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66.78760770412255</v>
      </c>
      <c r="DG150" s="21">
        <f>EXP(-LN(2)/25)*DG149+(1-EXP(-LN(2)/25))/(LN(2)/25)*Calculateur!DB150*Calculateur!DD150*VLOOKUP('Données projet'!$B$13,Paramètres!$A$1:$I$89,3,0)*0.475*44/12</f>
        <v>33.297823933791882</v>
      </c>
      <c r="DH150" s="21">
        <f>EXP(-LN(2)/2)*DH149+(1-EXP(-LN(2)/2))/(LN(2)/2)*DB150*DE150*VLOOKUP('Données projet'!$B$13,Paramètres!$A$1:$I$89,3,0)*0.475*44/12</f>
        <v>1.4377808017274901E-15</v>
      </c>
      <c r="DI150" s="22">
        <f t="shared" si="123"/>
        <v>100.08543163791444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5.6843418860808015E-14</v>
      </c>
      <c r="DP150" s="17">
        <f>DO150*VLOOKUP('Données projet'!$B$14,Paramètres!$A$1:$I$89,3,0)*VLOOKUP('Données projet'!$B$14,Paramètres!$A$1:$I$89,5,0)</f>
        <v>4.6111381379887463E-14</v>
      </c>
      <c r="DQ150" s="13">
        <f t="shared" si="151"/>
        <v>7.5804141040779151E-13</v>
      </c>
      <c r="DR150" s="20">
        <f t="shared" si="124"/>
        <v>1.4005661123635408E-12</v>
      </c>
      <c r="DS150" s="59">
        <f t="shared" si="125"/>
        <v>293.33333333333474</v>
      </c>
      <c r="DT150" s="59">
        <f ca="1">AVERAGE(OFFSET($DS$3,0,0,'Données projet'!$E$14+1,1))-AVERAGE(OFFSET($H$3,0,0,'Données projet'!$E$14+1,1))</f>
        <v>235.31102883830971</v>
      </c>
      <c r="DU150" s="59">
        <f t="shared" si="152"/>
        <v>271.48630853790422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15.042355005709981</v>
      </c>
      <c r="EB150" s="21">
        <f>EXP(-LN(2)/25)*EB149+(1-EXP(-LN(2)/25))/(LN(2)/25)*Calculateur!DW150*Calculateur!DY150*VLOOKUP('Données projet'!$B$14,Paramètres!$A$1:$I$89,3,0)*0.475*44/12</f>
        <v>12.178596021438047</v>
      </c>
      <c r="EC150" s="21">
        <f>EXP(-LN(2)/2)*EC149+(1-EXP(-LN(2)/2))/(LN(2)/2)*DW150*DZ150*VLOOKUP('Données projet'!$B$14,Paramètres!$A$1:$I$89,3,0)*0.475*44/12</f>
        <v>1.7349999236859396E-15</v>
      </c>
      <c r="ED150" s="22">
        <f t="shared" si="126"/>
        <v>27.220951027148026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-1.2505552149377763E-12</v>
      </c>
      <c r="O151" s="13">
        <f>N151*VLOOKUP('Données projet'!$B$9,Paramètres!$A$1:$I$89,3,0)*VLOOKUP('Données projet'!$B$9,Paramètres!$A$1:$I$89,5,0)</f>
        <v>-6.9906036515021697E-13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446.28010102877403</v>
      </c>
      <c r="T151" s="59">
        <f t="shared" si="142"/>
        <v>445.84011537290456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1.1034680344456083</v>
      </c>
      <c r="AA151" s="21">
        <f>EXP(-LN(2)/25)*AA150+(1-EXP(-LN(2)/25))/(LN(2)/25)*Calculateur!V151*Calculateur!X151*VLOOKUP('Données projet'!$B$9,Paramètres!$A$1:$I$89,3,0)*0.475*44/12</f>
        <v>1.4706711709924984</v>
      </c>
      <c r="AB151" s="21">
        <f>EXP(-LN(2)/2)*AB150+(1-EXP(-LN(2)/2))/(LN(2)/2)*V151*Y151*VLOOKUP('Données projet'!$B$9,Paramètres!$A$1:$I$89,3,0)*0.475*44/12</f>
        <v>6.3268646146853208E-17</v>
      </c>
      <c r="AC151" s="22">
        <f t="shared" si="111"/>
        <v>2.5741392054381067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-5.3205440053716299E-14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252.98248842635206</v>
      </c>
      <c r="AO151" s="59">
        <f t="shared" si="144"/>
        <v>207.11938580878308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0.30288547842490354</v>
      </c>
      <c r="AV151" s="21">
        <f>EXP(-LN(2)/25)*AV150+(1-EXP(-LN(2)/25))/(LN(2)/25)*Calculateur!AQ151*Calculateur!AS151*VLOOKUP('Données projet'!$B$10,Paramètres!$A$1:$I$89,3,0)*0.475*44/12</f>
        <v>0.29806451978644433</v>
      </c>
      <c r="AW151" s="21">
        <f>EXP(-LN(2)/2)*AW150+(1-EXP(-LN(2)/2))/(LN(2)/2)*AQ151*AT151*VLOOKUP('Données projet'!$B$10,Paramètres!$A$1:$I$89,3,0)*0.475*44/12</f>
        <v>1.7056107360316472E-17</v>
      </c>
      <c r="AX151" s="21">
        <f t="shared" si="114"/>
        <v>0.60094999821134787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2.8421709430404007E-14</v>
      </c>
      <c r="BE151" s="13">
        <f>BD151*VLOOKUP('Données projet'!$B$11,Paramètres!$A$1:$I$89,3,0)*VLOOKUP('Données projet'!$B$11,Paramètres!$A$1:$I$89,5,0)</f>
        <v>1.8621904018800706E-14</v>
      </c>
      <c r="BF151" s="13">
        <f t="shared" si="145"/>
        <v>3.40208645124969E-13</v>
      </c>
      <c r="BG151" s="20">
        <f t="shared" si="115"/>
        <v>6.2496320642539887E-13</v>
      </c>
      <c r="BH151" s="59">
        <f t="shared" si="116"/>
        <v>293.33333333333394</v>
      </c>
      <c r="BI151" s="59">
        <f ca="1">AVERAGE(OFFSET($BH$3,0,0,'Données projet'!$E$11+1,1))-AVERAGE(OFFSET($H$3,0,0,'Données projet'!$E$11+1,1))</f>
        <v>114.23168847330004</v>
      </c>
      <c r="BJ151" s="59">
        <f t="shared" si="146"/>
        <v>42.34857998136755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2.8421709430404007E-14</v>
      </c>
      <c r="BZ151" s="13">
        <f>BY151*VLOOKUP('Données projet'!$B$12,Paramètres!$A$1:$I$89,3,0)*VLOOKUP('Données projet'!$B$12,Paramètres!$A$1:$I$89,5,0)</f>
        <v>2.7489477361086758E-14</v>
      </c>
      <c r="CA151" s="13">
        <f t="shared" si="147"/>
        <v>4.7995394886724981E-13</v>
      </c>
      <c r="CB151" s="20">
        <f t="shared" si="118"/>
        <v>8.8379730068101964E-13</v>
      </c>
      <c r="CC151" s="59">
        <f t="shared" si="119"/>
        <v>293.33333333333422</v>
      </c>
      <c r="CD151" s="59">
        <f ca="1">AVERAGE(OFFSET($CC$3,0,0,'Données projet'!$E$12+1,1))-AVERAGE(OFFSET($H$3,0,0,'Données projet'!$E$12+1,1))</f>
        <v>201.36664523637006</v>
      </c>
      <c r="CE151" s="59">
        <f t="shared" si="148"/>
        <v>79.394119001888555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8.1176981283569205</v>
      </c>
      <c r="CM151" s="21">
        <f>EXP(-LN(2)/2)*CM150+(1-EXP(-LN(2)/2))/(LN(2)/2)*CG151*CJ151*VLOOKUP('Données projet'!$B$12,Paramètres!$A$1:$I$89,3,0)*0.475*44/12</f>
        <v>6.8388737058863591E-16</v>
      </c>
      <c r="CN151" s="22">
        <f t="shared" si="120"/>
        <v>8.1176981283569205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1.1368683772161603E-13</v>
      </c>
      <c r="CU151" s="17">
        <f>CT151*VLOOKUP('Données projet'!$B$13,Paramètres!$A$1:$I$89,3,0)*VLOOKUP('Données projet'!$B$13,Paramètres!$A$1:$I$89,5,0)</f>
        <v>1.0286385077051818E-13</v>
      </c>
      <c r="CV151" s="13">
        <f t="shared" si="149"/>
        <v>1.5402366592183556E-12</v>
      </c>
      <c r="CW151" s="20">
        <f t="shared" si="121"/>
        <v>2.8617333882306215E-12</v>
      </c>
      <c r="CX151" s="59">
        <f t="shared" si="122"/>
        <v>293.33333333333616</v>
      </c>
      <c r="CY151" s="59">
        <f ca="1">AVERAGE(OFFSET($CX$3,0,0,'Données projet'!$E$13+1,1))-AVERAGE(OFFSET($H$3,0,0,'Données projet'!$E$13+1,1))</f>
        <v>282.08542131880455</v>
      </c>
      <c r="CZ151" s="59">
        <f t="shared" si="150"/>
        <v>174.27503468762325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65.477943453463013</v>
      </c>
      <c r="DG151" s="21">
        <f>EXP(-LN(2)/25)*DG150+(1-EXP(-LN(2)/25))/(LN(2)/25)*Calculateur!DB151*Calculateur!DD151*VLOOKUP('Données projet'!$B$13,Paramètres!$A$1:$I$89,3,0)*0.475*44/12</f>
        <v>32.387293187265882</v>
      </c>
      <c r="DH151" s="21">
        <f>EXP(-LN(2)/2)*DH150+(1-EXP(-LN(2)/2))/(LN(2)/2)*DB151*DE151*VLOOKUP('Données projet'!$B$13,Paramètres!$A$1:$I$89,3,0)*0.475*44/12</f>
        <v>1.0166645547613392E-15</v>
      </c>
      <c r="DI151" s="22">
        <f t="shared" si="123"/>
        <v>97.865236640728895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5.6843418860808015E-14</v>
      </c>
      <c r="DP151" s="17">
        <f>DO151*VLOOKUP('Données projet'!$B$14,Paramètres!$A$1:$I$89,3,0)*VLOOKUP('Données projet'!$B$14,Paramètres!$A$1:$I$89,5,0)</f>
        <v>4.6111381379887463E-14</v>
      </c>
      <c r="DQ151" s="13">
        <f t="shared" si="151"/>
        <v>7.5804141040779151E-13</v>
      </c>
      <c r="DR151" s="20">
        <f t="shared" si="124"/>
        <v>1.4005661123635408E-12</v>
      </c>
      <c r="DS151" s="59">
        <f t="shared" si="125"/>
        <v>293.33333333333474</v>
      </c>
      <c r="DT151" s="59">
        <f ca="1">AVERAGE(OFFSET($DS$3,0,0,'Données projet'!$E$14+1,1))-AVERAGE(OFFSET($H$3,0,0,'Données projet'!$E$14+1,1))</f>
        <v>235.31102883830971</v>
      </c>
      <c r="DU151" s="59">
        <f t="shared" si="152"/>
        <v>271.48630853790422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14.747383598978612</v>
      </c>
      <c r="EB151" s="21">
        <f>EXP(-LN(2)/25)*EB150+(1-EXP(-LN(2)/25))/(LN(2)/25)*Calculateur!DW151*Calculateur!DY151*VLOOKUP('Données projet'!$B$14,Paramètres!$A$1:$I$89,3,0)*0.475*44/12</f>
        <v>11.845571672787292</v>
      </c>
      <c r="EC151" s="21">
        <f>EXP(-LN(2)/2)*EC150+(1-EXP(-LN(2)/2))/(LN(2)/2)*DW151*DZ151*VLOOKUP('Données projet'!$B$14,Paramètres!$A$1:$I$89,3,0)*0.475*44/12</f>
        <v>1.2268302113964704E-15</v>
      </c>
      <c r="ED151" s="22">
        <f t="shared" si="126"/>
        <v>26.592955271765902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-1.2505552149377763E-12</v>
      </c>
      <c r="O152" s="13">
        <f>N152*VLOOKUP('Données projet'!$B$9,Paramètres!$A$1:$I$89,3,0)*VLOOKUP('Données projet'!$B$9,Paramètres!$A$1:$I$89,5,0)</f>
        <v>-6.9906036515021697E-13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446.28010102877403</v>
      </c>
      <c r="T152" s="59">
        <f t="shared" si="142"/>
        <v>445.84011537290456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1.0818296993391727</v>
      </c>
      <c r="AA152" s="21">
        <f>EXP(-LN(2)/25)*AA151+(1-EXP(-LN(2)/25))/(LN(2)/25)*Calculateur!V152*Calculateur!X152*VLOOKUP('Données projet'!$B$9,Paramètres!$A$1:$I$89,3,0)*0.475*44/12</f>
        <v>1.4304555904824729</v>
      </c>
      <c r="AB152" s="21">
        <f>EXP(-LN(2)/2)*AB151+(1-EXP(-LN(2)/2))/(LN(2)/2)*V152*Y152*VLOOKUP('Données projet'!$B$9,Paramètres!$A$1:$I$89,3,0)*0.475*44/12</f>
        <v>4.4737688726932035E-17</v>
      </c>
      <c r="AC152" s="22">
        <f t="shared" si="111"/>
        <v>2.5122852898216457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-5.3205440053716299E-14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252.98248842635206</v>
      </c>
      <c r="AO152" s="59">
        <f t="shared" si="144"/>
        <v>207.11938580878308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0.29694607893489128</v>
      </c>
      <c r="AV152" s="21">
        <f>EXP(-LN(2)/25)*AV151+(1-EXP(-LN(2)/25))/(LN(2)/25)*Calculateur!AQ152*Calculateur!AS152*VLOOKUP('Données projet'!$B$10,Paramètres!$A$1:$I$89,3,0)*0.475*44/12</f>
        <v>0.28991392981835212</v>
      </c>
      <c r="AW152" s="21">
        <f>EXP(-LN(2)/2)*AW151+(1-EXP(-LN(2)/2))/(LN(2)/2)*AQ152*AT152*VLOOKUP('Données projet'!$B$10,Paramètres!$A$1:$I$89,3,0)*0.475*44/12</f>
        <v>1.2060489175125562E-17</v>
      </c>
      <c r="AX152" s="21">
        <f t="shared" si="114"/>
        <v>0.5868600087532434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2.8421709430404007E-14</v>
      </c>
      <c r="BE152" s="13">
        <f>BD152*VLOOKUP('Données projet'!$B$11,Paramètres!$A$1:$I$89,3,0)*VLOOKUP('Données projet'!$B$11,Paramètres!$A$1:$I$89,5,0)</f>
        <v>1.8621904018800706E-14</v>
      </c>
      <c r="BF152" s="13">
        <f t="shared" si="145"/>
        <v>3.40208645124969E-13</v>
      </c>
      <c r="BG152" s="20">
        <f t="shared" si="115"/>
        <v>6.2496320642539887E-13</v>
      </c>
      <c r="BH152" s="59">
        <f t="shared" si="116"/>
        <v>293.33333333333394</v>
      </c>
      <c r="BI152" s="59">
        <f ca="1">AVERAGE(OFFSET($BH$3,0,0,'Données projet'!$E$11+1,1))-AVERAGE(OFFSET($H$3,0,0,'Données projet'!$E$11+1,1))</f>
        <v>114.23168847330004</v>
      </c>
      <c r="BJ152" s="59">
        <f t="shared" si="146"/>
        <v>42.34857998136755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2.8421709430404007E-14</v>
      </c>
      <c r="BZ152" s="13">
        <f>BY152*VLOOKUP('Données projet'!$B$12,Paramètres!$A$1:$I$89,3,0)*VLOOKUP('Données projet'!$B$12,Paramètres!$A$1:$I$89,5,0)</f>
        <v>2.7489477361086758E-14</v>
      </c>
      <c r="CA152" s="13">
        <f t="shared" si="147"/>
        <v>4.7995394886724981E-13</v>
      </c>
      <c r="CB152" s="20">
        <f t="shared" si="118"/>
        <v>8.8379730068101964E-13</v>
      </c>
      <c r="CC152" s="59">
        <f t="shared" si="119"/>
        <v>293.33333333333422</v>
      </c>
      <c r="CD152" s="59">
        <f ca="1">AVERAGE(OFFSET($CC$3,0,0,'Données projet'!$E$12+1,1))-AVERAGE(OFFSET($H$3,0,0,'Données projet'!$E$12+1,1))</f>
        <v>201.36664523637006</v>
      </c>
      <c r="CE152" s="59">
        <f t="shared" si="148"/>
        <v>79.394119001888555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7.8957192461458092</v>
      </c>
      <c r="CM152" s="21">
        <f>EXP(-LN(2)/2)*CM151+(1-EXP(-LN(2)/2))/(LN(2)/2)*CG152*CJ152*VLOOKUP('Données projet'!$B$12,Paramètres!$A$1:$I$89,3,0)*0.475*44/12</f>
        <v>4.835813973110619E-16</v>
      </c>
      <c r="CN152" s="22">
        <f t="shared" si="120"/>
        <v>7.8957192461458101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1.1368683772161603E-13</v>
      </c>
      <c r="CU152" s="17">
        <f>CT152*VLOOKUP('Données projet'!$B$13,Paramètres!$A$1:$I$89,3,0)*VLOOKUP('Données projet'!$B$13,Paramètres!$A$1:$I$89,5,0)</f>
        <v>1.0286385077051818E-13</v>
      </c>
      <c r="CV152" s="13">
        <f t="shared" si="149"/>
        <v>1.5402366592183556E-12</v>
      </c>
      <c r="CW152" s="20">
        <f t="shared" si="121"/>
        <v>2.8617333882306215E-12</v>
      </c>
      <c r="CX152" s="59">
        <f t="shared" si="122"/>
        <v>293.33333333333616</v>
      </c>
      <c r="CY152" s="59">
        <f ca="1">AVERAGE(OFFSET($CX$3,0,0,'Données projet'!$E$13+1,1))-AVERAGE(OFFSET($H$3,0,0,'Données projet'!$E$13+1,1))</f>
        <v>282.08542131880455</v>
      </c>
      <c r="CZ152" s="59">
        <f t="shared" si="150"/>
        <v>174.27503468762325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64.193960919942597</v>
      </c>
      <c r="DG152" s="21">
        <f>EXP(-LN(2)/25)*DG151+(1-EXP(-LN(2)/25))/(LN(2)/25)*Calculateur!DB152*Calculateur!DD152*VLOOKUP('Données projet'!$B$13,Paramètres!$A$1:$I$89,3,0)*0.475*44/12</f>
        <v>31.501660951886372</v>
      </c>
      <c r="DH152" s="21">
        <f>EXP(-LN(2)/2)*DH151+(1-EXP(-LN(2)/2))/(LN(2)/2)*DB152*DE152*VLOOKUP('Données projet'!$B$13,Paramètres!$A$1:$I$89,3,0)*0.475*44/12</f>
        <v>7.1889040086374506E-16</v>
      </c>
      <c r="DI152" s="22">
        <f t="shared" si="123"/>
        <v>95.695621871828962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5.6843418860808015E-14</v>
      </c>
      <c r="DP152" s="17">
        <f>DO152*VLOOKUP('Données projet'!$B$14,Paramètres!$A$1:$I$89,3,0)*VLOOKUP('Données projet'!$B$14,Paramètres!$A$1:$I$89,5,0)</f>
        <v>4.6111381379887463E-14</v>
      </c>
      <c r="DQ152" s="13">
        <f t="shared" si="151"/>
        <v>7.5804141040779151E-13</v>
      </c>
      <c r="DR152" s="20">
        <f t="shared" si="124"/>
        <v>1.4005661123635408E-12</v>
      </c>
      <c r="DS152" s="59">
        <f t="shared" si="125"/>
        <v>293.33333333333474</v>
      </c>
      <c r="DT152" s="59">
        <f ca="1">AVERAGE(OFFSET($DS$3,0,0,'Données projet'!$E$14+1,1))-AVERAGE(OFFSET($H$3,0,0,'Données projet'!$E$14+1,1))</f>
        <v>235.31102883830971</v>
      </c>
      <c r="DU152" s="59">
        <f t="shared" si="152"/>
        <v>271.48630853790422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14.458196401618453</v>
      </c>
      <c r="EB152" s="21">
        <f>EXP(-LN(2)/25)*EB151+(1-EXP(-LN(2)/25))/(LN(2)/25)*Calculateur!DW152*Calculateur!DY152*VLOOKUP('Données projet'!$B$14,Paramètres!$A$1:$I$89,3,0)*0.475*44/12</f>
        <v>11.521653892463382</v>
      </c>
      <c r="EC152" s="21">
        <f>EXP(-LN(2)/2)*EC151+(1-EXP(-LN(2)/2))/(LN(2)/2)*DW152*DZ152*VLOOKUP('Données projet'!$B$14,Paramètres!$A$1:$I$89,3,0)*0.475*44/12</f>
        <v>8.6749996184296988E-16</v>
      </c>
      <c r="ED152" s="22">
        <f t="shared" si="126"/>
        <v>25.979850294081835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-1.2505552149377763E-12</v>
      </c>
      <c r="O153" s="13">
        <f>N153*VLOOKUP('Données projet'!$B$9,Paramètres!$A$1:$I$89,3,0)*VLOOKUP('Données projet'!$B$9,Paramètres!$A$1:$I$89,5,0)</f>
        <v>-6.9906036515021697E-13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446.28010102877403</v>
      </c>
      <c r="T153" s="59">
        <f t="shared" si="142"/>
        <v>445.84011537290456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1.0606156787860932</v>
      </c>
      <c r="AA153" s="21">
        <f>EXP(-LN(2)/25)*AA152+(1-EXP(-LN(2)/25))/(LN(2)/25)*Calculateur!V153*Calculateur!X153*VLOOKUP('Données projet'!$B$9,Paramètres!$A$1:$I$89,3,0)*0.475*44/12</f>
        <v>1.3913397071363396</v>
      </c>
      <c r="AB153" s="21">
        <f>EXP(-LN(2)/2)*AB152+(1-EXP(-LN(2)/2))/(LN(2)/2)*V153*Y153*VLOOKUP('Données projet'!$B$9,Paramètres!$A$1:$I$89,3,0)*0.475*44/12</f>
        <v>3.1634323073426604E-17</v>
      </c>
      <c r="AC153" s="22">
        <f t="shared" si="111"/>
        <v>2.4519553859224326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-5.3205440053716299E-14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252.98248842635206</v>
      </c>
      <c r="AO153" s="59">
        <f t="shared" si="144"/>
        <v>207.11938580878308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0.29112314744620216</v>
      </c>
      <c r="AV153" s="21">
        <f>EXP(-LN(2)/25)*AV152+(1-EXP(-LN(2)/25))/(LN(2)/25)*Calculateur!AQ153*Calculateur!AS153*VLOOKUP('Données projet'!$B$10,Paramètres!$A$1:$I$89,3,0)*0.475*44/12</f>
        <v>0.28198621816155833</v>
      </c>
      <c r="AW153" s="21">
        <f>EXP(-LN(2)/2)*AW152+(1-EXP(-LN(2)/2))/(LN(2)/2)*AQ153*AT153*VLOOKUP('Données projet'!$B$10,Paramètres!$A$1:$I$89,3,0)*0.475*44/12</f>
        <v>8.5280536801582359E-18</v>
      </c>
      <c r="AX153" s="21">
        <f t="shared" si="114"/>
        <v>0.57310936560776049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2.8421709430404007E-14</v>
      </c>
      <c r="BE153" s="13">
        <f>BD153*VLOOKUP('Données projet'!$B$11,Paramètres!$A$1:$I$89,3,0)*VLOOKUP('Données projet'!$B$11,Paramètres!$A$1:$I$89,5,0)</f>
        <v>1.8621904018800706E-14</v>
      </c>
      <c r="BF153" s="13">
        <f t="shared" si="145"/>
        <v>3.40208645124969E-13</v>
      </c>
      <c r="BG153" s="20">
        <f t="shared" si="115"/>
        <v>6.2496320642539887E-13</v>
      </c>
      <c r="BH153" s="59">
        <f t="shared" si="116"/>
        <v>293.33333333333394</v>
      </c>
      <c r="BI153" s="59">
        <f ca="1">AVERAGE(OFFSET($BH$3,0,0,'Données projet'!$E$11+1,1))-AVERAGE(OFFSET($H$3,0,0,'Données projet'!$E$11+1,1))</f>
        <v>114.23168847330004</v>
      </c>
      <c r="BJ153" s="59">
        <f t="shared" si="146"/>
        <v>42.34857998136755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2.8421709430404007E-14</v>
      </c>
      <c r="BZ153" s="13">
        <f>BY153*VLOOKUP('Données projet'!$B$12,Paramètres!$A$1:$I$89,3,0)*VLOOKUP('Données projet'!$B$12,Paramètres!$A$1:$I$89,5,0)</f>
        <v>2.7489477361086758E-14</v>
      </c>
      <c r="CA153" s="13">
        <f t="shared" si="147"/>
        <v>4.7995394886724981E-13</v>
      </c>
      <c r="CB153" s="20">
        <f t="shared" si="118"/>
        <v>8.8379730068101964E-13</v>
      </c>
      <c r="CC153" s="59">
        <f t="shared" si="119"/>
        <v>293.33333333333422</v>
      </c>
      <c r="CD153" s="59">
        <f ca="1">AVERAGE(OFFSET($CC$3,0,0,'Données projet'!$E$12+1,1))-AVERAGE(OFFSET($H$3,0,0,'Données projet'!$E$12+1,1))</f>
        <v>201.36664523637006</v>
      </c>
      <c r="CE153" s="59">
        <f t="shared" si="148"/>
        <v>79.394119001888555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7.6798103881421227</v>
      </c>
      <c r="CM153" s="21">
        <f>EXP(-LN(2)/2)*CM152+(1-EXP(-LN(2)/2))/(LN(2)/2)*CG153*CJ153*VLOOKUP('Données projet'!$B$12,Paramètres!$A$1:$I$89,3,0)*0.475*44/12</f>
        <v>3.4194368529431796E-16</v>
      </c>
      <c r="CN153" s="22">
        <f t="shared" si="120"/>
        <v>7.6798103881421227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1.1368683772161603E-13</v>
      </c>
      <c r="CU153" s="17">
        <f>CT153*VLOOKUP('Données projet'!$B$13,Paramètres!$A$1:$I$89,3,0)*VLOOKUP('Données projet'!$B$13,Paramètres!$A$1:$I$89,5,0)</f>
        <v>1.0286385077051818E-13</v>
      </c>
      <c r="CV153" s="13">
        <f t="shared" si="149"/>
        <v>1.5402366592183556E-12</v>
      </c>
      <c r="CW153" s="20">
        <f t="shared" si="121"/>
        <v>2.8617333882306215E-12</v>
      </c>
      <c r="CX153" s="59">
        <f t="shared" si="122"/>
        <v>293.33333333333616</v>
      </c>
      <c r="CY153" s="59">
        <f ca="1">AVERAGE(OFFSET($CX$3,0,0,'Données projet'!$E$13+1,1))-AVERAGE(OFFSET($H$3,0,0,'Données projet'!$E$13+1,1))</f>
        <v>282.08542131880455</v>
      </c>
      <c r="CZ153" s="59">
        <f t="shared" si="150"/>
        <v>174.27503468762325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62.935156500752505</v>
      </c>
      <c r="DG153" s="21">
        <f>EXP(-LN(2)/25)*DG152+(1-EXP(-LN(2)/25))/(LN(2)/25)*Calculateur!DB153*Calculateur!DD153*VLOOKUP('Données projet'!$B$13,Paramètres!$A$1:$I$89,3,0)*0.475*44/12</f>
        <v>30.640246376556686</v>
      </c>
      <c r="DH153" s="21">
        <f>EXP(-LN(2)/2)*DH152+(1-EXP(-LN(2)/2))/(LN(2)/2)*DB153*DE153*VLOOKUP('Données projet'!$B$13,Paramètres!$A$1:$I$89,3,0)*0.475*44/12</f>
        <v>5.0833227738066961E-16</v>
      </c>
      <c r="DI153" s="22">
        <f t="shared" si="123"/>
        <v>93.575402877309187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5.6843418860808015E-14</v>
      </c>
      <c r="DP153" s="17">
        <f>DO153*VLOOKUP('Données projet'!$B$14,Paramètres!$A$1:$I$89,3,0)*VLOOKUP('Données projet'!$B$14,Paramètres!$A$1:$I$89,5,0)</f>
        <v>4.6111381379887463E-14</v>
      </c>
      <c r="DQ153" s="13">
        <f t="shared" si="151"/>
        <v>7.5804141040779151E-13</v>
      </c>
      <c r="DR153" s="20">
        <f t="shared" si="124"/>
        <v>1.4005661123635408E-12</v>
      </c>
      <c r="DS153" s="59">
        <f t="shared" si="125"/>
        <v>293.33333333333474</v>
      </c>
      <c r="DT153" s="59">
        <f ca="1">AVERAGE(OFFSET($DS$3,0,0,'Données projet'!$E$14+1,1))-AVERAGE(OFFSET($H$3,0,0,'Données projet'!$E$14+1,1))</f>
        <v>235.31102883830971</v>
      </c>
      <c r="DU153" s="59">
        <f t="shared" si="152"/>
        <v>271.48630853790422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14.174679988811754</v>
      </c>
      <c r="EB153" s="21">
        <f>EXP(-LN(2)/25)*EB152+(1-EXP(-LN(2)/25))/(LN(2)/25)*Calculateur!DW153*Calculateur!DY153*VLOOKUP('Données projet'!$B$14,Paramètres!$A$1:$I$89,3,0)*0.475*44/12</f>
        <v>11.206593660876525</v>
      </c>
      <c r="EC153" s="21">
        <f>EXP(-LN(2)/2)*EC152+(1-EXP(-LN(2)/2))/(LN(2)/2)*DW153*DZ153*VLOOKUP('Données projet'!$B$14,Paramètres!$A$1:$I$89,3,0)*0.475*44/12</f>
        <v>6.1341510569823529E-16</v>
      </c>
      <c r="ED153" s="22">
        <f t="shared" si="126"/>
        <v>25.381273649688278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-1.2505552149377763E-12</v>
      </c>
      <c r="O154" s="13">
        <f>N154*VLOOKUP('Données projet'!$B$9,Paramètres!$A$1:$I$89,3,0)*VLOOKUP('Données projet'!$B$9,Paramètres!$A$1:$I$89,5,0)</f>
        <v>-6.9906036515021697E-13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446.28010102877403</v>
      </c>
      <c r="T154" s="59">
        <f t="shared" si="142"/>
        <v>445.84011537290456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1.0398176522367848</v>
      </c>
      <c r="AA154" s="21">
        <f>EXP(-LN(2)/25)*AA153+(1-EXP(-LN(2)/25))/(LN(2)/25)*Calculateur!V154*Calculateur!X154*VLOOKUP('Données projet'!$B$9,Paramètres!$A$1:$I$89,3,0)*0.475*44/12</f>
        <v>1.3532934496773212</v>
      </c>
      <c r="AB154" s="21">
        <f>EXP(-LN(2)/2)*AB153+(1-EXP(-LN(2)/2))/(LN(2)/2)*V154*Y154*VLOOKUP('Données projet'!$B$9,Paramètres!$A$1:$I$89,3,0)*0.475*44/12</f>
        <v>2.2368844363466017E-17</v>
      </c>
      <c r="AC154" s="22">
        <f t="shared" ref="AC154:AC203" si="163">SUM(Z154:AB154)</f>
        <v>2.3931111019141058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-5.3205440053716299E-14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252.98248842635206</v>
      </c>
      <c r="AO154" s="59">
        <f t="shared" si="144"/>
        <v>207.11938580878308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0.28541440009236874</v>
      </c>
      <c r="AV154" s="21">
        <f>EXP(-LN(2)/25)*AV153+(1-EXP(-LN(2)/25))/(LN(2)/25)*Calculateur!AQ154*Calculateur!AS154*VLOOKUP('Données projet'!$B$10,Paramètres!$A$1:$I$89,3,0)*0.475*44/12</f>
        <v>0.27427529019691982</v>
      </c>
      <c r="AW154" s="21">
        <f>EXP(-LN(2)/2)*AW153+(1-EXP(-LN(2)/2))/(LN(2)/2)*AQ154*AT154*VLOOKUP('Données projet'!$B$10,Paramètres!$A$1:$I$89,3,0)*0.475*44/12</f>
        <v>6.0302445875627812E-18</v>
      </c>
      <c r="AX154" s="21">
        <f t="shared" ref="AX154:AX203" si="166">SUM(AU154:AW154)</f>
        <v>0.5596896902892885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2.8421709430404007E-14</v>
      </c>
      <c r="BE154" s="13">
        <f>BD154*VLOOKUP('Données projet'!$B$11,Paramètres!$A$1:$I$89,3,0)*VLOOKUP('Données projet'!$B$11,Paramètres!$A$1:$I$89,5,0)</f>
        <v>1.8621904018800706E-14</v>
      </c>
      <c r="BF154" s="13">
        <f t="shared" ref="BF154:BF203" si="167">EXP(-1.0587+0.8836*LN(BE154)+0.284)</f>
        <v>3.40208645124969E-13</v>
      </c>
      <c r="BG154" s="20">
        <f t="shared" ref="BG154:BG203" si="168">(BE154+BF154)*0.475*44/12</f>
        <v>6.2496320642539887E-13</v>
      </c>
      <c r="BH154" s="59">
        <f t="shared" si="116"/>
        <v>293.33333333333394</v>
      </c>
      <c r="BI154" s="59">
        <f ca="1">AVERAGE(OFFSET($BH$3,0,0,'Données projet'!$E$11+1,1))-AVERAGE(OFFSET($H$3,0,0,'Données projet'!$E$11+1,1))</f>
        <v>114.23168847330004</v>
      </c>
      <c r="BJ154" s="59">
        <f t="shared" si="146"/>
        <v>42.34857998136755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2.8421709430404007E-14</v>
      </c>
      <c r="BZ154" s="13">
        <f>BY154*VLOOKUP('Données projet'!$B$12,Paramètres!$A$1:$I$89,3,0)*VLOOKUP('Données projet'!$B$12,Paramètres!$A$1:$I$89,5,0)</f>
        <v>2.7489477361086758E-14</v>
      </c>
      <c r="CA154" s="13">
        <f t="shared" ref="CA154:CA203" si="170">EXP(-1.0587+0.8836*LN(BZ154)+0.284)</f>
        <v>4.7995394886724981E-13</v>
      </c>
      <c r="CB154" s="20">
        <f t="shared" ref="CB154:CB203" si="171">(BZ154+CA154)*0.475*44/12</f>
        <v>8.8379730068101964E-13</v>
      </c>
      <c r="CC154" s="59">
        <f t="shared" si="119"/>
        <v>293.33333333333422</v>
      </c>
      <c r="CD154" s="59">
        <f ca="1">AVERAGE(OFFSET($CC$3,0,0,'Données projet'!$E$12+1,1))-AVERAGE(OFFSET($H$3,0,0,'Données projet'!$E$12+1,1))</f>
        <v>201.36664523637006</v>
      </c>
      <c r="CE154" s="59">
        <f t="shared" si="148"/>
        <v>79.394119001888555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7.4698055692147003</v>
      </c>
      <c r="CM154" s="21">
        <f>EXP(-LN(2)/2)*CM153+(1-EXP(-LN(2)/2))/(LN(2)/2)*CG154*CJ154*VLOOKUP('Données projet'!$B$12,Paramètres!$A$1:$I$89,3,0)*0.475*44/12</f>
        <v>2.4179069865553095E-16</v>
      </c>
      <c r="CN154" s="22">
        <f t="shared" ref="CN154:CN203" si="172">SUM(CK154:CM154)</f>
        <v>7.4698055692147003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1.1368683772161603E-13</v>
      </c>
      <c r="CU154" s="17">
        <f>CT154*VLOOKUP('Données projet'!$B$13,Paramètres!$A$1:$I$89,3,0)*VLOOKUP('Données projet'!$B$13,Paramètres!$A$1:$I$89,5,0)</f>
        <v>1.0286385077051818E-13</v>
      </c>
      <c r="CV154" s="13">
        <f t="shared" ref="CV154:CV203" si="173">EXP(-1.0587+0.8836*LN(CU154)+0.284)</f>
        <v>1.5402366592183556E-12</v>
      </c>
      <c r="CW154" s="20">
        <f t="shared" ref="CW154:CW203" si="174">(CU154+CV154)*0.475*44/12</f>
        <v>2.8617333882306215E-12</v>
      </c>
      <c r="CX154" s="59">
        <f t="shared" si="122"/>
        <v>293.33333333333616</v>
      </c>
      <c r="CY154" s="59">
        <f ca="1">AVERAGE(OFFSET($CX$3,0,0,'Données projet'!$E$13+1,1))-AVERAGE(OFFSET($H$3,0,0,'Données projet'!$E$13+1,1))</f>
        <v>282.08542131880455</v>
      </c>
      <c r="CZ154" s="59">
        <f t="shared" si="150"/>
        <v>174.27503468762325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61.701036468427844</v>
      </c>
      <c r="DG154" s="21">
        <f>EXP(-LN(2)/25)*DG153+(1-EXP(-LN(2)/25))/(LN(2)/25)*Calculateur!DB154*Calculateur!DD154*VLOOKUP('Données projet'!$B$13,Paramètres!$A$1:$I$89,3,0)*0.475*44/12</f>
        <v>29.802387228089216</v>
      </c>
      <c r="DH154" s="21">
        <f>EXP(-LN(2)/2)*DH153+(1-EXP(-LN(2)/2))/(LN(2)/2)*DB154*DE154*VLOOKUP('Données projet'!$B$13,Paramètres!$A$1:$I$89,3,0)*0.475*44/12</f>
        <v>3.5944520043187253E-16</v>
      </c>
      <c r="DI154" s="22">
        <f t="shared" ref="DI154:DI203" si="175">SUM(DF154:DH154)</f>
        <v>91.503423696517061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5.6843418860808015E-14</v>
      </c>
      <c r="DP154" s="17">
        <f>DO154*VLOOKUP('Données projet'!$B$14,Paramètres!$A$1:$I$89,3,0)*VLOOKUP('Données projet'!$B$14,Paramètres!$A$1:$I$89,5,0)</f>
        <v>4.6111381379887463E-14</v>
      </c>
      <c r="DQ154" s="13">
        <f t="shared" ref="DQ154:DQ203" si="176">EXP(-1.0587+0.8836*LN(DP154)+0.284)</f>
        <v>7.5804141040779151E-13</v>
      </c>
      <c r="DR154" s="20">
        <f t="shared" ref="DR154:DR203" si="177">(DP154+DQ154)*0.475*44/12</f>
        <v>1.4005661123635408E-12</v>
      </c>
      <c r="DS154" s="59">
        <f t="shared" si="125"/>
        <v>293.33333333333474</v>
      </c>
      <c r="DT154" s="59">
        <f ca="1">AVERAGE(OFFSET($DS$3,0,0,'Données projet'!$E$14+1,1))-AVERAGE(OFFSET($H$3,0,0,'Données projet'!$E$14+1,1))</f>
        <v>235.31102883830971</v>
      </c>
      <c r="DU154" s="59">
        <f t="shared" si="152"/>
        <v>271.48630853790422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13.896723159932256</v>
      </c>
      <c r="EB154" s="21">
        <f>EXP(-LN(2)/25)*EB153+(1-EXP(-LN(2)/25))/(LN(2)/25)*Calculateur!DW154*Calculateur!DY154*VLOOKUP('Données projet'!$B$14,Paramètres!$A$1:$I$89,3,0)*0.475*44/12</f>
        <v>10.900148767890709</v>
      </c>
      <c r="EC154" s="21">
        <f>EXP(-LN(2)/2)*EC153+(1-EXP(-LN(2)/2))/(LN(2)/2)*DW154*DZ154*VLOOKUP('Données projet'!$B$14,Paramètres!$A$1:$I$89,3,0)*0.475*44/12</f>
        <v>4.3374998092148499E-16</v>
      </c>
      <c r="ED154" s="22">
        <f t="shared" ref="ED154:ED203" si="178">SUM(EA154:EC154)</f>
        <v>24.796871927822963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-1.2505552149377763E-12</v>
      </c>
      <c r="O155" s="13">
        <f>N155*VLOOKUP('Données projet'!$B$9,Paramètres!$A$1:$I$89,3,0)*VLOOKUP('Données projet'!$B$9,Paramètres!$A$1:$I$89,5,0)</f>
        <v>-6.9906036515021697E-13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446.28010102877403</v>
      </c>
      <c r="T155" s="59">
        <f t="shared" si="142"/>
        <v>445.84011537290456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1.0194274623025648</v>
      </c>
      <c r="AA155" s="21">
        <f>EXP(-LN(2)/25)*AA154+(1-EXP(-LN(2)/25))/(LN(2)/25)*Calculateur!V155*Calculateur!X155*VLOOKUP('Données projet'!$B$9,Paramètres!$A$1:$I$89,3,0)*0.475*44/12</f>
        <v>1.3162875691292855</v>
      </c>
      <c r="AB155" s="21">
        <f>EXP(-LN(2)/2)*AB154+(1-EXP(-LN(2)/2))/(LN(2)/2)*V155*Y155*VLOOKUP('Données projet'!$B$9,Paramètres!$A$1:$I$89,3,0)*0.475*44/12</f>
        <v>1.5817161536713302E-17</v>
      </c>
      <c r="AC155" s="22">
        <f t="shared" si="163"/>
        <v>2.3357150314318504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-5.3205440053716299E-14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252.98248842635206</v>
      </c>
      <c r="AO155" s="59">
        <f t="shared" si="144"/>
        <v>207.11938580878308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0.27981759779215193</v>
      </c>
      <c r="AV155" s="21">
        <f>EXP(-LN(2)/25)*AV154+(1-EXP(-LN(2)/25))/(LN(2)/25)*Calculateur!AQ155*Calculateur!AS155*VLOOKUP('Données projet'!$B$10,Paramètres!$A$1:$I$89,3,0)*0.475*44/12</f>
        <v>0.26677521796297438</v>
      </c>
      <c r="AW155" s="21">
        <f>EXP(-LN(2)/2)*AW154+(1-EXP(-LN(2)/2))/(LN(2)/2)*AQ155*AT155*VLOOKUP('Données projet'!$B$10,Paramètres!$A$1:$I$89,3,0)*0.475*44/12</f>
        <v>4.264026840079118E-18</v>
      </c>
      <c r="AX155" s="21">
        <f t="shared" si="166"/>
        <v>0.5465928157551263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2.8421709430404007E-14</v>
      </c>
      <c r="BE155" s="13">
        <f>BD155*VLOOKUP('Données projet'!$B$11,Paramètres!$A$1:$I$89,3,0)*VLOOKUP('Données projet'!$B$11,Paramètres!$A$1:$I$89,5,0)</f>
        <v>1.8621904018800706E-14</v>
      </c>
      <c r="BF155" s="13">
        <f t="shared" si="167"/>
        <v>3.40208645124969E-13</v>
      </c>
      <c r="BG155" s="20">
        <f t="shared" si="168"/>
        <v>6.2496320642539887E-13</v>
      </c>
      <c r="BH155" s="59">
        <f t="shared" si="116"/>
        <v>293.33333333333394</v>
      </c>
      <c r="BI155" s="59">
        <f ca="1">AVERAGE(OFFSET($BH$3,0,0,'Données projet'!$E$11+1,1))-AVERAGE(OFFSET($H$3,0,0,'Données projet'!$E$11+1,1))</f>
        <v>114.23168847330004</v>
      </c>
      <c r="BJ155" s="59">
        <f t="shared" si="146"/>
        <v>42.34857998136755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2.8421709430404007E-14</v>
      </c>
      <c r="BZ155" s="13">
        <f>BY155*VLOOKUP('Données projet'!$B$12,Paramètres!$A$1:$I$89,3,0)*VLOOKUP('Données projet'!$B$12,Paramètres!$A$1:$I$89,5,0)</f>
        <v>2.7489477361086758E-14</v>
      </c>
      <c r="CA155" s="13">
        <f t="shared" si="170"/>
        <v>4.7995394886724981E-13</v>
      </c>
      <c r="CB155" s="20">
        <f t="shared" si="171"/>
        <v>8.8379730068101964E-13</v>
      </c>
      <c r="CC155" s="59">
        <f t="shared" si="119"/>
        <v>293.33333333333422</v>
      </c>
      <c r="CD155" s="59">
        <f ca="1">AVERAGE(OFFSET($CC$3,0,0,'Données projet'!$E$12+1,1))-AVERAGE(OFFSET($H$3,0,0,'Données projet'!$E$12+1,1))</f>
        <v>201.36664523637006</v>
      </c>
      <c r="CE155" s="59">
        <f t="shared" si="148"/>
        <v>79.394119001888555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7.2655433431045218</v>
      </c>
      <c r="CM155" s="21">
        <f>EXP(-LN(2)/2)*CM154+(1-EXP(-LN(2)/2))/(LN(2)/2)*CG155*CJ155*VLOOKUP('Données projet'!$B$12,Paramètres!$A$1:$I$89,3,0)*0.475*44/12</f>
        <v>1.7097184264715898E-16</v>
      </c>
      <c r="CN155" s="22">
        <f t="shared" si="172"/>
        <v>7.2655433431045218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1.1368683772161603E-13</v>
      </c>
      <c r="CU155" s="17">
        <f>CT155*VLOOKUP('Données projet'!$B$13,Paramètres!$A$1:$I$89,3,0)*VLOOKUP('Données projet'!$B$13,Paramètres!$A$1:$I$89,5,0)</f>
        <v>1.0286385077051818E-13</v>
      </c>
      <c r="CV155" s="13">
        <f t="shared" si="173"/>
        <v>1.5402366592183556E-12</v>
      </c>
      <c r="CW155" s="20">
        <f t="shared" si="174"/>
        <v>2.8617333882306215E-12</v>
      </c>
      <c r="CX155" s="59">
        <f t="shared" si="122"/>
        <v>293.33333333333616</v>
      </c>
      <c r="CY155" s="59">
        <f ca="1">AVERAGE(OFFSET($CX$3,0,0,'Données projet'!$E$13+1,1))-AVERAGE(OFFSET($H$3,0,0,'Données projet'!$E$13+1,1))</f>
        <v>282.08542131880455</v>
      </c>
      <c r="CZ155" s="59">
        <f t="shared" si="150"/>
        <v>174.27503468762325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60.491116777198179</v>
      </c>
      <c r="DG155" s="21">
        <f>EXP(-LN(2)/25)*DG154+(1-EXP(-LN(2)/25))/(LN(2)/25)*Calculateur!DB155*Calculateur!DD155*VLOOKUP('Données projet'!$B$13,Paramètres!$A$1:$I$89,3,0)*0.475*44/12</f>
        <v>28.987439382097687</v>
      </c>
      <c r="DH155" s="21">
        <f>EXP(-LN(2)/2)*DH154+(1-EXP(-LN(2)/2))/(LN(2)/2)*DB155*DE155*VLOOKUP('Données projet'!$B$13,Paramètres!$A$1:$I$89,3,0)*0.475*44/12</f>
        <v>2.541661386903348E-16</v>
      </c>
      <c r="DI155" s="22">
        <f t="shared" si="175"/>
        <v>89.478556159295863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5.6843418860808015E-14</v>
      </c>
      <c r="DP155" s="17">
        <f>DO155*VLOOKUP('Données projet'!$B$14,Paramètres!$A$1:$I$89,3,0)*VLOOKUP('Données projet'!$B$14,Paramètres!$A$1:$I$89,5,0)</f>
        <v>4.6111381379887463E-14</v>
      </c>
      <c r="DQ155" s="13">
        <f t="shared" si="176"/>
        <v>7.5804141040779151E-13</v>
      </c>
      <c r="DR155" s="20">
        <f t="shared" si="177"/>
        <v>1.4005661123635408E-12</v>
      </c>
      <c r="DS155" s="59">
        <f t="shared" si="125"/>
        <v>293.33333333333474</v>
      </c>
      <c r="DT155" s="59">
        <f ca="1">AVERAGE(OFFSET($DS$3,0,0,'Données projet'!$E$14+1,1))-AVERAGE(OFFSET($H$3,0,0,'Données projet'!$E$14+1,1))</f>
        <v>235.31102883830971</v>
      </c>
      <c r="DU155" s="59">
        <f t="shared" si="152"/>
        <v>271.48630853790422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13.624216894930161</v>
      </c>
      <c r="EB155" s="21">
        <f>EXP(-LN(2)/25)*EB154+(1-EXP(-LN(2)/25))/(LN(2)/25)*Calculateur!DW155*Calculateur!DY155*VLOOKUP('Données projet'!$B$14,Paramètres!$A$1:$I$89,3,0)*0.475*44/12</f>
        <v>10.602083626618827</v>
      </c>
      <c r="EC155" s="21">
        <f>EXP(-LN(2)/2)*EC154+(1-EXP(-LN(2)/2))/(LN(2)/2)*DW155*DZ155*VLOOKUP('Données projet'!$B$14,Paramètres!$A$1:$I$89,3,0)*0.475*44/12</f>
        <v>3.067075528491177E-16</v>
      </c>
      <c r="ED155" s="22">
        <f t="shared" si="178"/>
        <v>24.226300521548986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-1.2505552149377763E-12</v>
      </c>
      <c r="O156" s="13">
        <f>N156*VLOOKUP('Données projet'!$B$9,Paramètres!$A$1:$I$89,3,0)*VLOOKUP('Données projet'!$B$9,Paramètres!$A$1:$I$89,5,0)</f>
        <v>-6.9906036515021697E-13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446.28010102877403</v>
      </c>
      <c r="T156" s="59">
        <f t="shared" si="142"/>
        <v>445.84011537290456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0.99943711155616688</v>
      </c>
      <c r="AA156" s="21">
        <f>EXP(-LN(2)/25)*AA155+(1-EXP(-LN(2)/25))/(LN(2)/25)*Calculateur!V156*Calculateur!X156*VLOOKUP('Données projet'!$B$9,Paramètres!$A$1:$I$89,3,0)*0.475*44/12</f>
        <v>1.2802936163308902</v>
      </c>
      <c r="AB156" s="21">
        <f>EXP(-LN(2)/2)*AB155+(1-EXP(-LN(2)/2))/(LN(2)/2)*V156*Y156*VLOOKUP('Données projet'!$B$9,Paramètres!$A$1:$I$89,3,0)*0.475*44/12</f>
        <v>1.1184422181733009E-17</v>
      </c>
      <c r="AC156" s="22">
        <f t="shared" si="163"/>
        <v>2.2797307278870571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-5.3205440053716299E-14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252.98248842635206</v>
      </c>
      <c r="AO156" s="59">
        <f t="shared" si="144"/>
        <v>207.11938580878308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0.27433054537133006</v>
      </c>
      <c r="AV156" s="21">
        <f>EXP(-LN(2)/25)*AV155+(1-EXP(-LN(2)/25))/(LN(2)/25)*Calculateur!AQ156*Calculateur!AS156*VLOOKUP('Données projet'!$B$10,Paramètres!$A$1:$I$89,3,0)*0.475*44/12</f>
        <v>0.25948023559867783</v>
      </c>
      <c r="AW156" s="21">
        <f>EXP(-LN(2)/2)*AW155+(1-EXP(-LN(2)/2))/(LN(2)/2)*AQ156*AT156*VLOOKUP('Données projet'!$B$10,Paramètres!$A$1:$I$89,3,0)*0.475*44/12</f>
        <v>3.0151222937813906E-18</v>
      </c>
      <c r="AX156" s="21">
        <f t="shared" si="166"/>
        <v>0.53381078097000789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2.8421709430404007E-14</v>
      </c>
      <c r="BE156" s="13">
        <f>BD156*VLOOKUP('Données projet'!$B$11,Paramètres!$A$1:$I$89,3,0)*VLOOKUP('Données projet'!$B$11,Paramètres!$A$1:$I$89,5,0)</f>
        <v>1.8621904018800706E-14</v>
      </c>
      <c r="BF156" s="13">
        <f t="shared" si="167"/>
        <v>3.40208645124969E-13</v>
      </c>
      <c r="BG156" s="20">
        <f t="shared" si="168"/>
        <v>6.2496320642539887E-13</v>
      </c>
      <c r="BH156" s="59">
        <f t="shared" si="116"/>
        <v>293.33333333333394</v>
      </c>
      <c r="BI156" s="59">
        <f ca="1">AVERAGE(OFFSET($BH$3,0,0,'Données projet'!$E$11+1,1))-AVERAGE(OFFSET($H$3,0,0,'Données projet'!$E$11+1,1))</f>
        <v>114.23168847330004</v>
      </c>
      <c r="BJ156" s="59">
        <f t="shared" si="146"/>
        <v>42.34857998136755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2.8421709430404007E-14</v>
      </c>
      <c r="BZ156" s="13">
        <f>BY156*VLOOKUP('Données projet'!$B$12,Paramètres!$A$1:$I$89,3,0)*VLOOKUP('Données projet'!$B$12,Paramètres!$A$1:$I$89,5,0)</f>
        <v>2.7489477361086758E-14</v>
      </c>
      <c r="CA156" s="13">
        <f t="shared" si="170"/>
        <v>4.7995394886724981E-13</v>
      </c>
      <c r="CB156" s="20">
        <f t="shared" si="171"/>
        <v>8.8379730068101964E-13</v>
      </c>
      <c r="CC156" s="59">
        <f t="shared" si="119"/>
        <v>293.33333333333422</v>
      </c>
      <c r="CD156" s="59">
        <f ca="1">AVERAGE(OFFSET($CC$3,0,0,'Données projet'!$E$12+1,1))-AVERAGE(OFFSET($H$3,0,0,'Données projet'!$E$12+1,1))</f>
        <v>201.36664523637006</v>
      </c>
      <c r="CE156" s="59">
        <f t="shared" si="148"/>
        <v>79.394119001888555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7.0668666783090099</v>
      </c>
      <c r="CM156" s="21">
        <f>EXP(-LN(2)/2)*CM155+(1-EXP(-LN(2)/2))/(LN(2)/2)*CG156*CJ156*VLOOKUP('Données projet'!$B$12,Paramètres!$A$1:$I$89,3,0)*0.475*44/12</f>
        <v>1.2089534932776548E-16</v>
      </c>
      <c r="CN156" s="22">
        <f t="shared" si="172"/>
        <v>7.0668666783090099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1.1368683772161603E-13</v>
      </c>
      <c r="CU156" s="17">
        <f>CT156*VLOOKUP('Données projet'!$B$13,Paramètres!$A$1:$I$89,3,0)*VLOOKUP('Données projet'!$B$13,Paramètres!$A$1:$I$89,5,0)</f>
        <v>1.0286385077051818E-13</v>
      </c>
      <c r="CV156" s="13">
        <f t="shared" si="173"/>
        <v>1.5402366592183556E-12</v>
      </c>
      <c r="CW156" s="20">
        <f t="shared" si="174"/>
        <v>2.8617333882306215E-12</v>
      </c>
      <c r="CX156" s="59">
        <f t="shared" si="122"/>
        <v>293.33333333333616</v>
      </c>
      <c r="CY156" s="59">
        <f ca="1">AVERAGE(OFFSET($CX$3,0,0,'Données projet'!$E$13+1,1))-AVERAGE(OFFSET($H$3,0,0,'Données projet'!$E$13+1,1))</f>
        <v>282.08542131880455</v>
      </c>
      <c r="CZ156" s="59">
        <f t="shared" si="150"/>
        <v>174.27503468762325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59.304922873135389</v>
      </c>
      <c r="DG156" s="21">
        <f>EXP(-LN(2)/25)*DG155+(1-EXP(-LN(2)/25))/(LN(2)/25)*Calculateur!DB156*Calculateur!DD156*VLOOKUP('Données projet'!$B$13,Paramètres!$A$1:$I$89,3,0)*0.475*44/12</f>
        <v>28.194776327811041</v>
      </c>
      <c r="DH156" s="21">
        <f>EXP(-LN(2)/2)*DH155+(1-EXP(-LN(2)/2))/(LN(2)/2)*DB156*DE156*VLOOKUP('Données projet'!$B$13,Paramètres!$A$1:$I$89,3,0)*0.475*44/12</f>
        <v>1.7972260021593627E-16</v>
      </c>
      <c r="DI156" s="22">
        <f t="shared" si="175"/>
        <v>87.499699200946424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5.6843418860808015E-14</v>
      </c>
      <c r="DP156" s="17">
        <f>DO156*VLOOKUP('Données projet'!$B$14,Paramètres!$A$1:$I$89,3,0)*VLOOKUP('Données projet'!$B$14,Paramètres!$A$1:$I$89,5,0)</f>
        <v>4.6111381379887463E-14</v>
      </c>
      <c r="DQ156" s="13">
        <f t="shared" si="176"/>
        <v>7.5804141040779151E-13</v>
      </c>
      <c r="DR156" s="20">
        <f t="shared" si="177"/>
        <v>1.4005661123635408E-12</v>
      </c>
      <c r="DS156" s="59">
        <f t="shared" si="125"/>
        <v>293.33333333333474</v>
      </c>
      <c r="DT156" s="59">
        <f ca="1">AVERAGE(OFFSET($DS$3,0,0,'Données projet'!$E$14+1,1))-AVERAGE(OFFSET($H$3,0,0,'Données projet'!$E$14+1,1))</f>
        <v>235.31102883830971</v>
      </c>
      <c r="DU156" s="59">
        <f t="shared" si="152"/>
        <v>271.48630853790422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13.357054311572346</v>
      </c>
      <c r="EB156" s="21">
        <f>EXP(-LN(2)/25)*EB155+(1-EXP(-LN(2)/25))/(LN(2)/25)*Calculateur!DW156*Calculateur!DY156*VLOOKUP('Données projet'!$B$14,Paramètres!$A$1:$I$89,3,0)*0.475*44/12</f>
        <v>10.312169092309588</v>
      </c>
      <c r="EC156" s="21">
        <f>EXP(-LN(2)/2)*EC155+(1-EXP(-LN(2)/2))/(LN(2)/2)*DW156*DZ156*VLOOKUP('Données projet'!$B$14,Paramètres!$A$1:$I$89,3,0)*0.475*44/12</f>
        <v>2.1687499046074254E-16</v>
      </c>
      <c r="ED156" s="22">
        <f t="shared" si="178"/>
        <v>23.669223403881936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-1.2505552149377763E-12</v>
      </c>
      <c r="O157" s="13">
        <f>N157*VLOOKUP('Données projet'!$B$9,Paramètres!$A$1:$I$89,3,0)*VLOOKUP('Données projet'!$B$9,Paramètres!$A$1:$I$89,5,0)</f>
        <v>-6.9906036515021697E-13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446.28010102877403</v>
      </c>
      <c r="T157" s="59">
        <f t="shared" si="142"/>
        <v>445.84011537290456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0.97983875939499587</v>
      </c>
      <c r="AA157" s="21">
        <f>EXP(-LN(2)/25)*AA156+(1-EXP(-LN(2)/25))/(LN(2)/25)*Calculateur!V157*Calculateur!X157*VLOOKUP('Données projet'!$B$9,Paramètres!$A$1:$I$89,3,0)*0.475*44/12</f>
        <v>1.2452839200646069</v>
      </c>
      <c r="AB157" s="21">
        <f>EXP(-LN(2)/2)*AB156+(1-EXP(-LN(2)/2))/(LN(2)/2)*V157*Y157*VLOOKUP('Données projet'!$B$9,Paramètres!$A$1:$I$89,3,0)*0.475*44/12</f>
        <v>7.9085807683566509E-18</v>
      </c>
      <c r="AC157" s="22">
        <f t="shared" si="163"/>
        <v>2.2251226794596026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-5.3205440053716299E-14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252.98248842635206</v>
      </c>
      <c r="AO157" s="59">
        <f t="shared" si="144"/>
        <v>207.11938580878308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0.26895109070170897</v>
      </c>
      <c r="AV157" s="21">
        <f>EXP(-LN(2)/25)*AV156+(1-EXP(-LN(2)/25))/(LN(2)/25)*Calculateur!AQ157*Calculateur!AS157*VLOOKUP('Données projet'!$B$10,Paramètres!$A$1:$I$89,3,0)*0.475*44/12</f>
        <v>0.25238473491075947</v>
      </c>
      <c r="AW157" s="21">
        <f>EXP(-LN(2)/2)*AW156+(1-EXP(-LN(2)/2))/(LN(2)/2)*AQ157*AT157*VLOOKUP('Données projet'!$B$10,Paramètres!$A$1:$I$89,3,0)*0.475*44/12</f>
        <v>2.132013420039559E-18</v>
      </c>
      <c r="AX157" s="21">
        <f t="shared" si="166"/>
        <v>0.5213358256124685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2.8421709430404007E-14</v>
      </c>
      <c r="BE157" s="13">
        <f>BD157*VLOOKUP('Données projet'!$B$11,Paramètres!$A$1:$I$89,3,0)*VLOOKUP('Données projet'!$B$11,Paramètres!$A$1:$I$89,5,0)</f>
        <v>1.8621904018800706E-14</v>
      </c>
      <c r="BF157" s="13">
        <f t="shared" si="167"/>
        <v>3.40208645124969E-13</v>
      </c>
      <c r="BG157" s="20">
        <f t="shared" si="168"/>
        <v>6.2496320642539887E-13</v>
      </c>
      <c r="BH157" s="59">
        <f t="shared" si="116"/>
        <v>293.33333333333394</v>
      </c>
      <c r="BI157" s="59">
        <f ca="1">AVERAGE(OFFSET($BH$3,0,0,'Données projet'!$E$11+1,1))-AVERAGE(OFFSET($H$3,0,0,'Données projet'!$E$11+1,1))</f>
        <v>114.23168847330004</v>
      </c>
      <c r="BJ157" s="59">
        <f t="shared" si="146"/>
        <v>42.34857998136755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2.8421709430404007E-14</v>
      </c>
      <c r="BZ157" s="13">
        <f>BY157*VLOOKUP('Données projet'!$B$12,Paramètres!$A$1:$I$89,3,0)*VLOOKUP('Données projet'!$B$12,Paramètres!$A$1:$I$89,5,0)</f>
        <v>2.7489477361086758E-14</v>
      </c>
      <c r="CA157" s="13">
        <f t="shared" si="170"/>
        <v>4.7995394886724981E-13</v>
      </c>
      <c r="CB157" s="20">
        <f t="shared" si="171"/>
        <v>8.8379730068101964E-13</v>
      </c>
      <c r="CC157" s="59">
        <f t="shared" si="119"/>
        <v>293.33333333333422</v>
      </c>
      <c r="CD157" s="59">
        <f ca="1">AVERAGE(OFFSET($CC$3,0,0,'Données projet'!$E$12+1,1))-AVERAGE(OFFSET($H$3,0,0,'Données projet'!$E$12+1,1))</f>
        <v>201.36664523637006</v>
      </c>
      <c r="CE157" s="59">
        <f t="shared" si="148"/>
        <v>79.394119001888555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6.8736228373602826</v>
      </c>
      <c r="CM157" s="21">
        <f>EXP(-LN(2)/2)*CM156+(1-EXP(-LN(2)/2))/(LN(2)/2)*CG157*CJ157*VLOOKUP('Données projet'!$B$12,Paramètres!$A$1:$I$89,3,0)*0.475*44/12</f>
        <v>8.5485921323579489E-17</v>
      </c>
      <c r="CN157" s="22">
        <f t="shared" si="172"/>
        <v>6.8736228373602826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1.1368683772161603E-13</v>
      </c>
      <c r="CU157" s="17">
        <f>CT157*VLOOKUP('Données projet'!$B$13,Paramètres!$A$1:$I$89,3,0)*VLOOKUP('Données projet'!$B$13,Paramètres!$A$1:$I$89,5,0)</f>
        <v>1.0286385077051818E-13</v>
      </c>
      <c r="CV157" s="13">
        <f t="shared" si="173"/>
        <v>1.5402366592183556E-12</v>
      </c>
      <c r="CW157" s="20">
        <f t="shared" si="174"/>
        <v>2.8617333882306215E-12</v>
      </c>
      <c r="CX157" s="59">
        <f t="shared" si="122"/>
        <v>293.33333333333616</v>
      </c>
      <c r="CY157" s="59">
        <f ca="1">AVERAGE(OFFSET($CX$3,0,0,'Données projet'!$E$13+1,1))-AVERAGE(OFFSET($H$3,0,0,'Données projet'!$E$13+1,1))</f>
        <v>282.08542131880455</v>
      </c>
      <c r="CZ157" s="59">
        <f t="shared" si="150"/>
        <v>174.27503468762325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58.141989508024423</v>
      </c>
      <c r="DG157" s="21">
        <f>EXP(-LN(2)/25)*DG156+(1-EXP(-LN(2)/25))/(LN(2)/25)*Calculateur!DB157*Calculateur!DD157*VLOOKUP('Données projet'!$B$13,Paramètres!$A$1:$I$89,3,0)*0.475*44/12</f>
        <v>27.423788686428203</v>
      </c>
      <c r="DH157" s="21">
        <f>EXP(-LN(2)/2)*DH156+(1-EXP(-LN(2)/2))/(LN(2)/2)*DB157*DE157*VLOOKUP('Données projet'!$B$13,Paramètres!$A$1:$I$89,3,0)*0.475*44/12</f>
        <v>1.270830693451674E-16</v>
      </c>
      <c r="DI157" s="22">
        <f t="shared" si="175"/>
        <v>85.565778194452633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5.6843418860808015E-14</v>
      </c>
      <c r="DP157" s="17">
        <f>DO157*VLOOKUP('Données projet'!$B$14,Paramètres!$A$1:$I$89,3,0)*VLOOKUP('Données projet'!$B$14,Paramètres!$A$1:$I$89,5,0)</f>
        <v>4.6111381379887463E-14</v>
      </c>
      <c r="DQ157" s="13">
        <f t="shared" si="176"/>
        <v>7.5804141040779151E-13</v>
      </c>
      <c r="DR157" s="20">
        <f t="shared" si="177"/>
        <v>1.4005661123635408E-12</v>
      </c>
      <c r="DS157" s="59">
        <f t="shared" si="125"/>
        <v>293.33333333333474</v>
      </c>
      <c r="DT157" s="59">
        <f ca="1">AVERAGE(OFFSET($DS$3,0,0,'Données projet'!$E$14+1,1))-AVERAGE(OFFSET($H$3,0,0,'Données projet'!$E$14+1,1))</f>
        <v>235.31102883830971</v>
      </c>
      <c r="DU157" s="59">
        <f t="shared" si="152"/>
        <v>271.48630853790422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13.095130623521094</v>
      </c>
      <c r="EB157" s="21">
        <f>EXP(-LN(2)/25)*EB156+(1-EXP(-LN(2)/25))/(LN(2)/25)*Calculateur!DW157*Calculateur!DY157*VLOOKUP('Données projet'!$B$14,Paramètres!$A$1:$I$89,3,0)*0.475*44/12</f>
        <v>10.030182286186978</v>
      </c>
      <c r="EC157" s="21">
        <f>EXP(-LN(2)/2)*EC156+(1-EXP(-LN(2)/2))/(LN(2)/2)*DW157*DZ157*VLOOKUP('Données projet'!$B$14,Paramètres!$A$1:$I$89,3,0)*0.475*44/12</f>
        <v>1.5335377642455887E-16</v>
      </c>
      <c r="ED157" s="22">
        <f t="shared" si="178"/>
        <v>23.125312909708072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-1.2505552149377763E-12</v>
      </c>
      <c r="O158" s="13">
        <f>N158*VLOOKUP('Données projet'!$B$9,Paramètres!$A$1:$I$89,3,0)*VLOOKUP('Données projet'!$B$9,Paramètres!$A$1:$I$89,5,0)</f>
        <v>-6.9906036515021697E-13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446.28010102877403</v>
      </c>
      <c r="T158" s="59">
        <f t="shared" si="142"/>
        <v>445.84011537290456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0.96062471896589097</v>
      </c>
      <c r="AA158" s="21">
        <f>EXP(-LN(2)/25)*AA157+(1-EXP(-LN(2)/25))/(LN(2)/25)*Calculateur!V158*Calculateur!X158*VLOOKUP('Données projet'!$B$9,Paramètres!$A$1:$I$89,3,0)*0.475*44/12</f>
        <v>1.2112315657838049</v>
      </c>
      <c r="AB158" s="21">
        <f>EXP(-LN(2)/2)*AB157+(1-EXP(-LN(2)/2))/(LN(2)/2)*V158*Y158*VLOOKUP('Données projet'!$B$9,Paramètres!$A$1:$I$89,3,0)*0.475*44/12</f>
        <v>5.5922110908665043E-18</v>
      </c>
      <c r="AC158" s="22">
        <f t="shared" si="163"/>
        <v>2.1718562847496958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-5.3205440053716299E-14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252.98248842635206</v>
      </c>
      <c r="AO158" s="59">
        <f t="shared" si="144"/>
        <v>207.11938580878308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0.2636771238570158</v>
      </c>
      <c r="AV158" s="21">
        <f>EXP(-LN(2)/25)*AV157+(1-EXP(-LN(2)/25))/(LN(2)/25)*Calculateur!AQ158*Calculateur!AS158*VLOOKUP('Données projet'!$B$10,Paramètres!$A$1:$I$89,3,0)*0.475*44/12</f>
        <v>0.24548326106228838</v>
      </c>
      <c r="AW158" s="21">
        <f>EXP(-LN(2)/2)*AW157+(1-EXP(-LN(2)/2))/(LN(2)/2)*AQ158*AT158*VLOOKUP('Données projet'!$B$10,Paramètres!$A$1:$I$89,3,0)*0.475*44/12</f>
        <v>1.5075611468906953E-18</v>
      </c>
      <c r="AX158" s="21">
        <f t="shared" si="166"/>
        <v>0.50916038491930415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2.8421709430404007E-14</v>
      </c>
      <c r="BE158" s="13">
        <f>BD158*VLOOKUP('Données projet'!$B$11,Paramètres!$A$1:$I$89,3,0)*VLOOKUP('Données projet'!$B$11,Paramètres!$A$1:$I$89,5,0)</f>
        <v>1.8621904018800706E-14</v>
      </c>
      <c r="BF158" s="13">
        <f t="shared" si="167"/>
        <v>3.40208645124969E-13</v>
      </c>
      <c r="BG158" s="20">
        <f t="shared" si="168"/>
        <v>6.2496320642539887E-13</v>
      </c>
      <c r="BH158" s="59">
        <f t="shared" si="116"/>
        <v>293.33333333333394</v>
      </c>
      <c r="BI158" s="59">
        <f ca="1">AVERAGE(OFFSET($BH$3,0,0,'Données projet'!$E$11+1,1))-AVERAGE(OFFSET($H$3,0,0,'Données projet'!$E$11+1,1))</f>
        <v>114.23168847330004</v>
      </c>
      <c r="BJ158" s="59">
        <f t="shared" si="146"/>
        <v>42.34857998136755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2.8421709430404007E-14</v>
      </c>
      <c r="BZ158" s="13">
        <f>BY158*VLOOKUP('Données projet'!$B$12,Paramètres!$A$1:$I$89,3,0)*VLOOKUP('Données projet'!$B$12,Paramètres!$A$1:$I$89,5,0)</f>
        <v>2.7489477361086758E-14</v>
      </c>
      <c r="CA158" s="13">
        <f t="shared" si="170"/>
        <v>4.7995394886724981E-13</v>
      </c>
      <c r="CB158" s="20">
        <f t="shared" si="171"/>
        <v>8.8379730068101964E-13</v>
      </c>
      <c r="CC158" s="59">
        <f t="shared" si="119"/>
        <v>293.33333333333422</v>
      </c>
      <c r="CD158" s="59">
        <f ca="1">AVERAGE(OFFSET($CC$3,0,0,'Données projet'!$E$12+1,1))-AVERAGE(OFFSET($H$3,0,0,'Données projet'!$E$12+1,1))</f>
        <v>201.36664523637006</v>
      </c>
      <c r="CE158" s="59">
        <f t="shared" si="148"/>
        <v>79.394119001888555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6.6856632594045502</v>
      </c>
      <c r="CM158" s="21">
        <f>EXP(-LN(2)/2)*CM157+(1-EXP(-LN(2)/2))/(LN(2)/2)*CG158*CJ158*VLOOKUP('Données projet'!$B$12,Paramètres!$A$1:$I$89,3,0)*0.475*44/12</f>
        <v>6.0447674663882738E-17</v>
      </c>
      <c r="CN158" s="22">
        <f t="shared" si="172"/>
        <v>6.6856632594045502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1.1368683772161603E-13</v>
      </c>
      <c r="CU158" s="17">
        <f>CT158*VLOOKUP('Données projet'!$B$13,Paramètres!$A$1:$I$89,3,0)*VLOOKUP('Données projet'!$B$13,Paramètres!$A$1:$I$89,5,0)</f>
        <v>1.0286385077051818E-13</v>
      </c>
      <c r="CV158" s="13">
        <f t="shared" si="173"/>
        <v>1.5402366592183556E-12</v>
      </c>
      <c r="CW158" s="20">
        <f t="shared" si="174"/>
        <v>2.8617333882306215E-12</v>
      </c>
      <c r="CX158" s="59">
        <f t="shared" si="122"/>
        <v>293.33333333333616</v>
      </c>
      <c r="CY158" s="59">
        <f ca="1">AVERAGE(OFFSET($CX$3,0,0,'Données projet'!$E$13+1,1))-AVERAGE(OFFSET($H$3,0,0,'Données projet'!$E$13+1,1))</f>
        <v>282.08542131880455</v>
      </c>
      <c r="CZ158" s="59">
        <f t="shared" si="150"/>
        <v>174.27503468762325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57.001860556883976</v>
      </c>
      <c r="DG158" s="21">
        <f>EXP(-LN(2)/25)*DG157+(1-EXP(-LN(2)/25))/(LN(2)/25)*Calculateur!DB158*Calculateur!DD158*VLOOKUP('Données projet'!$B$13,Paramètres!$A$1:$I$89,3,0)*0.475*44/12</f>
        <v>26.673883742643454</v>
      </c>
      <c r="DH158" s="21">
        <f>EXP(-LN(2)/2)*DH157+(1-EXP(-LN(2)/2))/(LN(2)/2)*DB158*DE158*VLOOKUP('Données projet'!$B$13,Paramètres!$A$1:$I$89,3,0)*0.475*44/12</f>
        <v>8.9861300107968133E-17</v>
      </c>
      <c r="DI158" s="22">
        <f t="shared" si="175"/>
        <v>83.675744299527423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5.6843418860808015E-14</v>
      </c>
      <c r="DP158" s="17">
        <f>DO158*VLOOKUP('Données projet'!$B$14,Paramètres!$A$1:$I$89,3,0)*VLOOKUP('Données projet'!$B$14,Paramètres!$A$1:$I$89,5,0)</f>
        <v>4.6111381379887463E-14</v>
      </c>
      <c r="DQ158" s="13">
        <f t="shared" si="176"/>
        <v>7.5804141040779151E-13</v>
      </c>
      <c r="DR158" s="20">
        <f t="shared" si="177"/>
        <v>1.4005661123635408E-12</v>
      </c>
      <c r="DS158" s="59">
        <f t="shared" si="125"/>
        <v>293.33333333333474</v>
      </c>
      <c r="DT158" s="59">
        <f ca="1">AVERAGE(OFFSET($DS$3,0,0,'Données projet'!$E$14+1,1))-AVERAGE(OFFSET($H$3,0,0,'Données projet'!$E$14+1,1))</f>
        <v>235.31102883830971</v>
      </c>
      <c r="DU158" s="59">
        <f t="shared" si="152"/>
        <v>271.48630853790422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12.838343099234852</v>
      </c>
      <c r="EB158" s="21">
        <f>EXP(-LN(2)/25)*EB157+(1-EXP(-LN(2)/25))/(LN(2)/25)*Calculateur!DW158*Calculateur!DY158*VLOOKUP('Données projet'!$B$14,Paramètres!$A$1:$I$89,3,0)*0.475*44/12</f>
        <v>9.7559064241068327</v>
      </c>
      <c r="EC158" s="21">
        <f>EXP(-LN(2)/2)*EC157+(1-EXP(-LN(2)/2))/(LN(2)/2)*DW158*DZ158*VLOOKUP('Données projet'!$B$14,Paramètres!$A$1:$I$89,3,0)*0.475*44/12</f>
        <v>1.0843749523037128E-16</v>
      </c>
      <c r="ED158" s="22">
        <f t="shared" si="178"/>
        <v>22.594249523341684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-1.2505552149377763E-12</v>
      </c>
      <c r="O159" s="13">
        <f>N159*VLOOKUP('Données projet'!$B$9,Paramètres!$A$1:$I$89,3,0)*VLOOKUP('Données projet'!$B$9,Paramètres!$A$1:$I$89,5,0)</f>
        <v>-6.9906036515021697E-13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446.28010102877403</v>
      </c>
      <c r="T159" s="59">
        <f t="shared" si="142"/>
        <v>445.84011537290456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0.94178745415019327</v>
      </c>
      <c r="AA159" s="21">
        <f>EXP(-LN(2)/25)*AA158+(1-EXP(-LN(2)/25))/(LN(2)/25)*Calculateur!V159*Calculateur!X159*VLOOKUP('Données projet'!$B$9,Paramètres!$A$1:$I$89,3,0)*0.475*44/12</f>
        <v>1.1781103749215469</v>
      </c>
      <c r="AB159" s="21">
        <f>EXP(-LN(2)/2)*AB158+(1-EXP(-LN(2)/2))/(LN(2)/2)*V159*Y159*VLOOKUP('Données projet'!$B$9,Paramètres!$A$1:$I$89,3,0)*0.475*44/12</f>
        <v>3.9542903841783255E-18</v>
      </c>
      <c r="AC159" s="22">
        <f t="shared" si="163"/>
        <v>2.1198978290717401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-5.3205440053716299E-14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252.98248842635206</v>
      </c>
      <c r="AO159" s="59">
        <f t="shared" si="144"/>
        <v>207.11938580878308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0.2585065762853449</v>
      </c>
      <c r="AV159" s="21">
        <f>EXP(-LN(2)/25)*AV158+(1-EXP(-LN(2)/25))/(LN(2)/25)*Calculateur!AQ159*Calculateur!AS159*VLOOKUP('Données projet'!$B$10,Paramètres!$A$1:$I$89,3,0)*0.475*44/12</f>
        <v>0.23877050837913646</v>
      </c>
      <c r="AW159" s="21">
        <f>EXP(-LN(2)/2)*AW158+(1-EXP(-LN(2)/2))/(LN(2)/2)*AQ159*AT159*VLOOKUP('Données projet'!$B$10,Paramètres!$A$1:$I$89,3,0)*0.475*44/12</f>
        <v>1.0660067100197795E-18</v>
      </c>
      <c r="AX159" s="21">
        <f t="shared" si="166"/>
        <v>0.49727708466448139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2.8421709430404007E-14</v>
      </c>
      <c r="BE159" s="13">
        <f>BD159*VLOOKUP('Données projet'!$B$11,Paramètres!$A$1:$I$89,3,0)*VLOOKUP('Données projet'!$B$11,Paramètres!$A$1:$I$89,5,0)</f>
        <v>1.8621904018800706E-14</v>
      </c>
      <c r="BF159" s="13">
        <f t="shared" si="167"/>
        <v>3.40208645124969E-13</v>
      </c>
      <c r="BG159" s="20">
        <f t="shared" si="168"/>
        <v>6.2496320642539887E-13</v>
      </c>
      <c r="BH159" s="59">
        <f t="shared" si="116"/>
        <v>293.33333333333394</v>
      </c>
      <c r="BI159" s="59">
        <f ca="1">AVERAGE(OFFSET($BH$3,0,0,'Données projet'!$E$11+1,1))-AVERAGE(OFFSET($H$3,0,0,'Données projet'!$E$11+1,1))</f>
        <v>114.23168847330004</v>
      </c>
      <c r="BJ159" s="59">
        <f t="shared" si="146"/>
        <v>42.34857998136755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2.8421709430404007E-14</v>
      </c>
      <c r="BZ159" s="13">
        <f>BY159*VLOOKUP('Données projet'!$B$12,Paramètres!$A$1:$I$89,3,0)*VLOOKUP('Données projet'!$B$12,Paramètres!$A$1:$I$89,5,0)</f>
        <v>2.7489477361086758E-14</v>
      </c>
      <c r="CA159" s="13">
        <f t="shared" si="170"/>
        <v>4.7995394886724981E-13</v>
      </c>
      <c r="CB159" s="20">
        <f t="shared" si="171"/>
        <v>8.8379730068101964E-13</v>
      </c>
      <c r="CC159" s="59">
        <f t="shared" si="119"/>
        <v>293.33333333333422</v>
      </c>
      <c r="CD159" s="59">
        <f ca="1">AVERAGE(OFFSET($CC$3,0,0,'Données projet'!$E$12+1,1))-AVERAGE(OFFSET($H$3,0,0,'Données projet'!$E$12+1,1))</f>
        <v>201.36664523637006</v>
      </c>
      <c r="CE159" s="59">
        <f t="shared" si="148"/>
        <v>79.394119001888555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6.5028434459923821</v>
      </c>
      <c r="CM159" s="21">
        <f>EXP(-LN(2)/2)*CM158+(1-EXP(-LN(2)/2))/(LN(2)/2)*CG159*CJ159*VLOOKUP('Données projet'!$B$12,Paramètres!$A$1:$I$89,3,0)*0.475*44/12</f>
        <v>4.2742960661789745E-17</v>
      </c>
      <c r="CN159" s="22">
        <f t="shared" si="172"/>
        <v>6.5028434459923821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1.1368683772161603E-13</v>
      </c>
      <c r="CU159" s="17">
        <f>CT159*VLOOKUP('Données projet'!$B$13,Paramètres!$A$1:$I$89,3,0)*VLOOKUP('Données projet'!$B$13,Paramètres!$A$1:$I$89,5,0)</f>
        <v>1.0286385077051818E-13</v>
      </c>
      <c r="CV159" s="13">
        <f t="shared" si="173"/>
        <v>1.5402366592183556E-12</v>
      </c>
      <c r="CW159" s="20">
        <f t="shared" si="174"/>
        <v>2.8617333882306215E-12</v>
      </c>
      <c r="CX159" s="59">
        <f t="shared" si="122"/>
        <v>293.33333333333616</v>
      </c>
      <c r="CY159" s="59">
        <f ca="1">AVERAGE(OFFSET($CX$3,0,0,'Données projet'!$E$13+1,1))-AVERAGE(OFFSET($H$3,0,0,'Données projet'!$E$13+1,1))</f>
        <v>282.08542131880455</v>
      </c>
      <c r="CZ159" s="59">
        <f t="shared" si="150"/>
        <v>174.27503468762325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55.884088839065399</v>
      </c>
      <c r="DG159" s="21">
        <f>EXP(-LN(2)/25)*DG158+(1-EXP(-LN(2)/25))/(LN(2)/25)*Calculateur!DB159*Calculateur!DD159*VLOOKUP('Données projet'!$B$13,Paramètres!$A$1:$I$89,3,0)*0.475*44/12</f>
        <v>25.944484988982286</v>
      </c>
      <c r="DH159" s="21">
        <f>EXP(-LN(2)/2)*DH158+(1-EXP(-LN(2)/2))/(LN(2)/2)*DB159*DE159*VLOOKUP('Données projet'!$B$13,Paramètres!$A$1:$I$89,3,0)*0.475*44/12</f>
        <v>6.3541534672583701E-17</v>
      </c>
      <c r="DI159" s="22">
        <f t="shared" si="175"/>
        <v>81.828573828047681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5.6843418860808015E-14</v>
      </c>
      <c r="DP159" s="17">
        <f>DO159*VLOOKUP('Données projet'!$B$14,Paramètres!$A$1:$I$89,3,0)*VLOOKUP('Données projet'!$B$14,Paramètres!$A$1:$I$89,5,0)</f>
        <v>4.6111381379887463E-14</v>
      </c>
      <c r="DQ159" s="13">
        <f t="shared" si="176"/>
        <v>7.5804141040779151E-13</v>
      </c>
      <c r="DR159" s="20">
        <f t="shared" si="177"/>
        <v>1.4005661123635408E-12</v>
      </c>
      <c r="DS159" s="59">
        <f t="shared" si="125"/>
        <v>293.33333333333474</v>
      </c>
      <c r="DT159" s="59">
        <f ca="1">AVERAGE(OFFSET($DS$3,0,0,'Données projet'!$E$14+1,1))-AVERAGE(OFFSET($H$3,0,0,'Données projet'!$E$14+1,1))</f>
        <v>235.31102883830971</v>
      </c>
      <c r="DU159" s="59">
        <f t="shared" si="152"/>
        <v>271.48630853790422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12.586591021674938</v>
      </c>
      <c r="EB159" s="21">
        <f>EXP(-LN(2)/25)*EB158+(1-EXP(-LN(2)/25))/(LN(2)/25)*Calculateur!DW159*Calculateur!DY159*VLOOKUP('Données projet'!$B$14,Paramètres!$A$1:$I$89,3,0)*0.475*44/12</f>
        <v>9.4891306498988097</v>
      </c>
      <c r="EC159" s="21">
        <f>EXP(-LN(2)/2)*EC158+(1-EXP(-LN(2)/2))/(LN(2)/2)*DW159*DZ159*VLOOKUP('Données projet'!$B$14,Paramètres!$A$1:$I$89,3,0)*0.475*44/12</f>
        <v>7.6676888212279449E-17</v>
      </c>
      <c r="ED159" s="22">
        <f t="shared" si="178"/>
        <v>22.075721671573746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-1.2505552149377763E-12</v>
      </c>
      <c r="O160" s="13">
        <f>N160*VLOOKUP('Données projet'!$B$9,Paramètres!$A$1:$I$89,3,0)*VLOOKUP('Données projet'!$B$9,Paramètres!$A$1:$I$89,5,0)</f>
        <v>-6.9906036515021697E-13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446.28010102877403</v>
      </c>
      <c r="T160" s="59">
        <f t="shared" si="142"/>
        <v>445.84011537290456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0.9233195766079344</v>
      </c>
      <c r="AA160" s="21">
        <f>EXP(-LN(2)/25)*AA159+(1-EXP(-LN(2)/25))/(LN(2)/25)*Calculateur!V160*Calculateur!X160*VLOOKUP('Données projet'!$B$9,Paramètres!$A$1:$I$89,3,0)*0.475*44/12</f>
        <v>1.1458948847651853</v>
      </c>
      <c r="AB160" s="21">
        <f>EXP(-LN(2)/2)*AB159+(1-EXP(-LN(2)/2))/(LN(2)/2)*V160*Y160*VLOOKUP('Données projet'!$B$9,Paramètres!$A$1:$I$89,3,0)*0.475*44/12</f>
        <v>2.7961055454332522E-18</v>
      </c>
      <c r="AC160" s="22">
        <f t="shared" si="163"/>
        <v>2.0692144613731198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-5.3205440053716299E-14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252.98248842635206</v>
      </c>
      <c r="AO160" s="59">
        <f t="shared" si="144"/>
        <v>207.11938580878308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0.25343741999783187</v>
      </c>
      <c r="AV160" s="21">
        <f>EXP(-LN(2)/25)*AV159+(1-EXP(-LN(2)/25))/(LN(2)/25)*Calculateur!AQ160*Calculateur!AS160*VLOOKUP('Données projet'!$B$10,Paramètres!$A$1:$I$89,3,0)*0.475*44/12</f>
        <v>0.23224131627111366</v>
      </c>
      <c r="AW160" s="21">
        <f>EXP(-LN(2)/2)*AW159+(1-EXP(-LN(2)/2))/(LN(2)/2)*AQ160*AT160*VLOOKUP('Données projet'!$B$10,Paramètres!$A$1:$I$89,3,0)*0.475*44/12</f>
        <v>7.5378057344534765E-19</v>
      </c>
      <c r="AX160" s="21">
        <f t="shared" si="166"/>
        <v>0.48567873626894553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2.8421709430404007E-14</v>
      </c>
      <c r="BE160" s="13">
        <f>BD160*VLOOKUP('Données projet'!$B$11,Paramètres!$A$1:$I$89,3,0)*VLOOKUP('Données projet'!$B$11,Paramètres!$A$1:$I$89,5,0)</f>
        <v>1.8621904018800706E-14</v>
      </c>
      <c r="BF160" s="13">
        <f t="shared" si="167"/>
        <v>3.40208645124969E-13</v>
      </c>
      <c r="BG160" s="20">
        <f t="shared" si="168"/>
        <v>6.2496320642539887E-13</v>
      </c>
      <c r="BH160" s="59">
        <f t="shared" si="116"/>
        <v>293.33333333333394</v>
      </c>
      <c r="BI160" s="59">
        <f ca="1">AVERAGE(OFFSET($BH$3,0,0,'Données projet'!$E$11+1,1))-AVERAGE(OFFSET($H$3,0,0,'Données projet'!$E$11+1,1))</f>
        <v>114.23168847330004</v>
      </c>
      <c r="BJ160" s="59">
        <f t="shared" si="146"/>
        <v>42.34857998136755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2.8421709430404007E-14</v>
      </c>
      <c r="BZ160" s="13">
        <f>BY160*VLOOKUP('Données projet'!$B$12,Paramètres!$A$1:$I$89,3,0)*VLOOKUP('Données projet'!$B$12,Paramètres!$A$1:$I$89,5,0)</f>
        <v>2.7489477361086758E-14</v>
      </c>
      <c r="CA160" s="13">
        <f t="shared" si="170"/>
        <v>4.7995394886724981E-13</v>
      </c>
      <c r="CB160" s="20">
        <f t="shared" si="171"/>
        <v>8.8379730068101964E-13</v>
      </c>
      <c r="CC160" s="59">
        <f t="shared" si="119"/>
        <v>293.33333333333422</v>
      </c>
      <c r="CD160" s="59">
        <f ca="1">AVERAGE(OFFSET($CC$3,0,0,'Données projet'!$E$12+1,1))-AVERAGE(OFFSET($H$3,0,0,'Données projet'!$E$12+1,1))</f>
        <v>201.36664523637006</v>
      </c>
      <c r="CE160" s="59">
        <f t="shared" si="148"/>
        <v>79.394119001888555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6.3250228499920462</v>
      </c>
      <c r="CM160" s="21">
        <f>EXP(-LN(2)/2)*CM159+(1-EXP(-LN(2)/2))/(LN(2)/2)*CG160*CJ160*VLOOKUP('Données projet'!$B$12,Paramètres!$A$1:$I$89,3,0)*0.475*44/12</f>
        <v>3.0223837331941369E-17</v>
      </c>
      <c r="CN160" s="22">
        <f t="shared" si="172"/>
        <v>6.3250228499920462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1.1368683772161603E-13</v>
      </c>
      <c r="CU160" s="17">
        <f>CT160*VLOOKUP('Données projet'!$B$13,Paramètres!$A$1:$I$89,3,0)*VLOOKUP('Données projet'!$B$13,Paramètres!$A$1:$I$89,5,0)</f>
        <v>1.0286385077051818E-13</v>
      </c>
      <c r="CV160" s="13">
        <f t="shared" si="173"/>
        <v>1.5402366592183556E-12</v>
      </c>
      <c r="CW160" s="20">
        <f t="shared" si="174"/>
        <v>2.8617333882306215E-12</v>
      </c>
      <c r="CX160" s="59">
        <f t="shared" si="122"/>
        <v>293.33333333333616</v>
      </c>
      <c r="CY160" s="59">
        <f ca="1">AVERAGE(OFFSET($CX$3,0,0,'Données projet'!$E$13+1,1))-AVERAGE(OFFSET($H$3,0,0,'Données projet'!$E$13+1,1))</f>
        <v>282.08542131880455</v>
      </c>
      <c r="CZ160" s="59">
        <f t="shared" si="150"/>
        <v>174.27503468762325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54.788235942859814</v>
      </c>
      <c r="DG160" s="21">
        <f>EXP(-LN(2)/25)*DG159+(1-EXP(-LN(2)/25))/(LN(2)/25)*Calculateur!DB160*Calculateur!DD160*VLOOKUP('Données projet'!$B$13,Paramètres!$A$1:$I$89,3,0)*0.475*44/12</f>
        <v>25.235031682597395</v>
      </c>
      <c r="DH160" s="21">
        <f>EXP(-LN(2)/2)*DH159+(1-EXP(-LN(2)/2))/(LN(2)/2)*DB160*DE160*VLOOKUP('Données projet'!$B$13,Paramètres!$A$1:$I$89,3,0)*0.475*44/12</f>
        <v>4.4930650053984067E-17</v>
      </c>
      <c r="DI160" s="22">
        <f t="shared" si="175"/>
        <v>80.023267625457208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5.6843418860808015E-14</v>
      </c>
      <c r="DP160" s="17">
        <f>DO160*VLOOKUP('Données projet'!$B$14,Paramètres!$A$1:$I$89,3,0)*VLOOKUP('Données projet'!$B$14,Paramètres!$A$1:$I$89,5,0)</f>
        <v>4.6111381379887463E-14</v>
      </c>
      <c r="DQ160" s="13">
        <f t="shared" si="176"/>
        <v>7.5804141040779151E-13</v>
      </c>
      <c r="DR160" s="20">
        <f t="shared" si="177"/>
        <v>1.4005661123635408E-12</v>
      </c>
      <c r="DS160" s="59">
        <f t="shared" si="125"/>
        <v>293.33333333333474</v>
      </c>
      <c r="DT160" s="59">
        <f ca="1">AVERAGE(OFFSET($DS$3,0,0,'Données projet'!$E$14+1,1))-AVERAGE(OFFSET($H$3,0,0,'Données projet'!$E$14+1,1))</f>
        <v>235.31102883830971</v>
      </c>
      <c r="DU160" s="59">
        <f t="shared" si="152"/>
        <v>271.48630853790422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12.339775648802368</v>
      </c>
      <c r="EB160" s="21">
        <f>EXP(-LN(2)/25)*EB159+(1-EXP(-LN(2)/25))/(LN(2)/25)*Calculateur!DW160*Calculateur!DY160*VLOOKUP('Données projet'!$B$14,Paramètres!$A$1:$I$89,3,0)*0.475*44/12</f>
        <v>9.2296498732656342</v>
      </c>
      <c r="EC160" s="21">
        <f>EXP(-LN(2)/2)*EC159+(1-EXP(-LN(2)/2))/(LN(2)/2)*DW160*DZ160*VLOOKUP('Données projet'!$B$14,Paramètres!$A$1:$I$89,3,0)*0.475*44/12</f>
        <v>5.4218747615185655E-17</v>
      </c>
      <c r="ED160" s="22">
        <f t="shared" si="178"/>
        <v>21.569425522068002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-1.2505552149377763E-12</v>
      </c>
      <c r="O161" s="13">
        <f>N161*VLOOKUP('Données projet'!$B$9,Paramètres!$A$1:$I$89,3,0)*VLOOKUP('Données projet'!$B$9,Paramètres!$A$1:$I$89,5,0)</f>
        <v>-6.9906036515021697E-13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446.28010102877403</v>
      </c>
      <c r="T161" s="59">
        <f t="shared" si="142"/>
        <v>445.84011537290456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0.90521384287998619</v>
      </c>
      <c r="AA161" s="21">
        <f>EXP(-LN(2)/25)*AA160+(1-EXP(-LN(2)/25))/(LN(2)/25)*Calculateur!V161*Calculateur!X161*VLOOKUP('Données projet'!$B$9,Paramètres!$A$1:$I$89,3,0)*0.475*44/12</f>
        <v>1.1145603288812882</v>
      </c>
      <c r="AB161" s="21">
        <f>EXP(-LN(2)/2)*AB160+(1-EXP(-LN(2)/2))/(LN(2)/2)*V161*Y161*VLOOKUP('Données projet'!$B$9,Paramètres!$A$1:$I$89,3,0)*0.475*44/12</f>
        <v>1.9771451920891627E-18</v>
      </c>
      <c r="AC161" s="22">
        <f t="shared" si="163"/>
        <v>2.0197741717612745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-5.3205440053716299E-14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252.98248842635206</v>
      </c>
      <c r="AO161" s="59">
        <f t="shared" si="144"/>
        <v>207.11938580878308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0.24846766677323692</v>
      </c>
      <c r="AV161" s="21">
        <f>EXP(-LN(2)/25)*AV160+(1-EXP(-LN(2)/25))/(LN(2)/25)*Calculateur!AQ161*Calculateur!AS161*VLOOKUP('Données projet'!$B$10,Paramètres!$A$1:$I$89,3,0)*0.475*44/12</f>
        <v>0.22589066526464002</v>
      </c>
      <c r="AW161" s="21">
        <f>EXP(-LN(2)/2)*AW160+(1-EXP(-LN(2)/2))/(LN(2)/2)*AQ161*AT161*VLOOKUP('Données projet'!$B$10,Paramètres!$A$1:$I$89,3,0)*0.475*44/12</f>
        <v>5.3300335500988974E-19</v>
      </c>
      <c r="AX161" s="21">
        <f t="shared" si="166"/>
        <v>0.47435833203787692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2.8421709430404007E-14</v>
      </c>
      <c r="BE161" s="13">
        <f>BD161*VLOOKUP('Données projet'!$B$11,Paramètres!$A$1:$I$89,3,0)*VLOOKUP('Données projet'!$B$11,Paramètres!$A$1:$I$89,5,0)</f>
        <v>1.8621904018800706E-14</v>
      </c>
      <c r="BF161" s="13">
        <f t="shared" si="167"/>
        <v>3.40208645124969E-13</v>
      </c>
      <c r="BG161" s="20">
        <f t="shared" si="168"/>
        <v>6.2496320642539887E-13</v>
      </c>
      <c r="BH161" s="59">
        <f t="shared" si="116"/>
        <v>293.33333333333394</v>
      </c>
      <c r="BI161" s="59">
        <f ca="1">AVERAGE(OFFSET($BH$3,0,0,'Données projet'!$E$11+1,1))-AVERAGE(OFFSET($H$3,0,0,'Données projet'!$E$11+1,1))</f>
        <v>114.23168847330004</v>
      </c>
      <c r="BJ161" s="59">
        <f t="shared" si="146"/>
        <v>42.34857998136755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2.8421709430404007E-14</v>
      </c>
      <c r="BZ161" s="13">
        <f>BY161*VLOOKUP('Données projet'!$B$12,Paramètres!$A$1:$I$89,3,0)*VLOOKUP('Données projet'!$B$12,Paramètres!$A$1:$I$89,5,0)</f>
        <v>2.7489477361086758E-14</v>
      </c>
      <c r="CA161" s="13">
        <f t="shared" si="170"/>
        <v>4.7995394886724981E-13</v>
      </c>
      <c r="CB161" s="20">
        <f t="shared" si="171"/>
        <v>8.8379730068101964E-13</v>
      </c>
      <c r="CC161" s="59">
        <f t="shared" si="119"/>
        <v>293.33333333333422</v>
      </c>
      <c r="CD161" s="59">
        <f ca="1">AVERAGE(OFFSET($CC$3,0,0,'Données projet'!$E$12+1,1))-AVERAGE(OFFSET($H$3,0,0,'Données projet'!$E$12+1,1))</f>
        <v>201.36664523637006</v>
      </c>
      <c r="CE161" s="59">
        <f t="shared" si="148"/>
        <v>79.394119001888555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6.1520647675405185</v>
      </c>
      <c r="CM161" s="21">
        <f>EXP(-LN(2)/2)*CM160+(1-EXP(-LN(2)/2))/(LN(2)/2)*CG161*CJ161*VLOOKUP('Données projet'!$B$12,Paramètres!$A$1:$I$89,3,0)*0.475*44/12</f>
        <v>2.1371480330894872E-17</v>
      </c>
      <c r="CN161" s="22">
        <f t="shared" si="172"/>
        <v>6.1520647675405185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1.1368683772161603E-13</v>
      </c>
      <c r="CU161" s="17">
        <f>CT161*VLOOKUP('Données projet'!$B$13,Paramètres!$A$1:$I$89,3,0)*VLOOKUP('Données projet'!$B$13,Paramètres!$A$1:$I$89,5,0)</f>
        <v>1.0286385077051818E-13</v>
      </c>
      <c r="CV161" s="13">
        <f t="shared" si="173"/>
        <v>1.5402366592183556E-12</v>
      </c>
      <c r="CW161" s="20">
        <f t="shared" si="174"/>
        <v>2.8617333882306215E-12</v>
      </c>
      <c r="CX161" s="59">
        <f t="shared" si="122"/>
        <v>293.33333333333616</v>
      </c>
      <c r="CY161" s="59">
        <f ca="1">AVERAGE(OFFSET($CX$3,0,0,'Données projet'!$E$13+1,1))-AVERAGE(OFFSET($H$3,0,0,'Données projet'!$E$13+1,1))</f>
        <v>282.08542131880455</v>
      </c>
      <c r="CZ161" s="59">
        <f t="shared" si="150"/>
        <v>174.27503468762325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53.713872053544549</v>
      </c>
      <c r="DG161" s="21">
        <f>EXP(-LN(2)/25)*DG160+(1-EXP(-LN(2)/25))/(LN(2)/25)*Calculateur!DB161*Calculateur!DD161*VLOOKUP('Données projet'!$B$13,Paramètres!$A$1:$I$89,3,0)*0.475*44/12</f>
        <v>24.544978414184129</v>
      </c>
      <c r="DH161" s="21">
        <f>EXP(-LN(2)/2)*DH160+(1-EXP(-LN(2)/2))/(LN(2)/2)*DB161*DE161*VLOOKUP('Données projet'!$B$13,Paramètres!$A$1:$I$89,3,0)*0.475*44/12</f>
        <v>3.177076733629185E-17</v>
      </c>
      <c r="DI161" s="22">
        <f t="shared" si="175"/>
        <v>78.258850467728678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5.6843418860808015E-14</v>
      </c>
      <c r="DP161" s="17">
        <f>DO161*VLOOKUP('Données projet'!$B$14,Paramètres!$A$1:$I$89,3,0)*VLOOKUP('Données projet'!$B$14,Paramètres!$A$1:$I$89,5,0)</f>
        <v>4.6111381379887463E-14</v>
      </c>
      <c r="DQ161" s="13">
        <f t="shared" si="176"/>
        <v>7.5804141040779151E-13</v>
      </c>
      <c r="DR161" s="20">
        <f t="shared" si="177"/>
        <v>1.4005661123635408E-12</v>
      </c>
      <c r="DS161" s="59">
        <f t="shared" si="125"/>
        <v>293.33333333333474</v>
      </c>
      <c r="DT161" s="59">
        <f ca="1">AVERAGE(OFFSET($DS$3,0,0,'Données projet'!$E$14+1,1))-AVERAGE(OFFSET($H$3,0,0,'Données projet'!$E$14+1,1))</f>
        <v>235.31102883830971</v>
      </c>
      <c r="DU161" s="59">
        <f t="shared" si="152"/>
        <v>271.48630853790422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12.097800174849317</v>
      </c>
      <c r="EB161" s="21">
        <f>EXP(-LN(2)/25)*EB160+(1-EXP(-LN(2)/25))/(LN(2)/25)*Calculateur!DW161*Calculateur!DY161*VLOOKUP('Données projet'!$B$14,Paramètres!$A$1:$I$89,3,0)*0.475*44/12</f>
        <v>8.9772646121149933</v>
      </c>
      <c r="EC161" s="21">
        <f>EXP(-LN(2)/2)*EC160+(1-EXP(-LN(2)/2))/(LN(2)/2)*DW161*DZ161*VLOOKUP('Données projet'!$B$14,Paramètres!$A$1:$I$89,3,0)*0.475*44/12</f>
        <v>3.833844410613973E-17</v>
      </c>
      <c r="ED161" s="22">
        <f t="shared" si="178"/>
        <v>21.075064786964312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-1.2505552149377763E-12</v>
      </c>
      <c r="O162" s="13">
        <f>N162*VLOOKUP('Données projet'!$B$9,Paramètres!$A$1:$I$89,3,0)*VLOOKUP('Données projet'!$B$9,Paramètres!$A$1:$I$89,5,0)</f>
        <v>-6.9906036515021697E-13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446.28010102877403</v>
      </c>
      <c r="T162" s="59">
        <f t="shared" si="142"/>
        <v>445.84011537290456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0.88746315154703592</v>
      </c>
      <c r="AA162" s="21">
        <f>EXP(-LN(2)/25)*AA161+(1-EXP(-LN(2)/25))/(LN(2)/25)*Calculateur!V162*Calculateur!X162*VLOOKUP('Données projet'!$B$9,Paramètres!$A$1:$I$89,3,0)*0.475*44/12</f>
        <v>1.0840826180758489</v>
      </c>
      <c r="AB162" s="21">
        <f>EXP(-LN(2)/2)*AB161+(1-EXP(-LN(2)/2))/(LN(2)/2)*V162*Y162*VLOOKUP('Données projet'!$B$9,Paramètres!$A$1:$I$89,3,0)*0.475*44/12</f>
        <v>1.3980527727166261E-18</v>
      </c>
      <c r="AC162" s="22">
        <f t="shared" si="163"/>
        <v>1.9715457696228849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-5.3205440053716299E-14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252.98248842635206</v>
      </c>
      <c r="AO162" s="59">
        <f t="shared" si="144"/>
        <v>207.11938580878308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0.24359536737812612</v>
      </c>
      <c r="AV162" s="21">
        <f>EXP(-LN(2)/25)*AV161+(1-EXP(-LN(2)/25))/(LN(2)/25)*Calculateur!AQ162*Calculateur!AS162*VLOOKUP('Données projet'!$B$10,Paramètres!$A$1:$I$89,3,0)*0.475*44/12</f>
        <v>0.21971367314390464</v>
      </c>
      <c r="AW162" s="21">
        <f>EXP(-LN(2)/2)*AW161+(1-EXP(-LN(2)/2))/(LN(2)/2)*AQ162*AT162*VLOOKUP('Données projet'!$B$10,Paramètres!$A$1:$I$89,3,0)*0.475*44/12</f>
        <v>3.7689028672267382E-19</v>
      </c>
      <c r="AX162" s="21">
        <f t="shared" si="166"/>
        <v>0.46330904052203076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2.8421709430404007E-14</v>
      </c>
      <c r="BE162" s="13">
        <f>BD162*VLOOKUP('Données projet'!$B$11,Paramètres!$A$1:$I$89,3,0)*VLOOKUP('Données projet'!$B$11,Paramètres!$A$1:$I$89,5,0)</f>
        <v>1.8621904018800706E-14</v>
      </c>
      <c r="BF162" s="13">
        <f t="shared" si="167"/>
        <v>3.40208645124969E-13</v>
      </c>
      <c r="BG162" s="20">
        <f t="shared" si="168"/>
        <v>6.2496320642539887E-13</v>
      </c>
      <c r="BH162" s="59">
        <f t="shared" si="116"/>
        <v>293.33333333333394</v>
      </c>
      <c r="BI162" s="59">
        <f ca="1">AVERAGE(OFFSET($BH$3,0,0,'Données projet'!$E$11+1,1))-AVERAGE(OFFSET($H$3,0,0,'Données projet'!$E$11+1,1))</f>
        <v>114.23168847330004</v>
      </c>
      <c r="BJ162" s="59">
        <f t="shared" si="146"/>
        <v>42.34857998136755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2.8421709430404007E-14</v>
      </c>
      <c r="BZ162" s="13">
        <f>BY162*VLOOKUP('Données projet'!$B$12,Paramètres!$A$1:$I$89,3,0)*VLOOKUP('Données projet'!$B$12,Paramètres!$A$1:$I$89,5,0)</f>
        <v>2.7489477361086758E-14</v>
      </c>
      <c r="CA162" s="13">
        <f t="shared" si="170"/>
        <v>4.7995394886724981E-13</v>
      </c>
      <c r="CB162" s="20">
        <f t="shared" si="171"/>
        <v>8.8379730068101964E-13</v>
      </c>
      <c r="CC162" s="59">
        <f t="shared" si="119"/>
        <v>293.33333333333422</v>
      </c>
      <c r="CD162" s="59">
        <f ca="1">AVERAGE(OFFSET($CC$3,0,0,'Données projet'!$E$12+1,1))-AVERAGE(OFFSET($H$3,0,0,'Données projet'!$E$12+1,1))</f>
        <v>201.36664523637006</v>
      </c>
      <c r="CE162" s="59">
        <f t="shared" si="148"/>
        <v>79.394119001888555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5.9838362329490975</v>
      </c>
      <c r="CM162" s="21">
        <f>EXP(-LN(2)/2)*CM161+(1-EXP(-LN(2)/2))/(LN(2)/2)*CG162*CJ162*VLOOKUP('Données projet'!$B$12,Paramètres!$A$1:$I$89,3,0)*0.475*44/12</f>
        <v>1.5111918665970684E-17</v>
      </c>
      <c r="CN162" s="22">
        <f t="shared" si="172"/>
        <v>5.9838362329490975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1.1368683772161603E-13</v>
      </c>
      <c r="CU162" s="17">
        <f>CT162*VLOOKUP('Données projet'!$B$13,Paramètres!$A$1:$I$89,3,0)*VLOOKUP('Données projet'!$B$13,Paramètres!$A$1:$I$89,5,0)</f>
        <v>1.0286385077051818E-13</v>
      </c>
      <c r="CV162" s="13">
        <f t="shared" si="173"/>
        <v>1.5402366592183556E-12</v>
      </c>
      <c r="CW162" s="20">
        <f t="shared" si="174"/>
        <v>2.8617333882306215E-12</v>
      </c>
      <c r="CX162" s="59">
        <f t="shared" si="122"/>
        <v>293.33333333333616</v>
      </c>
      <c r="CY162" s="59">
        <f ca="1">AVERAGE(OFFSET($CX$3,0,0,'Données projet'!$E$13+1,1))-AVERAGE(OFFSET($H$3,0,0,'Données projet'!$E$13+1,1))</f>
        <v>282.08542131880455</v>
      </c>
      <c r="CZ162" s="59">
        <f t="shared" si="150"/>
        <v>174.27503468762325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52.660575784801495</v>
      </c>
      <c r="DG162" s="21">
        <f>EXP(-LN(2)/25)*DG161+(1-EXP(-LN(2)/25))/(LN(2)/25)*Calculateur!DB162*Calculateur!DD162*VLOOKUP('Données projet'!$B$13,Paramètres!$A$1:$I$89,3,0)*0.475*44/12</f>
        <v>23.873794688683947</v>
      </c>
      <c r="DH162" s="21">
        <f>EXP(-LN(2)/2)*DH161+(1-EXP(-LN(2)/2))/(LN(2)/2)*DB162*DE162*VLOOKUP('Données projet'!$B$13,Paramètres!$A$1:$I$89,3,0)*0.475*44/12</f>
        <v>2.2465325026992033E-17</v>
      </c>
      <c r="DI162" s="22">
        <f t="shared" si="175"/>
        <v>76.534370473485438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5.6843418860808015E-14</v>
      </c>
      <c r="DP162" s="17">
        <f>DO162*VLOOKUP('Données projet'!$B$14,Paramètres!$A$1:$I$89,3,0)*VLOOKUP('Données projet'!$B$14,Paramètres!$A$1:$I$89,5,0)</f>
        <v>4.6111381379887463E-14</v>
      </c>
      <c r="DQ162" s="13">
        <f t="shared" si="176"/>
        <v>7.5804141040779151E-13</v>
      </c>
      <c r="DR162" s="20">
        <f t="shared" si="177"/>
        <v>1.4005661123635408E-12</v>
      </c>
      <c r="DS162" s="59">
        <f t="shared" si="125"/>
        <v>293.33333333333474</v>
      </c>
      <c r="DT162" s="59">
        <f ca="1">AVERAGE(OFFSET($DS$3,0,0,'Données projet'!$E$14+1,1))-AVERAGE(OFFSET($H$3,0,0,'Données projet'!$E$14+1,1))</f>
        <v>235.31102883830971</v>
      </c>
      <c r="DU162" s="59">
        <f t="shared" si="152"/>
        <v>271.48630853790422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11.860569692350019</v>
      </c>
      <c r="EB162" s="21">
        <f>EXP(-LN(2)/25)*EB161+(1-EXP(-LN(2)/25))/(LN(2)/25)*Calculateur!DW162*Calculateur!DY162*VLOOKUP('Données projet'!$B$14,Paramètres!$A$1:$I$89,3,0)*0.475*44/12</f>
        <v>8.7317808392028802</v>
      </c>
      <c r="EC162" s="21">
        <f>EXP(-LN(2)/2)*EC161+(1-EXP(-LN(2)/2))/(LN(2)/2)*DW162*DZ162*VLOOKUP('Données projet'!$B$14,Paramètres!$A$1:$I$89,3,0)*0.475*44/12</f>
        <v>2.710937380759283E-17</v>
      </c>
      <c r="ED162" s="22">
        <f t="shared" si="178"/>
        <v>20.592350531552899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-1.2505552149377763E-12</v>
      </c>
      <c r="O163" s="13">
        <f>N163*VLOOKUP('Données projet'!$B$9,Paramètres!$A$1:$I$89,3,0)*VLOOKUP('Données projet'!$B$9,Paramètres!$A$1:$I$89,5,0)</f>
        <v>-6.9906036515021697E-13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446.28010102877403</v>
      </c>
      <c r="T163" s="59">
        <f t="shared" si="142"/>
        <v>445.84011537290456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0.87006054044427217</v>
      </c>
      <c r="AA163" s="21">
        <f>EXP(-LN(2)/25)*AA162+(1-EXP(-LN(2)/25))/(LN(2)/25)*Calculateur!V163*Calculateur!X163*VLOOKUP('Données projet'!$B$9,Paramètres!$A$1:$I$89,3,0)*0.475*44/12</f>
        <v>1.0544383218751376</v>
      </c>
      <c r="AB163" s="21">
        <f>EXP(-LN(2)/2)*AB162+(1-EXP(-LN(2)/2))/(LN(2)/2)*V163*Y163*VLOOKUP('Données projet'!$B$9,Paramètres!$A$1:$I$89,3,0)*0.475*44/12</f>
        <v>9.8857259604458137E-19</v>
      </c>
      <c r="AC163" s="22">
        <f t="shared" si="163"/>
        <v>1.9244988623194099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-5.3205440053716299E-14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252.98248842635206</v>
      </c>
      <c r="AO163" s="59">
        <f t="shared" si="144"/>
        <v>207.11938580878308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0.23881861080234426</v>
      </c>
      <c r="AV163" s="21">
        <f>EXP(-LN(2)/25)*AV162+(1-EXP(-LN(2)/25))/(LN(2)/25)*Calculateur!AQ163*Calculateur!AS163*VLOOKUP('Données projet'!$B$10,Paramètres!$A$1:$I$89,3,0)*0.475*44/12</f>
        <v>0.21370559119754465</v>
      </c>
      <c r="AW163" s="21">
        <f>EXP(-LN(2)/2)*AW162+(1-EXP(-LN(2)/2))/(LN(2)/2)*AQ163*AT163*VLOOKUP('Données projet'!$B$10,Paramètres!$A$1:$I$89,3,0)*0.475*44/12</f>
        <v>2.6650167750494487E-19</v>
      </c>
      <c r="AX163" s="21">
        <f t="shared" si="166"/>
        <v>0.45252420199988891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2.8421709430404007E-14</v>
      </c>
      <c r="BE163" s="13">
        <f>BD163*VLOOKUP('Données projet'!$B$11,Paramètres!$A$1:$I$89,3,0)*VLOOKUP('Données projet'!$B$11,Paramètres!$A$1:$I$89,5,0)</f>
        <v>1.8621904018800706E-14</v>
      </c>
      <c r="BF163" s="13">
        <f t="shared" si="167"/>
        <v>3.40208645124969E-13</v>
      </c>
      <c r="BG163" s="20">
        <f t="shared" si="168"/>
        <v>6.2496320642539887E-13</v>
      </c>
      <c r="BH163" s="59">
        <f t="shared" si="116"/>
        <v>293.33333333333394</v>
      </c>
      <c r="BI163" s="59">
        <f ca="1">AVERAGE(OFFSET($BH$3,0,0,'Données projet'!$E$11+1,1))-AVERAGE(OFFSET($H$3,0,0,'Données projet'!$E$11+1,1))</f>
        <v>114.23168847330004</v>
      </c>
      <c r="BJ163" s="59">
        <f t="shared" si="146"/>
        <v>42.34857998136755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2.8421709430404007E-14</v>
      </c>
      <c r="BZ163" s="13">
        <f>BY163*VLOOKUP('Données projet'!$B$12,Paramètres!$A$1:$I$89,3,0)*VLOOKUP('Données projet'!$B$12,Paramètres!$A$1:$I$89,5,0)</f>
        <v>2.7489477361086758E-14</v>
      </c>
      <c r="CA163" s="13">
        <f t="shared" si="170"/>
        <v>4.7995394886724981E-13</v>
      </c>
      <c r="CB163" s="20">
        <f t="shared" si="171"/>
        <v>8.8379730068101964E-13</v>
      </c>
      <c r="CC163" s="59">
        <f t="shared" si="119"/>
        <v>293.33333333333422</v>
      </c>
      <c r="CD163" s="59">
        <f ca="1">AVERAGE(OFFSET($CC$3,0,0,'Données projet'!$E$12+1,1))-AVERAGE(OFFSET($H$3,0,0,'Données projet'!$E$12+1,1))</f>
        <v>201.36664523637006</v>
      </c>
      <c r="CE163" s="59">
        <f t="shared" si="148"/>
        <v>79.394119001888555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5.8202079164828335</v>
      </c>
      <c r="CM163" s="21">
        <f>EXP(-LN(2)/2)*CM162+(1-EXP(-LN(2)/2))/(LN(2)/2)*CG163*CJ163*VLOOKUP('Données projet'!$B$12,Paramètres!$A$1:$I$89,3,0)*0.475*44/12</f>
        <v>1.0685740165447436E-17</v>
      </c>
      <c r="CN163" s="22">
        <f t="shared" si="172"/>
        <v>5.8202079164828335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1.1368683772161603E-13</v>
      </c>
      <c r="CU163" s="17">
        <f>CT163*VLOOKUP('Données projet'!$B$13,Paramètres!$A$1:$I$89,3,0)*VLOOKUP('Données projet'!$B$13,Paramètres!$A$1:$I$89,5,0)</f>
        <v>1.0286385077051818E-13</v>
      </c>
      <c r="CV163" s="13">
        <f t="shared" si="173"/>
        <v>1.5402366592183556E-12</v>
      </c>
      <c r="CW163" s="20">
        <f t="shared" si="174"/>
        <v>2.8617333882306215E-12</v>
      </c>
      <c r="CX163" s="59">
        <f t="shared" si="122"/>
        <v>293.33333333333616</v>
      </c>
      <c r="CY163" s="59">
        <f ca="1">AVERAGE(OFFSET($CX$3,0,0,'Données projet'!$E$13+1,1))-AVERAGE(OFFSET($H$3,0,0,'Données projet'!$E$13+1,1))</f>
        <v>282.08542131880455</v>
      </c>
      <c r="CZ163" s="59">
        <f t="shared" si="150"/>
        <v>174.27503468762325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51.627934013441198</v>
      </c>
      <c r="DG163" s="21">
        <f>EXP(-LN(2)/25)*DG162+(1-EXP(-LN(2)/25))/(LN(2)/25)*Calculateur!DB163*Calculateur!DD163*VLOOKUP('Données projet'!$B$13,Paramètres!$A$1:$I$89,3,0)*0.475*44/12</f>
        <v>23.220964517453588</v>
      </c>
      <c r="DH163" s="21">
        <f>EXP(-LN(2)/2)*DH162+(1-EXP(-LN(2)/2))/(LN(2)/2)*DB163*DE163*VLOOKUP('Données projet'!$B$13,Paramètres!$A$1:$I$89,3,0)*0.475*44/12</f>
        <v>1.5885383668145925E-17</v>
      </c>
      <c r="DI163" s="22">
        <f t="shared" si="175"/>
        <v>74.848898530894786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5.6843418860808015E-14</v>
      </c>
      <c r="DP163" s="17">
        <f>DO163*VLOOKUP('Données projet'!$B$14,Paramètres!$A$1:$I$89,3,0)*VLOOKUP('Données projet'!$B$14,Paramètres!$A$1:$I$89,5,0)</f>
        <v>4.6111381379887463E-14</v>
      </c>
      <c r="DQ163" s="13">
        <f t="shared" si="176"/>
        <v>7.5804141040779151E-13</v>
      </c>
      <c r="DR163" s="20">
        <f t="shared" si="177"/>
        <v>1.4005661123635408E-12</v>
      </c>
      <c r="DS163" s="59">
        <f t="shared" si="125"/>
        <v>293.33333333333474</v>
      </c>
      <c r="DT163" s="59">
        <f ca="1">AVERAGE(OFFSET($DS$3,0,0,'Données projet'!$E$14+1,1))-AVERAGE(OFFSET($H$3,0,0,'Données projet'!$E$14+1,1))</f>
        <v>235.31102883830971</v>
      </c>
      <c r="DU163" s="59">
        <f t="shared" si="152"/>
        <v>271.48630853790422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11.627991154916227</v>
      </c>
      <c r="EB163" s="21">
        <f>EXP(-LN(2)/25)*EB162+(1-EXP(-LN(2)/25))/(LN(2)/25)*Calculateur!DW163*Calculateur!DY163*VLOOKUP('Données projet'!$B$14,Paramètres!$A$1:$I$89,3,0)*0.475*44/12</f>
        <v>8.4930098329704791</v>
      </c>
      <c r="EC163" s="21">
        <f>EXP(-LN(2)/2)*EC162+(1-EXP(-LN(2)/2))/(LN(2)/2)*DW163*DZ163*VLOOKUP('Données projet'!$B$14,Paramètres!$A$1:$I$89,3,0)*0.475*44/12</f>
        <v>1.9169222053069868E-17</v>
      </c>
      <c r="ED163" s="22">
        <f t="shared" si="178"/>
        <v>20.121000987886706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-1.2505552149377763E-12</v>
      </c>
      <c r="O164" s="13">
        <f>N164*VLOOKUP('Données projet'!$B$9,Paramètres!$A$1:$I$89,3,0)*VLOOKUP('Données projet'!$B$9,Paramètres!$A$1:$I$89,5,0)</f>
        <v>-6.9906036515021697E-13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446.28010102877403</v>
      </c>
      <c r="T164" s="59">
        <f t="shared" si="142"/>
        <v>445.84011537290456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0.85299918393068896</v>
      </c>
      <c r="AA164" s="21">
        <f>EXP(-LN(2)/25)*AA163+(1-EXP(-LN(2)/25))/(LN(2)/25)*Calculateur!V164*Calculateur!X164*VLOOKUP('Données projet'!$B$9,Paramètres!$A$1:$I$89,3,0)*0.475*44/12</f>
        <v>1.0256046505129606</v>
      </c>
      <c r="AB164" s="21">
        <f>EXP(-LN(2)/2)*AB163+(1-EXP(-LN(2)/2))/(LN(2)/2)*V164*Y164*VLOOKUP('Données projet'!$B$9,Paramètres!$A$1:$I$89,3,0)*0.475*44/12</f>
        <v>6.9902638635831304E-19</v>
      </c>
      <c r="AC164" s="22">
        <f t="shared" si="163"/>
        <v>1.8786038344436495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-5.3205440053716299E-14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252.98248842635206</v>
      </c>
      <c r="AO164" s="59">
        <f t="shared" si="144"/>
        <v>207.11938580878308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0.23413552350947966</v>
      </c>
      <c r="AV164" s="21">
        <f>EXP(-LN(2)/25)*AV163+(1-EXP(-LN(2)/25))/(LN(2)/25)*Calculateur!AQ164*Calculateur!AS164*VLOOKUP('Données projet'!$B$10,Paramètres!$A$1:$I$89,3,0)*0.475*44/12</f>
        <v>0.20786180056795917</v>
      </c>
      <c r="AW164" s="21">
        <f>EXP(-LN(2)/2)*AW163+(1-EXP(-LN(2)/2))/(LN(2)/2)*AQ164*AT164*VLOOKUP('Données projet'!$B$10,Paramètres!$A$1:$I$89,3,0)*0.475*44/12</f>
        <v>1.8844514336133691E-19</v>
      </c>
      <c r="AX164" s="21">
        <f t="shared" si="166"/>
        <v>0.44199732407743886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2.8421709430404007E-14</v>
      </c>
      <c r="BE164" s="13">
        <f>BD164*VLOOKUP('Données projet'!$B$11,Paramètres!$A$1:$I$89,3,0)*VLOOKUP('Données projet'!$B$11,Paramètres!$A$1:$I$89,5,0)</f>
        <v>1.8621904018800706E-14</v>
      </c>
      <c r="BF164" s="13">
        <f t="shared" si="167"/>
        <v>3.40208645124969E-13</v>
      </c>
      <c r="BG164" s="20">
        <f t="shared" si="168"/>
        <v>6.2496320642539887E-13</v>
      </c>
      <c r="BH164" s="59">
        <f t="shared" si="116"/>
        <v>293.33333333333394</v>
      </c>
      <c r="BI164" s="59">
        <f ca="1">AVERAGE(OFFSET($BH$3,0,0,'Données projet'!$E$11+1,1))-AVERAGE(OFFSET($H$3,0,0,'Données projet'!$E$11+1,1))</f>
        <v>114.23168847330004</v>
      </c>
      <c r="BJ164" s="59">
        <f t="shared" si="146"/>
        <v>42.34857998136755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2.8421709430404007E-14</v>
      </c>
      <c r="BZ164" s="13">
        <f>BY164*VLOOKUP('Données projet'!$B$12,Paramètres!$A$1:$I$89,3,0)*VLOOKUP('Données projet'!$B$12,Paramètres!$A$1:$I$89,5,0)</f>
        <v>2.7489477361086758E-14</v>
      </c>
      <c r="CA164" s="13">
        <f t="shared" si="170"/>
        <v>4.7995394886724981E-13</v>
      </c>
      <c r="CB164" s="20">
        <f t="shared" si="171"/>
        <v>8.8379730068101964E-13</v>
      </c>
      <c r="CC164" s="59">
        <f t="shared" si="119"/>
        <v>293.33333333333422</v>
      </c>
      <c r="CD164" s="59">
        <f ca="1">AVERAGE(OFFSET($CC$3,0,0,'Données projet'!$E$12+1,1))-AVERAGE(OFFSET($H$3,0,0,'Données projet'!$E$12+1,1))</f>
        <v>201.36664523637006</v>
      </c>
      <c r="CE164" s="59">
        <f t="shared" si="148"/>
        <v>79.394119001888555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5.6610540249351784</v>
      </c>
      <c r="CM164" s="21">
        <f>EXP(-LN(2)/2)*CM163+(1-EXP(-LN(2)/2))/(LN(2)/2)*CG164*CJ164*VLOOKUP('Données projet'!$B$12,Paramètres!$A$1:$I$89,3,0)*0.475*44/12</f>
        <v>7.5559593329853422E-18</v>
      </c>
      <c r="CN164" s="22">
        <f t="shared" si="172"/>
        <v>5.6610540249351784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1.1368683772161603E-13</v>
      </c>
      <c r="CU164" s="17">
        <f>CT164*VLOOKUP('Données projet'!$B$13,Paramètres!$A$1:$I$89,3,0)*VLOOKUP('Données projet'!$B$13,Paramètres!$A$1:$I$89,5,0)</f>
        <v>1.0286385077051818E-13</v>
      </c>
      <c r="CV164" s="13">
        <f t="shared" si="173"/>
        <v>1.5402366592183556E-12</v>
      </c>
      <c r="CW164" s="20">
        <f t="shared" si="174"/>
        <v>2.8617333882306215E-12</v>
      </c>
      <c r="CX164" s="59">
        <f t="shared" si="122"/>
        <v>293.33333333333616</v>
      </c>
      <c r="CY164" s="59">
        <f ca="1">AVERAGE(OFFSET($CX$3,0,0,'Données projet'!$E$13+1,1))-AVERAGE(OFFSET($H$3,0,0,'Données projet'!$E$13+1,1))</f>
        <v>282.08542131880455</v>
      </c>
      <c r="CZ164" s="59">
        <f t="shared" si="150"/>
        <v>174.27503468762325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50.615541717367989</v>
      </c>
      <c r="DG164" s="21">
        <f>EXP(-LN(2)/25)*DG163+(1-EXP(-LN(2)/25))/(LN(2)/25)*Calculateur!DB164*Calculateur!DD164*VLOOKUP('Données projet'!$B$13,Paramètres!$A$1:$I$89,3,0)*0.475*44/12</f>
        <v>22.585986021586368</v>
      </c>
      <c r="DH164" s="21">
        <f>EXP(-LN(2)/2)*DH163+(1-EXP(-LN(2)/2))/(LN(2)/2)*DB164*DE164*VLOOKUP('Données projet'!$B$13,Paramètres!$A$1:$I$89,3,0)*0.475*44/12</f>
        <v>1.1232662513496017E-17</v>
      </c>
      <c r="DI164" s="22">
        <f t="shared" si="175"/>
        <v>73.201527738954354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5.6843418860808015E-14</v>
      </c>
      <c r="DP164" s="17">
        <f>DO164*VLOOKUP('Données projet'!$B$14,Paramètres!$A$1:$I$89,3,0)*VLOOKUP('Données projet'!$B$14,Paramètres!$A$1:$I$89,5,0)</f>
        <v>4.6111381379887463E-14</v>
      </c>
      <c r="DQ164" s="13">
        <f t="shared" si="176"/>
        <v>7.5804141040779151E-13</v>
      </c>
      <c r="DR164" s="20">
        <f t="shared" si="177"/>
        <v>1.4005661123635408E-12</v>
      </c>
      <c r="DS164" s="59">
        <f t="shared" si="125"/>
        <v>293.33333333333474</v>
      </c>
      <c r="DT164" s="59">
        <f ca="1">AVERAGE(OFFSET($DS$3,0,0,'Données projet'!$E$14+1,1))-AVERAGE(OFFSET($H$3,0,0,'Données projet'!$E$14+1,1))</f>
        <v>235.31102883830971</v>
      </c>
      <c r="DU164" s="59">
        <f t="shared" si="152"/>
        <v>271.48630853790422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11.39997334074261</v>
      </c>
      <c r="EB164" s="21">
        <f>EXP(-LN(2)/25)*EB163+(1-EXP(-LN(2)/25))/(LN(2)/25)*Calculateur!DW164*Calculateur!DY164*VLOOKUP('Données projet'!$B$14,Paramètres!$A$1:$I$89,3,0)*0.475*44/12</f>
        <v>8.2607680324599251</v>
      </c>
      <c r="EC164" s="21">
        <f>EXP(-LN(2)/2)*EC163+(1-EXP(-LN(2)/2))/(LN(2)/2)*DW164*DZ164*VLOOKUP('Données projet'!$B$14,Paramètres!$A$1:$I$89,3,0)*0.475*44/12</f>
        <v>1.3554686903796418E-17</v>
      </c>
      <c r="ED164" s="22">
        <f t="shared" si="178"/>
        <v>19.660741373202534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-1.2505552149377763E-12</v>
      </c>
      <c r="O165" s="13">
        <f>N165*VLOOKUP('Données projet'!$B$9,Paramètres!$A$1:$I$89,3,0)*VLOOKUP('Données projet'!$B$9,Paramètres!$A$1:$I$89,5,0)</f>
        <v>-6.9906036515021697E-13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446.28010102877403</v>
      </c>
      <c r="T165" s="59">
        <f t="shared" si="142"/>
        <v>445.84011537290456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0.83627239021193711</v>
      </c>
      <c r="AA165" s="21">
        <f>EXP(-LN(2)/25)*AA164+(1-EXP(-LN(2)/25))/(LN(2)/25)*Calculateur!V165*Calculateur!X165*VLOOKUP('Données projet'!$B$9,Paramètres!$A$1:$I$89,3,0)*0.475*44/12</f>
        <v>0.99755943741047914</v>
      </c>
      <c r="AB165" s="21">
        <f>EXP(-LN(2)/2)*AB164+(1-EXP(-LN(2)/2))/(LN(2)/2)*V165*Y165*VLOOKUP('Données projet'!$B$9,Paramètres!$A$1:$I$89,3,0)*0.475*44/12</f>
        <v>4.9428629802229068E-19</v>
      </c>
      <c r="AC165" s="22">
        <f t="shared" si="163"/>
        <v>1.8338318276224164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-5.3205440053716299E-14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252.98248842635206</v>
      </c>
      <c r="AO165" s="59">
        <f t="shared" si="144"/>
        <v>207.11938580878308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0.22954426870202693</v>
      </c>
      <c r="AV165" s="21">
        <f>EXP(-LN(2)/25)*AV164+(1-EXP(-LN(2)/25))/(LN(2)/25)*Calculateur!AQ165*Calculateur!AS165*VLOOKUP('Données projet'!$B$10,Paramètres!$A$1:$I$89,3,0)*0.475*44/12</f>
        <v>0.20217780870045129</v>
      </c>
      <c r="AW165" s="21">
        <f>EXP(-LN(2)/2)*AW164+(1-EXP(-LN(2)/2))/(LN(2)/2)*AQ165*AT165*VLOOKUP('Données projet'!$B$10,Paramètres!$A$1:$I$89,3,0)*0.475*44/12</f>
        <v>1.3325083875247244E-19</v>
      </c>
      <c r="AX165" s="21">
        <f t="shared" si="166"/>
        <v>0.43172207740247825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2.8421709430404007E-14</v>
      </c>
      <c r="BE165" s="13">
        <f>BD165*VLOOKUP('Données projet'!$B$11,Paramètres!$A$1:$I$89,3,0)*VLOOKUP('Données projet'!$B$11,Paramètres!$A$1:$I$89,5,0)</f>
        <v>1.8621904018800706E-14</v>
      </c>
      <c r="BF165" s="13">
        <f t="shared" si="167"/>
        <v>3.40208645124969E-13</v>
      </c>
      <c r="BG165" s="20">
        <f t="shared" si="168"/>
        <v>6.2496320642539887E-13</v>
      </c>
      <c r="BH165" s="59">
        <f t="shared" si="116"/>
        <v>293.33333333333394</v>
      </c>
      <c r="BI165" s="59">
        <f ca="1">AVERAGE(OFFSET($BH$3,0,0,'Données projet'!$E$11+1,1))-AVERAGE(OFFSET($H$3,0,0,'Données projet'!$E$11+1,1))</f>
        <v>114.23168847330004</v>
      </c>
      <c r="BJ165" s="59">
        <f t="shared" si="146"/>
        <v>42.34857998136755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2.8421709430404007E-14</v>
      </c>
      <c r="BZ165" s="13">
        <f>BY165*VLOOKUP('Données projet'!$B$12,Paramètres!$A$1:$I$89,3,0)*VLOOKUP('Données projet'!$B$12,Paramètres!$A$1:$I$89,5,0)</f>
        <v>2.7489477361086758E-14</v>
      </c>
      <c r="CA165" s="13">
        <f t="shared" si="170"/>
        <v>4.7995394886724981E-13</v>
      </c>
      <c r="CB165" s="20">
        <f t="shared" si="171"/>
        <v>8.8379730068101964E-13</v>
      </c>
      <c r="CC165" s="59">
        <f t="shared" si="119"/>
        <v>293.33333333333422</v>
      </c>
      <c r="CD165" s="59">
        <f ca="1">AVERAGE(OFFSET($CC$3,0,0,'Données projet'!$E$12+1,1))-AVERAGE(OFFSET($H$3,0,0,'Données projet'!$E$12+1,1))</f>
        <v>201.36664523637006</v>
      </c>
      <c r="CE165" s="59">
        <f t="shared" si="148"/>
        <v>79.394119001888555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5.5062522049214335</v>
      </c>
      <c r="CM165" s="21">
        <f>EXP(-LN(2)/2)*CM164+(1-EXP(-LN(2)/2))/(LN(2)/2)*CG165*CJ165*VLOOKUP('Données projet'!$B$12,Paramètres!$A$1:$I$89,3,0)*0.475*44/12</f>
        <v>5.3428700827237181E-18</v>
      </c>
      <c r="CN165" s="22">
        <f t="shared" si="172"/>
        <v>5.5062522049214335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1.1368683772161603E-13</v>
      </c>
      <c r="CU165" s="17">
        <f>CT165*VLOOKUP('Données projet'!$B$13,Paramètres!$A$1:$I$89,3,0)*VLOOKUP('Données projet'!$B$13,Paramètres!$A$1:$I$89,5,0)</f>
        <v>1.0286385077051818E-13</v>
      </c>
      <c r="CV165" s="13">
        <f t="shared" si="173"/>
        <v>1.5402366592183556E-12</v>
      </c>
      <c r="CW165" s="20">
        <f t="shared" si="174"/>
        <v>2.8617333882306215E-12</v>
      </c>
      <c r="CX165" s="59">
        <f t="shared" si="122"/>
        <v>293.33333333333616</v>
      </c>
      <c r="CY165" s="59">
        <f ca="1">AVERAGE(OFFSET($CX$3,0,0,'Données projet'!$E$13+1,1))-AVERAGE(OFFSET($H$3,0,0,'Données projet'!$E$13+1,1))</f>
        <v>282.08542131880455</v>
      </c>
      <c r="CZ165" s="59">
        <f t="shared" si="150"/>
        <v>174.27503468762325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49.62300181672245</v>
      </c>
      <c r="DG165" s="21">
        <f>EXP(-LN(2)/25)*DG164+(1-EXP(-LN(2)/25))/(LN(2)/25)*Calculateur!DB165*Calculateur!DD165*VLOOKUP('Données projet'!$B$13,Paramètres!$A$1:$I$89,3,0)*0.475*44/12</f>
        <v>21.968371046080705</v>
      </c>
      <c r="DH165" s="21">
        <f>EXP(-LN(2)/2)*DH164+(1-EXP(-LN(2)/2))/(LN(2)/2)*DB165*DE165*VLOOKUP('Données projet'!$B$13,Paramètres!$A$1:$I$89,3,0)*0.475*44/12</f>
        <v>7.9426918340729626E-18</v>
      </c>
      <c r="DI165" s="22">
        <f t="shared" si="175"/>
        <v>71.591372862803155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5.6843418860808015E-14</v>
      </c>
      <c r="DP165" s="17">
        <f>DO165*VLOOKUP('Données projet'!$B$14,Paramètres!$A$1:$I$89,3,0)*VLOOKUP('Données projet'!$B$14,Paramètres!$A$1:$I$89,5,0)</f>
        <v>4.6111381379887463E-14</v>
      </c>
      <c r="DQ165" s="13">
        <f t="shared" si="176"/>
        <v>7.5804141040779151E-13</v>
      </c>
      <c r="DR165" s="20">
        <f t="shared" si="177"/>
        <v>1.4005661123635408E-12</v>
      </c>
      <c r="DS165" s="59">
        <f t="shared" si="125"/>
        <v>293.33333333333474</v>
      </c>
      <c r="DT165" s="59">
        <f ca="1">AVERAGE(OFFSET($DS$3,0,0,'Données projet'!$E$14+1,1))-AVERAGE(OFFSET($H$3,0,0,'Données projet'!$E$14+1,1))</f>
        <v>235.31102883830971</v>
      </c>
      <c r="DU165" s="59">
        <f t="shared" si="152"/>
        <v>271.48630853790422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11.176426816827805</v>
      </c>
      <c r="EB165" s="21">
        <f>EXP(-LN(2)/25)*EB164+(1-EXP(-LN(2)/25))/(LN(2)/25)*Calculateur!DW165*Calculateur!DY165*VLOOKUP('Données projet'!$B$14,Paramètres!$A$1:$I$89,3,0)*0.475*44/12</f>
        <v>8.0348768961973978</v>
      </c>
      <c r="EC165" s="21">
        <f>EXP(-LN(2)/2)*EC164+(1-EXP(-LN(2)/2))/(LN(2)/2)*DW165*DZ165*VLOOKUP('Données projet'!$B$14,Paramètres!$A$1:$I$89,3,0)*0.475*44/12</f>
        <v>9.5846110265349357E-18</v>
      </c>
      <c r="ED165" s="22">
        <f t="shared" si="178"/>
        <v>19.211303713025202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-1.2505552149377763E-12</v>
      </c>
      <c r="O166" s="13">
        <f>N166*VLOOKUP('Données projet'!$B$9,Paramètres!$A$1:$I$89,3,0)*VLOOKUP('Données projet'!$B$9,Paramètres!$A$1:$I$89,5,0)</f>
        <v>-6.9906036515021697E-13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446.28010102877403</v>
      </c>
      <c r="T166" s="59">
        <f t="shared" si="142"/>
        <v>445.84011537290456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0.81987359871567322</v>
      </c>
      <c r="AA166" s="21">
        <f>EXP(-LN(2)/25)*AA165+(1-EXP(-LN(2)/25))/(LN(2)/25)*Calculateur!V166*Calculateur!X166*VLOOKUP('Données projet'!$B$9,Paramètres!$A$1:$I$89,3,0)*0.475*44/12</f>
        <v>0.97028112213511875</v>
      </c>
      <c r="AB166" s="21">
        <f>EXP(-LN(2)/2)*AB165+(1-EXP(-LN(2)/2))/(LN(2)/2)*V166*Y166*VLOOKUP('Données projet'!$B$9,Paramètres!$A$1:$I$89,3,0)*0.475*44/12</f>
        <v>3.4951319317915652E-19</v>
      </c>
      <c r="AC166" s="22">
        <f t="shared" si="163"/>
        <v>1.790154720850792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-5.3205440053716299E-14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252.98248842635206</v>
      </c>
      <c r="AO166" s="59">
        <f t="shared" si="144"/>
        <v>207.11938580878308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0.22504304560095945</v>
      </c>
      <c r="AV166" s="21">
        <f>EXP(-LN(2)/25)*AV165+(1-EXP(-LN(2)/25))/(LN(2)/25)*Calculateur!AQ166*Calculateur!AS166*VLOOKUP('Données projet'!$B$10,Paramètres!$A$1:$I$89,3,0)*0.475*44/12</f>
        <v>0.19664924588946858</v>
      </c>
      <c r="AW166" s="21">
        <f>EXP(-LN(2)/2)*AW165+(1-EXP(-LN(2)/2))/(LN(2)/2)*AQ166*AT166*VLOOKUP('Données projet'!$B$10,Paramètres!$A$1:$I$89,3,0)*0.475*44/12</f>
        <v>9.4222571680668456E-20</v>
      </c>
      <c r="AX166" s="21">
        <f t="shared" si="166"/>
        <v>0.42169229149042803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2.8421709430404007E-14</v>
      </c>
      <c r="BE166" s="13">
        <f>BD166*VLOOKUP('Données projet'!$B$11,Paramètres!$A$1:$I$89,3,0)*VLOOKUP('Données projet'!$B$11,Paramètres!$A$1:$I$89,5,0)</f>
        <v>1.8621904018800706E-14</v>
      </c>
      <c r="BF166" s="13">
        <f t="shared" si="167"/>
        <v>3.40208645124969E-13</v>
      </c>
      <c r="BG166" s="20">
        <f t="shared" si="168"/>
        <v>6.2496320642539887E-13</v>
      </c>
      <c r="BH166" s="59">
        <f t="shared" si="116"/>
        <v>293.33333333333394</v>
      </c>
      <c r="BI166" s="59">
        <f ca="1">AVERAGE(OFFSET($BH$3,0,0,'Données projet'!$E$11+1,1))-AVERAGE(OFFSET($H$3,0,0,'Données projet'!$E$11+1,1))</f>
        <v>114.23168847330004</v>
      </c>
      <c r="BJ166" s="59">
        <f t="shared" si="146"/>
        <v>42.34857998136755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2.8421709430404007E-14</v>
      </c>
      <c r="BZ166" s="13">
        <f>BY166*VLOOKUP('Données projet'!$B$12,Paramètres!$A$1:$I$89,3,0)*VLOOKUP('Données projet'!$B$12,Paramètres!$A$1:$I$89,5,0)</f>
        <v>2.7489477361086758E-14</v>
      </c>
      <c r="CA166" s="13">
        <f t="shared" si="170"/>
        <v>4.7995394886724981E-13</v>
      </c>
      <c r="CB166" s="20">
        <f t="shared" si="171"/>
        <v>8.8379730068101964E-13</v>
      </c>
      <c r="CC166" s="59">
        <f t="shared" si="119"/>
        <v>293.33333333333422</v>
      </c>
      <c r="CD166" s="59">
        <f ca="1">AVERAGE(OFFSET($CC$3,0,0,'Données projet'!$E$12+1,1))-AVERAGE(OFFSET($H$3,0,0,'Données projet'!$E$12+1,1))</f>
        <v>201.36664523637006</v>
      </c>
      <c r="CE166" s="59">
        <f t="shared" si="148"/>
        <v>79.394119001888555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5.355683448816638</v>
      </c>
      <c r="CM166" s="21">
        <f>EXP(-LN(2)/2)*CM165+(1-EXP(-LN(2)/2))/(LN(2)/2)*CG166*CJ166*VLOOKUP('Données projet'!$B$12,Paramètres!$A$1:$I$89,3,0)*0.475*44/12</f>
        <v>3.7779796664926711E-18</v>
      </c>
      <c r="CN166" s="22">
        <f t="shared" si="172"/>
        <v>5.355683448816638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1.1368683772161603E-13</v>
      </c>
      <c r="CU166" s="17">
        <f>CT166*VLOOKUP('Données projet'!$B$13,Paramètres!$A$1:$I$89,3,0)*VLOOKUP('Données projet'!$B$13,Paramètres!$A$1:$I$89,5,0)</f>
        <v>1.0286385077051818E-13</v>
      </c>
      <c r="CV166" s="13">
        <f t="shared" si="173"/>
        <v>1.5402366592183556E-12</v>
      </c>
      <c r="CW166" s="20">
        <f t="shared" si="174"/>
        <v>2.8617333882306215E-12</v>
      </c>
      <c r="CX166" s="59">
        <f t="shared" si="122"/>
        <v>293.33333333333616</v>
      </c>
      <c r="CY166" s="59">
        <f ca="1">AVERAGE(OFFSET($CX$3,0,0,'Données projet'!$E$13+1,1))-AVERAGE(OFFSET($H$3,0,0,'Données projet'!$E$13+1,1))</f>
        <v>282.08542131880455</v>
      </c>
      <c r="CZ166" s="59">
        <f t="shared" si="150"/>
        <v>174.27503468762325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48.649925018139008</v>
      </c>
      <c r="DG166" s="21">
        <f>EXP(-LN(2)/25)*DG165+(1-EXP(-LN(2)/25))/(LN(2)/25)*Calculateur!DB166*Calculateur!DD166*VLOOKUP('Données projet'!$B$13,Paramètres!$A$1:$I$89,3,0)*0.475*44/12</f>
        <v>21.367644784559204</v>
      </c>
      <c r="DH166" s="21">
        <f>EXP(-LN(2)/2)*DH165+(1-EXP(-LN(2)/2))/(LN(2)/2)*DB166*DE166*VLOOKUP('Données projet'!$B$13,Paramètres!$A$1:$I$89,3,0)*0.475*44/12</f>
        <v>5.6163312567480083E-18</v>
      </c>
      <c r="DI166" s="22">
        <f t="shared" si="175"/>
        <v>70.017569802698205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5.6843418860808015E-14</v>
      </c>
      <c r="DP166" s="17">
        <f>DO166*VLOOKUP('Données projet'!$B$14,Paramètres!$A$1:$I$89,3,0)*VLOOKUP('Données projet'!$B$14,Paramètres!$A$1:$I$89,5,0)</f>
        <v>4.6111381379887463E-14</v>
      </c>
      <c r="DQ166" s="13">
        <f t="shared" si="176"/>
        <v>7.5804141040779151E-13</v>
      </c>
      <c r="DR166" s="20">
        <f t="shared" si="177"/>
        <v>1.4005661123635408E-12</v>
      </c>
      <c r="DS166" s="59">
        <f t="shared" si="125"/>
        <v>293.33333333333474</v>
      </c>
      <c r="DT166" s="59">
        <f ca="1">AVERAGE(OFFSET($DS$3,0,0,'Données projet'!$E$14+1,1))-AVERAGE(OFFSET($H$3,0,0,'Données projet'!$E$14+1,1))</f>
        <v>235.31102883830971</v>
      </c>
      <c r="DU166" s="59">
        <f t="shared" si="152"/>
        <v>271.48630853790422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10.957263903897053</v>
      </c>
      <c r="EB166" s="21">
        <f>EXP(-LN(2)/25)*EB165+(1-EXP(-LN(2)/25))/(LN(2)/25)*Calculateur!DW166*Calculateur!DY166*VLOOKUP('Données projet'!$B$14,Paramètres!$A$1:$I$89,3,0)*0.475*44/12</f>
        <v>7.8151627649350681</v>
      </c>
      <c r="EC166" s="21">
        <f>EXP(-LN(2)/2)*EC165+(1-EXP(-LN(2)/2))/(LN(2)/2)*DW166*DZ166*VLOOKUP('Données projet'!$B$14,Paramètres!$A$1:$I$89,3,0)*0.475*44/12</f>
        <v>6.7773434518982099E-18</v>
      </c>
      <c r="ED166" s="22">
        <f t="shared" si="178"/>
        <v>18.772426668832122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-1.2505552149377763E-12</v>
      </c>
      <c r="O167" s="13">
        <f>N167*VLOOKUP('Données projet'!$B$9,Paramètres!$A$1:$I$89,3,0)*VLOOKUP('Données projet'!$B$9,Paramètres!$A$1:$I$89,5,0)</f>
        <v>-6.9906036515021697E-13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446.28010102877403</v>
      </c>
      <c r="T167" s="59">
        <f t="shared" si="142"/>
        <v>445.84011537290456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0.80379637751837596</v>
      </c>
      <c r="AA167" s="21">
        <f>EXP(-LN(2)/25)*AA166+(1-EXP(-LN(2)/25))/(LN(2)/25)*Calculateur!V167*Calculateur!X167*VLOOKUP('Données projet'!$B$9,Paramètres!$A$1:$I$89,3,0)*0.475*44/12</f>
        <v>0.94374873382546731</v>
      </c>
      <c r="AB167" s="21">
        <f>EXP(-LN(2)/2)*AB166+(1-EXP(-LN(2)/2))/(LN(2)/2)*V167*Y167*VLOOKUP('Données projet'!$B$9,Paramètres!$A$1:$I$89,3,0)*0.475*44/12</f>
        <v>2.4714314901114534E-19</v>
      </c>
      <c r="AC167" s="22">
        <f t="shared" si="163"/>
        <v>1.7475451113438432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-5.3205440053716299E-14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252.98248842635206</v>
      </c>
      <c r="AO167" s="59">
        <f t="shared" si="144"/>
        <v>207.11938580878308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0.22063008873942888</v>
      </c>
      <c r="AV167" s="21">
        <f>EXP(-LN(2)/25)*AV166+(1-EXP(-LN(2)/25))/(LN(2)/25)*Calculateur!AQ167*Calculateur!AS167*VLOOKUP('Données projet'!$B$10,Paramètres!$A$1:$I$89,3,0)*0.475*44/12</f>
        <v>0.19127186191928666</v>
      </c>
      <c r="AW167" s="21">
        <f>EXP(-LN(2)/2)*AW166+(1-EXP(-LN(2)/2))/(LN(2)/2)*AQ167*AT167*VLOOKUP('Données projet'!$B$10,Paramètres!$A$1:$I$89,3,0)*0.475*44/12</f>
        <v>6.6625419376236218E-20</v>
      </c>
      <c r="AX167" s="21">
        <f t="shared" si="166"/>
        <v>0.41190195065871554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2.8421709430404007E-14</v>
      </c>
      <c r="BE167" s="13">
        <f>BD167*VLOOKUP('Données projet'!$B$11,Paramètres!$A$1:$I$89,3,0)*VLOOKUP('Données projet'!$B$11,Paramètres!$A$1:$I$89,5,0)</f>
        <v>1.8621904018800706E-14</v>
      </c>
      <c r="BF167" s="13">
        <f t="shared" si="167"/>
        <v>3.40208645124969E-13</v>
      </c>
      <c r="BG167" s="20">
        <f t="shared" si="168"/>
        <v>6.2496320642539887E-13</v>
      </c>
      <c r="BH167" s="59">
        <f t="shared" si="116"/>
        <v>293.33333333333394</v>
      </c>
      <c r="BI167" s="59">
        <f ca="1">AVERAGE(OFFSET($BH$3,0,0,'Données projet'!$E$11+1,1))-AVERAGE(OFFSET($H$3,0,0,'Données projet'!$E$11+1,1))</f>
        <v>114.23168847330004</v>
      </c>
      <c r="BJ167" s="59">
        <f t="shared" si="146"/>
        <v>42.34857998136755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2.8421709430404007E-14</v>
      </c>
      <c r="BZ167" s="13">
        <f>BY167*VLOOKUP('Données projet'!$B$12,Paramètres!$A$1:$I$89,3,0)*VLOOKUP('Données projet'!$B$12,Paramètres!$A$1:$I$89,5,0)</f>
        <v>2.7489477361086758E-14</v>
      </c>
      <c r="CA167" s="13">
        <f t="shared" si="170"/>
        <v>4.7995394886724981E-13</v>
      </c>
      <c r="CB167" s="20">
        <f t="shared" si="171"/>
        <v>8.8379730068101964E-13</v>
      </c>
      <c r="CC167" s="59">
        <f t="shared" si="119"/>
        <v>293.33333333333422</v>
      </c>
      <c r="CD167" s="59">
        <f ca="1">AVERAGE(OFFSET($CC$3,0,0,'Données projet'!$E$12+1,1))-AVERAGE(OFFSET($H$3,0,0,'Données projet'!$E$12+1,1))</f>
        <v>201.36664523637006</v>
      </c>
      <c r="CE167" s="59">
        <f t="shared" si="148"/>
        <v>79.394119001888555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5.209232003265595</v>
      </c>
      <c r="CM167" s="21">
        <f>EXP(-LN(2)/2)*CM166+(1-EXP(-LN(2)/2))/(LN(2)/2)*CG167*CJ167*VLOOKUP('Données projet'!$B$12,Paramètres!$A$1:$I$89,3,0)*0.475*44/12</f>
        <v>2.671435041361859E-18</v>
      </c>
      <c r="CN167" s="22">
        <f t="shared" si="172"/>
        <v>5.209232003265595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1.1368683772161603E-13</v>
      </c>
      <c r="CU167" s="17">
        <f>CT167*VLOOKUP('Données projet'!$B$13,Paramètres!$A$1:$I$89,3,0)*VLOOKUP('Données projet'!$B$13,Paramètres!$A$1:$I$89,5,0)</f>
        <v>1.0286385077051818E-13</v>
      </c>
      <c r="CV167" s="13">
        <f t="shared" si="173"/>
        <v>1.5402366592183556E-12</v>
      </c>
      <c r="CW167" s="20">
        <f t="shared" si="174"/>
        <v>2.8617333882306215E-12</v>
      </c>
      <c r="CX167" s="59">
        <f t="shared" si="122"/>
        <v>293.33333333333616</v>
      </c>
      <c r="CY167" s="59">
        <f ca="1">AVERAGE(OFFSET($CX$3,0,0,'Données projet'!$E$13+1,1))-AVERAGE(OFFSET($H$3,0,0,'Données projet'!$E$13+1,1))</f>
        <v>282.08542131880455</v>
      </c>
      <c r="CZ167" s="59">
        <f t="shared" si="150"/>
        <v>174.27503468762325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47.695929662057544</v>
      </c>
      <c r="DG167" s="21">
        <f>EXP(-LN(2)/25)*DG166+(1-EXP(-LN(2)/25))/(LN(2)/25)*Calculateur!DB167*Calculateur!DD167*VLOOKUP('Données projet'!$B$13,Paramètres!$A$1:$I$89,3,0)*0.475*44/12</f>
        <v>20.78334541424983</v>
      </c>
      <c r="DH167" s="21">
        <f>EXP(-LN(2)/2)*DH166+(1-EXP(-LN(2)/2))/(LN(2)/2)*DB167*DE167*VLOOKUP('Données projet'!$B$13,Paramètres!$A$1:$I$89,3,0)*0.475*44/12</f>
        <v>3.9713459170364813E-18</v>
      </c>
      <c r="DI167" s="22">
        <f t="shared" si="175"/>
        <v>68.479275076307374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5.6843418860808015E-14</v>
      </c>
      <c r="DP167" s="17">
        <f>DO167*VLOOKUP('Données projet'!$B$14,Paramètres!$A$1:$I$89,3,0)*VLOOKUP('Données projet'!$B$14,Paramètres!$A$1:$I$89,5,0)</f>
        <v>4.6111381379887463E-14</v>
      </c>
      <c r="DQ167" s="13">
        <f t="shared" si="176"/>
        <v>7.5804141040779151E-13</v>
      </c>
      <c r="DR167" s="20">
        <f t="shared" si="177"/>
        <v>1.4005661123635408E-12</v>
      </c>
      <c r="DS167" s="59">
        <f t="shared" si="125"/>
        <v>293.33333333333474</v>
      </c>
      <c r="DT167" s="59">
        <f ca="1">AVERAGE(OFFSET($DS$3,0,0,'Données projet'!$E$14+1,1))-AVERAGE(OFFSET($H$3,0,0,'Données projet'!$E$14+1,1))</f>
        <v>235.31102883830971</v>
      </c>
      <c r="DU167" s="59">
        <f t="shared" si="152"/>
        <v>271.48630853790422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10.742398642012695</v>
      </c>
      <c r="EB167" s="21">
        <f>EXP(-LN(2)/25)*EB166+(1-EXP(-LN(2)/25))/(LN(2)/25)*Calculateur!DW167*Calculateur!DY167*VLOOKUP('Données projet'!$B$14,Paramètres!$A$1:$I$89,3,0)*0.475*44/12</f>
        <v>7.6014567281463705</v>
      </c>
      <c r="EC167" s="21">
        <f>EXP(-LN(2)/2)*EC166+(1-EXP(-LN(2)/2))/(LN(2)/2)*DW167*DZ167*VLOOKUP('Données projet'!$B$14,Paramètres!$A$1:$I$89,3,0)*0.475*44/12</f>
        <v>4.7923055132674686E-18</v>
      </c>
      <c r="ED167" s="22">
        <f t="shared" si="178"/>
        <v>18.343855370159066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-1.2505552149377763E-12</v>
      </c>
      <c r="O168" s="13">
        <f>N168*VLOOKUP('Données projet'!$B$9,Paramètres!$A$1:$I$89,3,0)*VLOOKUP('Données projet'!$B$9,Paramètres!$A$1:$I$89,5,0)</f>
        <v>-6.9906036515021697E-13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446.28010102877403</v>
      </c>
      <c r="T168" s="59">
        <f t="shared" si="142"/>
        <v>445.84011537290456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0.78803442082262098</v>
      </c>
      <c r="AA168" s="21">
        <f>EXP(-LN(2)/25)*AA167+(1-EXP(-LN(2)/25))/(LN(2)/25)*Calculateur!V168*Calculateur!X168*VLOOKUP('Données projet'!$B$9,Paramètres!$A$1:$I$89,3,0)*0.475*44/12</f>
        <v>0.91794187506942093</v>
      </c>
      <c r="AB168" s="21">
        <f>EXP(-LN(2)/2)*AB167+(1-EXP(-LN(2)/2))/(LN(2)/2)*V168*Y168*VLOOKUP('Données projet'!$B$9,Paramètres!$A$1:$I$89,3,0)*0.475*44/12</f>
        <v>1.7475659658957826E-19</v>
      </c>
      <c r="AC168" s="22">
        <f t="shared" si="163"/>
        <v>1.7059762958920419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-5.3205440053716299E-14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252.98248842635206</v>
      </c>
      <c r="AO168" s="59">
        <f t="shared" si="144"/>
        <v>207.11938580878308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0.21630366727031503</v>
      </c>
      <c r="AV168" s="21">
        <f>EXP(-LN(2)/25)*AV167+(1-EXP(-LN(2)/25))/(LN(2)/25)*Calculateur!AQ168*Calculateur!AS168*VLOOKUP('Données projet'!$B$10,Paramètres!$A$1:$I$89,3,0)*0.475*44/12</f>
        <v>0.1860415227965537</v>
      </c>
      <c r="AW168" s="21">
        <f>EXP(-LN(2)/2)*AW167+(1-EXP(-LN(2)/2))/(LN(2)/2)*AQ168*AT168*VLOOKUP('Données projet'!$B$10,Paramètres!$A$1:$I$89,3,0)*0.475*44/12</f>
        <v>4.7111285840334228E-20</v>
      </c>
      <c r="AX168" s="21">
        <f t="shared" si="166"/>
        <v>0.40234519006686875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2.8421709430404007E-14</v>
      </c>
      <c r="BE168" s="13">
        <f>BD168*VLOOKUP('Données projet'!$B$11,Paramètres!$A$1:$I$89,3,0)*VLOOKUP('Données projet'!$B$11,Paramètres!$A$1:$I$89,5,0)</f>
        <v>1.8621904018800706E-14</v>
      </c>
      <c r="BF168" s="13">
        <f t="shared" si="167"/>
        <v>3.40208645124969E-13</v>
      </c>
      <c r="BG168" s="20">
        <f t="shared" si="168"/>
        <v>6.2496320642539887E-13</v>
      </c>
      <c r="BH168" s="59">
        <f t="shared" si="116"/>
        <v>293.33333333333394</v>
      </c>
      <c r="BI168" s="59">
        <f ca="1">AVERAGE(OFFSET($BH$3,0,0,'Données projet'!$E$11+1,1))-AVERAGE(OFFSET($H$3,0,0,'Données projet'!$E$11+1,1))</f>
        <v>114.23168847330004</v>
      </c>
      <c r="BJ168" s="59">
        <f t="shared" si="146"/>
        <v>42.34857998136755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2.8421709430404007E-14</v>
      </c>
      <c r="BZ168" s="13">
        <f>BY168*VLOOKUP('Données projet'!$B$12,Paramètres!$A$1:$I$89,3,0)*VLOOKUP('Données projet'!$B$12,Paramètres!$A$1:$I$89,5,0)</f>
        <v>2.7489477361086758E-14</v>
      </c>
      <c r="CA168" s="13">
        <f t="shared" si="170"/>
        <v>4.7995394886724981E-13</v>
      </c>
      <c r="CB168" s="20">
        <f t="shared" si="171"/>
        <v>8.8379730068101964E-13</v>
      </c>
      <c r="CC168" s="59">
        <f t="shared" si="119"/>
        <v>293.33333333333422</v>
      </c>
      <c r="CD168" s="59">
        <f ca="1">AVERAGE(OFFSET($CC$3,0,0,'Données projet'!$E$12+1,1))-AVERAGE(OFFSET($H$3,0,0,'Données projet'!$E$12+1,1))</f>
        <v>201.36664523637006</v>
      </c>
      <c r="CE168" s="59">
        <f t="shared" si="148"/>
        <v>79.394119001888555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5.0667852801946918</v>
      </c>
      <c r="CM168" s="21">
        <f>EXP(-LN(2)/2)*CM167+(1-EXP(-LN(2)/2))/(LN(2)/2)*CG168*CJ168*VLOOKUP('Données projet'!$B$12,Paramètres!$A$1:$I$89,3,0)*0.475*44/12</f>
        <v>1.8889898332463356E-18</v>
      </c>
      <c r="CN168" s="22">
        <f t="shared" si="172"/>
        <v>5.0667852801946918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1.1368683772161603E-13</v>
      </c>
      <c r="CU168" s="17">
        <f>CT168*VLOOKUP('Données projet'!$B$13,Paramètres!$A$1:$I$89,3,0)*VLOOKUP('Données projet'!$B$13,Paramètres!$A$1:$I$89,5,0)</f>
        <v>1.0286385077051818E-13</v>
      </c>
      <c r="CV168" s="13">
        <f t="shared" si="173"/>
        <v>1.5402366592183556E-12</v>
      </c>
      <c r="CW168" s="20">
        <f t="shared" si="174"/>
        <v>2.8617333882306215E-12</v>
      </c>
      <c r="CX168" s="59">
        <f t="shared" si="122"/>
        <v>293.33333333333616</v>
      </c>
      <c r="CY168" s="59">
        <f ca="1">AVERAGE(OFFSET($CX$3,0,0,'Données projet'!$E$13+1,1))-AVERAGE(OFFSET($H$3,0,0,'Données projet'!$E$13+1,1))</f>
        <v>282.08542131880455</v>
      </c>
      <c r="CZ168" s="59">
        <f t="shared" si="150"/>
        <v>174.27503468762325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46.760641573029126</v>
      </c>
      <c r="DG168" s="21">
        <f>EXP(-LN(2)/25)*DG167+(1-EXP(-LN(2)/25))/(LN(2)/25)*Calculateur!DB168*Calculateur!DD168*VLOOKUP('Données projet'!$B$13,Paramètres!$A$1:$I$89,3,0)*0.475*44/12</f>
        <v>20.215023740948535</v>
      </c>
      <c r="DH168" s="21">
        <f>EXP(-LN(2)/2)*DH167+(1-EXP(-LN(2)/2))/(LN(2)/2)*DB168*DE168*VLOOKUP('Données projet'!$B$13,Paramètres!$A$1:$I$89,3,0)*0.475*44/12</f>
        <v>2.8081656283740042E-18</v>
      </c>
      <c r="DI168" s="22">
        <f t="shared" si="175"/>
        <v>66.975665313977657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5.6843418860808015E-14</v>
      </c>
      <c r="DP168" s="17">
        <f>DO168*VLOOKUP('Données projet'!$B$14,Paramètres!$A$1:$I$89,3,0)*VLOOKUP('Données projet'!$B$14,Paramètres!$A$1:$I$89,5,0)</f>
        <v>4.6111381379887463E-14</v>
      </c>
      <c r="DQ168" s="13">
        <f t="shared" si="176"/>
        <v>7.5804141040779151E-13</v>
      </c>
      <c r="DR168" s="20">
        <f t="shared" si="177"/>
        <v>1.4005661123635408E-12</v>
      </c>
      <c r="DS168" s="59">
        <f t="shared" si="125"/>
        <v>293.33333333333474</v>
      </c>
      <c r="DT168" s="59">
        <f ca="1">AVERAGE(OFFSET($DS$3,0,0,'Données projet'!$E$14+1,1))-AVERAGE(OFFSET($H$3,0,0,'Données projet'!$E$14+1,1))</f>
        <v>235.31102883830971</v>
      </c>
      <c r="DU168" s="59">
        <f t="shared" si="152"/>
        <v>271.48630853790422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10.53174675685902</v>
      </c>
      <c r="EB168" s="21">
        <f>EXP(-LN(2)/25)*EB167+(1-EXP(-LN(2)/25))/(LN(2)/25)*Calculateur!DW168*Calculateur!DY168*VLOOKUP('Données projet'!$B$14,Paramètres!$A$1:$I$89,3,0)*0.475*44/12</f>
        <v>7.393594494171972</v>
      </c>
      <c r="EC168" s="21">
        <f>EXP(-LN(2)/2)*EC167+(1-EXP(-LN(2)/2))/(LN(2)/2)*DW168*DZ168*VLOOKUP('Données projet'!$B$14,Paramètres!$A$1:$I$89,3,0)*0.475*44/12</f>
        <v>3.3886717259491053E-18</v>
      </c>
      <c r="ED168" s="22">
        <f t="shared" si="178"/>
        <v>17.925341251030993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-1.2505552149377763E-12</v>
      </c>
      <c r="O169" s="13">
        <f>N169*VLOOKUP('Données projet'!$B$9,Paramètres!$A$1:$I$89,3,0)*VLOOKUP('Données projet'!$B$9,Paramètres!$A$1:$I$89,5,0)</f>
        <v>-6.9906036515021697E-13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446.28010102877403</v>
      </c>
      <c r="T169" s="59">
        <f t="shared" si="142"/>
        <v>445.84011537290456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0.77258154648382549</v>
      </c>
      <c r="AA169" s="21">
        <f>EXP(-LN(2)/25)*AA168+(1-EXP(-LN(2)/25))/(LN(2)/25)*Calculateur!V169*Calculateur!X169*VLOOKUP('Données projet'!$B$9,Paramètres!$A$1:$I$89,3,0)*0.475*44/12</f>
        <v>0.89284070622318235</v>
      </c>
      <c r="AB169" s="21">
        <f>EXP(-LN(2)/2)*AB168+(1-EXP(-LN(2)/2))/(LN(2)/2)*V169*Y169*VLOOKUP('Données projet'!$B$9,Paramètres!$A$1:$I$89,3,0)*0.475*44/12</f>
        <v>1.2357157450557267E-19</v>
      </c>
      <c r="AC169" s="22">
        <f t="shared" si="163"/>
        <v>1.6654222527070077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-5.3205440053716299E-14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252.98248842635206</v>
      </c>
      <c r="AO169" s="59">
        <f t="shared" si="144"/>
        <v>207.11938580878308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0.21206208428735396</v>
      </c>
      <c r="AV169" s="21">
        <f>EXP(-LN(2)/25)*AV168+(1-EXP(-LN(2)/25))/(LN(2)/25)*Calculateur!AQ169*Calculateur!AS169*VLOOKUP('Données projet'!$B$10,Paramètres!$A$1:$I$89,3,0)*0.475*44/12</f>
        <v>0.18095420757218345</v>
      </c>
      <c r="AW169" s="21">
        <f>EXP(-LN(2)/2)*AW168+(1-EXP(-LN(2)/2))/(LN(2)/2)*AQ169*AT169*VLOOKUP('Données projet'!$B$10,Paramètres!$A$1:$I$89,3,0)*0.475*44/12</f>
        <v>3.3312709688118109E-20</v>
      </c>
      <c r="AX169" s="21">
        <f t="shared" si="166"/>
        <v>0.3930162918595374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2.8421709430404007E-14</v>
      </c>
      <c r="BE169" s="13">
        <f>BD169*VLOOKUP('Données projet'!$B$11,Paramètres!$A$1:$I$89,3,0)*VLOOKUP('Données projet'!$B$11,Paramètres!$A$1:$I$89,5,0)</f>
        <v>1.8621904018800706E-14</v>
      </c>
      <c r="BF169" s="13">
        <f t="shared" si="167"/>
        <v>3.40208645124969E-13</v>
      </c>
      <c r="BG169" s="20">
        <f t="shared" si="168"/>
        <v>6.2496320642539887E-13</v>
      </c>
      <c r="BH169" s="59">
        <f t="shared" si="116"/>
        <v>293.33333333333394</v>
      </c>
      <c r="BI169" s="59">
        <f ca="1">AVERAGE(OFFSET($BH$3,0,0,'Données projet'!$E$11+1,1))-AVERAGE(OFFSET($H$3,0,0,'Données projet'!$E$11+1,1))</f>
        <v>114.23168847330004</v>
      </c>
      <c r="BJ169" s="59">
        <f t="shared" si="146"/>
        <v>42.34857998136755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2.8421709430404007E-14</v>
      </c>
      <c r="BZ169" s="13">
        <f>BY169*VLOOKUP('Données projet'!$B$12,Paramètres!$A$1:$I$89,3,0)*VLOOKUP('Données projet'!$B$12,Paramètres!$A$1:$I$89,5,0)</f>
        <v>2.7489477361086758E-14</v>
      </c>
      <c r="CA169" s="13">
        <f t="shared" si="170"/>
        <v>4.7995394886724981E-13</v>
      </c>
      <c r="CB169" s="20">
        <f t="shared" si="171"/>
        <v>8.8379730068101964E-13</v>
      </c>
      <c r="CC169" s="59">
        <f t="shared" si="119"/>
        <v>293.33333333333422</v>
      </c>
      <c r="CD169" s="59">
        <f ca="1">AVERAGE(OFFSET($CC$3,0,0,'Données projet'!$E$12+1,1))-AVERAGE(OFFSET($H$3,0,0,'Données projet'!$E$12+1,1))</f>
        <v>201.36664523637006</v>
      </c>
      <c r="CE169" s="59">
        <f t="shared" si="148"/>
        <v>79.394119001888555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4.9282337702571102</v>
      </c>
      <c r="CM169" s="21">
        <f>EXP(-LN(2)/2)*CM168+(1-EXP(-LN(2)/2))/(LN(2)/2)*CG169*CJ169*VLOOKUP('Données projet'!$B$12,Paramètres!$A$1:$I$89,3,0)*0.475*44/12</f>
        <v>1.3357175206809295E-18</v>
      </c>
      <c r="CN169" s="22">
        <f t="shared" si="172"/>
        <v>4.9282337702571102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1.1368683772161603E-13</v>
      </c>
      <c r="CU169" s="17">
        <f>CT169*VLOOKUP('Données projet'!$B$13,Paramètres!$A$1:$I$89,3,0)*VLOOKUP('Données projet'!$B$13,Paramètres!$A$1:$I$89,5,0)</f>
        <v>1.0286385077051818E-13</v>
      </c>
      <c r="CV169" s="13">
        <f t="shared" si="173"/>
        <v>1.5402366592183556E-12</v>
      </c>
      <c r="CW169" s="20">
        <f t="shared" si="174"/>
        <v>2.8617333882306215E-12</v>
      </c>
      <c r="CX169" s="59">
        <f t="shared" si="122"/>
        <v>293.33333333333616</v>
      </c>
      <c r="CY169" s="59">
        <f ca="1">AVERAGE(OFFSET($CX$3,0,0,'Données projet'!$E$13+1,1))-AVERAGE(OFFSET($H$3,0,0,'Données projet'!$E$13+1,1))</f>
        <v>282.08542131880455</v>
      </c>
      <c r="CZ169" s="59">
        <f t="shared" si="150"/>
        <v>174.27503468762325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45.84369391295715</v>
      </c>
      <c r="DG169" s="21">
        <f>EXP(-LN(2)/25)*DG168+(1-EXP(-LN(2)/25))/(LN(2)/25)*Calculateur!DB169*Calculateur!DD169*VLOOKUP('Données projet'!$B$13,Paramètres!$A$1:$I$89,3,0)*0.475*44/12</f>
        <v>19.662242853690401</v>
      </c>
      <c r="DH169" s="21">
        <f>EXP(-LN(2)/2)*DH168+(1-EXP(-LN(2)/2))/(LN(2)/2)*DB169*DE169*VLOOKUP('Données projet'!$B$13,Paramètres!$A$1:$I$89,3,0)*0.475*44/12</f>
        <v>1.9856729585182406E-18</v>
      </c>
      <c r="DI169" s="22">
        <f t="shared" si="175"/>
        <v>65.505936766647551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5.6843418860808015E-14</v>
      </c>
      <c r="DP169" s="17">
        <f>DO169*VLOOKUP('Données projet'!$B$14,Paramètres!$A$1:$I$89,3,0)*VLOOKUP('Données projet'!$B$14,Paramètres!$A$1:$I$89,5,0)</f>
        <v>4.6111381379887463E-14</v>
      </c>
      <c r="DQ169" s="13">
        <f t="shared" si="176"/>
        <v>7.5804141040779151E-13</v>
      </c>
      <c r="DR169" s="20">
        <f t="shared" si="177"/>
        <v>1.4005661123635408E-12</v>
      </c>
      <c r="DS169" s="59">
        <f t="shared" si="125"/>
        <v>293.33333333333474</v>
      </c>
      <c r="DT169" s="59">
        <f ca="1">AVERAGE(OFFSET($DS$3,0,0,'Données projet'!$E$14+1,1))-AVERAGE(OFFSET($H$3,0,0,'Données projet'!$E$14+1,1))</f>
        <v>235.31102883830971</v>
      </c>
      <c r="DU169" s="59">
        <f t="shared" si="152"/>
        <v>271.48630853790422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10.325225626688246</v>
      </c>
      <c r="EB169" s="21">
        <f>EXP(-LN(2)/25)*EB168+(1-EXP(-LN(2)/25))/(LN(2)/25)*Calculateur!DW169*Calculateur!DY169*VLOOKUP('Données projet'!$B$14,Paramètres!$A$1:$I$89,3,0)*0.475*44/12</f>
        <v>7.1914162639166035</v>
      </c>
      <c r="EC169" s="21">
        <f>EXP(-LN(2)/2)*EC168+(1-EXP(-LN(2)/2))/(LN(2)/2)*DW169*DZ169*VLOOKUP('Données projet'!$B$14,Paramètres!$A$1:$I$89,3,0)*0.475*44/12</f>
        <v>2.3961527566337347E-18</v>
      </c>
      <c r="ED169" s="22">
        <f t="shared" si="178"/>
        <v>17.516641890604848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-1.2505552149377763E-12</v>
      </c>
      <c r="O170" s="13">
        <f>N170*VLOOKUP('Données projet'!$B$9,Paramètres!$A$1:$I$89,3,0)*VLOOKUP('Données projet'!$B$9,Paramètres!$A$1:$I$89,5,0)</f>
        <v>-6.9906036515021697E-13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446.28010102877403</v>
      </c>
      <c r="T170" s="59">
        <f t="shared" si="142"/>
        <v>445.84011537290456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0.75743169358549112</v>
      </c>
      <c r="AA170" s="21">
        <f>EXP(-LN(2)/25)*AA169+(1-EXP(-LN(2)/25))/(LN(2)/25)*Calculateur!V170*Calculateur!X170*VLOOKUP('Données projet'!$B$9,Paramètres!$A$1:$I$89,3,0)*0.475*44/12</f>
        <v>0.86842593015905734</v>
      </c>
      <c r="AB170" s="21">
        <f>EXP(-LN(2)/2)*AB169+(1-EXP(-LN(2)/2))/(LN(2)/2)*V170*Y170*VLOOKUP('Données projet'!$B$9,Paramètres!$A$1:$I$89,3,0)*0.475*44/12</f>
        <v>8.737829829478913E-20</v>
      </c>
      <c r="AC170" s="22">
        <f t="shared" si="163"/>
        <v>1.6258576237445483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-5.3205440053716299E-14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252.98248842635206</v>
      </c>
      <c r="AO170" s="59">
        <f t="shared" si="144"/>
        <v>207.11938580878308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0.20790367615957858</v>
      </c>
      <c r="AV170" s="21">
        <f>EXP(-LN(2)/25)*AV169+(1-EXP(-LN(2)/25))/(LN(2)/25)*Calculateur!AQ170*Calculateur!AS170*VLOOKUP('Données projet'!$B$10,Paramètres!$A$1:$I$89,3,0)*0.475*44/12</f>
        <v>0.17600600525015389</v>
      </c>
      <c r="AW170" s="21">
        <f>EXP(-LN(2)/2)*AW169+(1-EXP(-LN(2)/2))/(LN(2)/2)*AQ170*AT170*VLOOKUP('Données projet'!$B$10,Paramètres!$A$1:$I$89,3,0)*0.475*44/12</f>
        <v>2.3555642920167114E-20</v>
      </c>
      <c r="AX170" s="21">
        <f t="shared" si="166"/>
        <v>0.38390968140973247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2.8421709430404007E-14</v>
      </c>
      <c r="BE170" s="13">
        <f>BD170*VLOOKUP('Données projet'!$B$11,Paramètres!$A$1:$I$89,3,0)*VLOOKUP('Données projet'!$B$11,Paramètres!$A$1:$I$89,5,0)</f>
        <v>1.8621904018800706E-14</v>
      </c>
      <c r="BF170" s="13">
        <f t="shared" si="167"/>
        <v>3.40208645124969E-13</v>
      </c>
      <c r="BG170" s="20">
        <f t="shared" si="168"/>
        <v>6.2496320642539887E-13</v>
      </c>
      <c r="BH170" s="59">
        <f t="shared" si="116"/>
        <v>293.33333333333394</v>
      </c>
      <c r="BI170" s="59">
        <f ca="1">AVERAGE(OFFSET($BH$3,0,0,'Données projet'!$E$11+1,1))-AVERAGE(OFFSET($H$3,0,0,'Données projet'!$E$11+1,1))</f>
        <v>114.23168847330004</v>
      </c>
      <c r="BJ170" s="59">
        <f t="shared" si="146"/>
        <v>42.34857998136755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2.8421709430404007E-14</v>
      </c>
      <c r="BZ170" s="13">
        <f>BY170*VLOOKUP('Données projet'!$B$12,Paramètres!$A$1:$I$89,3,0)*VLOOKUP('Données projet'!$B$12,Paramètres!$A$1:$I$89,5,0)</f>
        <v>2.7489477361086758E-14</v>
      </c>
      <c r="CA170" s="13">
        <f t="shared" si="170"/>
        <v>4.7995394886724981E-13</v>
      </c>
      <c r="CB170" s="20">
        <f t="shared" si="171"/>
        <v>8.8379730068101964E-13</v>
      </c>
      <c r="CC170" s="59">
        <f t="shared" si="119"/>
        <v>293.33333333333422</v>
      </c>
      <c r="CD170" s="59">
        <f ca="1">AVERAGE(OFFSET($CC$3,0,0,'Données projet'!$E$12+1,1))-AVERAGE(OFFSET($H$3,0,0,'Données projet'!$E$12+1,1))</f>
        <v>201.36664523637006</v>
      </c>
      <c r="CE170" s="59">
        <f t="shared" si="148"/>
        <v>79.394119001888555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4.7934709586448792</v>
      </c>
      <c r="CM170" s="21">
        <f>EXP(-LN(2)/2)*CM169+(1-EXP(-LN(2)/2))/(LN(2)/2)*CG170*CJ170*VLOOKUP('Données projet'!$B$12,Paramètres!$A$1:$I$89,3,0)*0.475*44/12</f>
        <v>9.4449491662316778E-19</v>
      </c>
      <c r="CN170" s="22">
        <f t="shared" si="172"/>
        <v>4.7934709586448792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1.1368683772161603E-13</v>
      </c>
      <c r="CU170" s="17">
        <f>CT170*VLOOKUP('Données projet'!$B$13,Paramètres!$A$1:$I$89,3,0)*VLOOKUP('Données projet'!$B$13,Paramètres!$A$1:$I$89,5,0)</f>
        <v>1.0286385077051818E-13</v>
      </c>
      <c r="CV170" s="13">
        <f t="shared" si="173"/>
        <v>1.5402366592183556E-12</v>
      </c>
      <c r="CW170" s="20">
        <f t="shared" si="174"/>
        <v>2.8617333882306215E-12</v>
      </c>
      <c r="CX170" s="59">
        <f t="shared" si="122"/>
        <v>293.33333333333616</v>
      </c>
      <c r="CY170" s="59">
        <f ca="1">AVERAGE(OFFSET($CX$3,0,0,'Données projet'!$E$13+1,1))-AVERAGE(OFFSET($H$3,0,0,'Données projet'!$E$13+1,1))</f>
        <v>282.08542131880455</v>
      </c>
      <c r="CZ170" s="59">
        <f t="shared" si="150"/>
        <v>174.27503468762325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44.944727037216339</v>
      </c>
      <c r="DG170" s="21">
        <f>EXP(-LN(2)/25)*DG169+(1-EXP(-LN(2)/25))/(LN(2)/25)*Calculateur!DB170*Calculateur!DD170*VLOOKUP('Données projet'!$B$13,Paramètres!$A$1:$I$89,3,0)*0.475*44/12</f>
        <v>19.124577788863824</v>
      </c>
      <c r="DH170" s="21">
        <f>EXP(-LN(2)/2)*DH169+(1-EXP(-LN(2)/2))/(LN(2)/2)*DB170*DE170*VLOOKUP('Données projet'!$B$13,Paramètres!$A$1:$I$89,3,0)*0.475*44/12</f>
        <v>1.4040828141870021E-18</v>
      </c>
      <c r="DI170" s="22">
        <f t="shared" si="175"/>
        <v>64.069304826080156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5.6843418860808015E-14</v>
      </c>
      <c r="DP170" s="17">
        <f>DO170*VLOOKUP('Données projet'!$B$14,Paramètres!$A$1:$I$89,3,0)*VLOOKUP('Données projet'!$B$14,Paramètres!$A$1:$I$89,5,0)</f>
        <v>4.6111381379887463E-14</v>
      </c>
      <c r="DQ170" s="13">
        <f t="shared" si="176"/>
        <v>7.5804141040779151E-13</v>
      </c>
      <c r="DR170" s="20">
        <f t="shared" si="177"/>
        <v>1.4005661123635408E-12</v>
      </c>
      <c r="DS170" s="59">
        <f t="shared" si="125"/>
        <v>293.33333333333474</v>
      </c>
      <c r="DT170" s="59">
        <f ca="1">AVERAGE(OFFSET($DS$3,0,0,'Données projet'!$E$14+1,1))-AVERAGE(OFFSET($H$3,0,0,'Données projet'!$E$14+1,1))</f>
        <v>235.31102883830971</v>
      </c>
      <c r="DU170" s="59">
        <f t="shared" si="152"/>
        <v>271.48630853790422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10.122754249914669</v>
      </c>
      <c r="EB170" s="21">
        <f>EXP(-LN(2)/25)*EB169+(1-EXP(-LN(2)/25))/(LN(2)/25)*Calculateur!DW170*Calculateur!DY170*VLOOKUP('Données projet'!$B$14,Paramètres!$A$1:$I$89,3,0)*0.475*44/12</f>
        <v>6.9947666079996589</v>
      </c>
      <c r="EC170" s="21">
        <f>EXP(-LN(2)/2)*EC169+(1-EXP(-LN(2)/2))/(LN(2)/2)*DW170*DZ170*VLOOKUP('Données projet'!$B$14,Paramètres!$A$1:$I$89,3,0)*0.475*44/12</f>
        <v>1.6943358629745531E-18</v>
      </c>
      <c r="ED170" s="22">
        <f t="shared" si="178"/>
        <v>17.117520857914329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-1.2505552149377763E-12</v>
      </c>
      <c r="O171" s="13">
        <f>N171*VLOOKUP('Données projet'!$B$9,Paramètres!$A$1:$I$89,3,0)*VLOOKUP('Données projet'!$B$9,Paramètres!$A$1:$I$89,5,0)</f>
        <v>-6.9906036515021697E-13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446.28010102877403</v>
      </c>
      <c r="T171" s="59">
        <f t="shared" si="142"/>
        <v>445.84011537290456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0.74257892006199522</v>
      </c>
      <c r="AA171" s="21">
        <f>EXP(-LN(2)/25)*AA170+(1-EXP(-LN(2)/25))/(LN(2)/25)*Calculateur!V171*Calculateur!X171*VLOOKUP('Données projet'!$B$9,Paramètres!$A$1:$I$89,3,0)*0.475*44/12</f>
        <v>0.84467877743032305</v>
      </c>
      <c r="AB171" s="21">
        <f>EXP(-LN(2)/2)*AB170+(1-EXP(-LN(2)/2))/(LN(2)/2)*V171*Y171*VLOOKUP('Données projet'!$B$9,Paramètres!$A$1:$I$89,3,0)*0.475*44/12</f>
        <v>6.1785787252786335E-20</v>
      </c>
      <c r="AC171" s="22">
        <f t="shared" si="163"/>
        <v>1.5872576974923183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-5.3205440053716299E-14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252.98248842635206</v>
      </c>
      <c r="AO171" s="59">
        <f t="shared" si="144"/>
        <v>207.11938580878308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0.20382681187881038</v>
      </c>
      <c r="AV171" s="21">
        <f>EXP(-LN(2)/25)*AV170+(1-EXP(-LN(2)/25))/(LN(2)/25)*Calculateur!AQ171*Calculateur!AS171*VLOOKUP('Données projet'!$B$10,Paramètres!$A$1:$I$89,3,0)*0.475*44/12</f>
        <v>0.17119311178083488</v>
      </c>
      <c r="AW171" s="21">
        <f>EXP(-LN(2)/2)*AW170+(1-EXP(-LN(2)/2))/(LN(2)/2)*AQ171*AT171*VLOOKUP('Données projet'!$B$10,Paramètres!$A$1:$I$89,3,0)*0.475*44/12</f>
        <v>1.6656354844059055E-20</v>
      </c>
      <c r="AX171" s="21">
        <f t="shared" si="166"/>
        <v>0.37501992365964526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2.8421709430404007E-14</v>
      </c>
      <c r="BE171" s="13">
        <f>BD171*VLOOKUP('Données projet'!$B$11,Paramètres!$A$1:$I$89,3,0)*VLOOKUP('Données projet'!$B$11,Paramètres!$A$1:$I$89,5,0)</f>
        <v>1.8621904018800706E-14</v>
      </c>
      <c r="BF171" s="13">
        <f t="shared" si="167"/>
        <v>3.40208645124969E-13</v>
      </c>
      <c r="BG171" s="20">
        <f t="shared" si="168"/>
        <v>6.2496320642539887E-13</v>
      </c>
      <c r="BH171" s="59">
        <f t="shared" si="116"/>
        <v>293.33333333333394</v>
      </c>
      <c r="BI171" s="59">
        <f ca="1">AVERAGE(OFFSET($BH$3,0,0,'Données projet'!$E$11+1,1))-AVERAGE(OFFSET($H$3,0,0,'Données projet'!$E$11+1,1))</f>
        <v>114.23168847330004</v>
      </c>
      <c r="BJ171" s="59">
        <f t="shared" si="146"/>
        <v>42.34857998136755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2.8421709430404007E-14</v>
      </c>
      <c r="BZ171" s="13">
        <f>BY171*VLOOKUP('Données projet'!$B$12,Paramètres!$A$1:$I$89,3,0)*VLOOKUP('Données projet'!$B$12,Paramètres!$A$1:$I$89,5,0)</f>
        <v>2.7489477361086758E-14</v>
      </c>
      <c r="CA171" s="13">
        <f t="shared" si="170"/>
        <v>4.7995394886724981E-13</v>
      </c>
      <c r="CB171" s="20">
        <f t="shared" si="171"/>
        <v>8.8379730068101964E-13</v>
      </c>
      <c r="CC171" s="59">
        <f t="shared" si="119"/>
        <v>293.33333333333422</v>
      </c>
      <c r="CD171" s="59">
        <f ca="1">AVERAGE(OFFSET($CC$3,0,0,'Données projet'!$E$12+1,1))-AVERAGE(OFFSET($H$3,0,0,'Données projet'!$E$12+1,1))</f>
        <v>201.36664523637006</v>
      </c>
      <c r="CE171" s="59">
        <f t="shared" si="148"/>
        <v>79.394119001888555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4.662393243203053</v>
      </c>
      <c r="CM171" s="21">
        <f>EXP(-LN(2)/2)*CM170+(1-EXP(-LN(2)/2))/(LN(2)/2)*CG171*CJ171*VLOOKUP('Données projet'!$B$12,Paramètres!$A$1:$I$89,3,0)*0.475*44/12</f>
        <v>6.6785876034046476E-19</v>
      </c>
      <c r="CN171" s="22">
        <f t="shared" si="172"/>
        <v>4.662393243203053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1.1368683772161603E-13</v>
      </c>
      <c r="CU171" s="17">
        <f>CT171*VLOOKUP('Données projet'!$B$13,Paramètres!$A$1:$I$89,3,0)*VLOOKUP('Données projet'!$B$13,Paramètres!$A$1:$I$89,5,0)</f>
        <v>1.0286385077051818E-13</v>
      </c>
      <c r="CV171" s="13">
        <f t="shared" si="173"/>
        <v>1.5402366592183556E-12</v>
      </c>
      <c r="CW171" s="20">
        <f t="shared" si="174"/>
        <v>2.8617333882306215E-12</v>
      </c>
      <c r="CX171" s="59">
        <f t="shared" si="122"/>
        <v>293.33333333333616</v>
      </c>
      <c r="CY171" s="59">
        <f ca="1">AVERAGE(OFFSET($CX$3,0,0,'Données projet'!$E$13+1,1))-AVERAGE(OFFSET($H$3,0,0,'Données projet'!$E$13+1,1))</f>
        <v>282.08542131880455</v>
      </c>
      <c r="CZ171" s="59">
        <f t="shared" si="150"/>
        <v>174.27503468762325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44.063388353593155</v>
      </c>
      <c r="DG171" s="21">
        <f>EXP(-LN(2)/25)*DG170+(1-EXP(-LN(2)/25))/(LN(2)/25)*Calculateur!DB171*Calculateur!DD171*VLOOKUP('Données projet'!$B$13,Paramètres!$A$1:$I$89,3,0)*0.475*44/12</f>
        <v>18.601615203509507</v>
      </c>
      <c r="DH171" s="21">
        <f>EXP(-LN(2)/2)*DH170+(1-EXP(-LN(2)/2))/(LN(2)/2)*DB171*DE171*VLOOKUP('Données projet'!$B$13,Paramètres!$A$1:$I$89,3,0)*0.475*44/12</f>
        <v>9.9283647925912032E-19</v>
      </c>
      <c r="DI171" s="22">
        <f t="shared" si="175"/>
        <v>62.665003557102665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5.6843418860808015E-14</v>
      </c>
      <c r="DP171" s="17">
        <f>DO171*VLOOKUP('Données projet'!$B$14,Paramètres!$A$1:$I$89,3,0)*VLOOKUP('Données projet'!$B$14,Paramètres!$A$1:$I$89,5,0)</f>
        <v>4.6111381379887463E-14</v>
      </c>
      <c r="DQ171" s="13">
        <f t="shared" si="176"/>
        <v>7.5804141040779151E-13</v>
      </c>
      <c r="DR171" s="20">
        <f t="shared" si="177"/>
        <v>1.4005661123635408E-12</v>
      </c>
      <c r="DS171" s="59">
        <f t="shared" si="125"/>
        <v>293.33333333333474</v>
      </c>
      <c r="DT171" s="59">
        <f ca="1">AVERAGE(OFFSET($DS$3,0,0,'Données projet'!$E$14+1,1))-AVERAGE(OFFSET($H$3,0,0,'Données projet'!$E$14+1,1))</f>
        <v>235.31102883830971</v>
      </c>
      <c r="DU171" s="59">
        <f t="shared" si="152"/>
        <v>271.48630853790422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9.9242532133442758</v>
      </c>
      <c r="EB171" s="21">
        <f>EXP(-LN(2)/25)*EB170+(1-EXP(-LN(2)/25))/(LN(2)/25)*Calculateur!DW171*Calculateur!DY171*VLOOKUP('Données projet'!$B$14,Paramètres!$A$1:$I$89,3,0)*0.475*44/12</f>
        <v>6.8034943472651195</v>
      </c>
      <c r="EC171" s="21">
        <f>EXP(-LN(2)/2)*EC170+(1-EXP(-LN(2)/2))/(LN(2)/2)*DW171*DZ171*VLOOKUP('Données projet'!$B$14,Paramètres!$A$1:$I$89,3,0)*0.475*44/12</f>
        <v>1.1980763783168675E-18</v>
      </c>
      <c r="ED171" s="22">
        <f t="shared" si="178"/>
        <v>16.727747560609394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-1.2505552149377763E-12</v>
      </c>
      <c r="O172" s="13">
        <f>N172*VLOOKUP('Données projet'!$B$9,Paramètres!$A$1:$I$89,3,0)*VLOOKUP('Données projet'!$B$9,Paramètres!$A$1:$I$89,5,0)</f>
        <v>-6.9906036515021697E-13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446.28010102877403</v>
      </c>
      <c r="T172" s="59">
        <f t="shared" si="142"/>
        <v>445.84011537290456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0.72801740036799778</v>
      </c>
      <c r="AA172" s="21">
        <f>EXP(-LN(2)/25)*AA171+(1-EXP(-LN(2)/25))/(LN(2)/25)*Calculateur!V172*Calculateur!X172*VLOOKUP('Données projet'!$B$9,Paramètres!$A$1:$I$89,3,0)*0.475*44/12</f>
        <v>0.82158099184176447</v>
      </c>
      <c r="AB172" s="21">
        <f>EXP(-LN(2)/2)*AB171+(1-EXP(-LN(2)/2))/(LN(2)/2)*V172*Y172*VLOOKUP('Données projet'!$B$9,Paramètres!$A$1:$I$89,3,0)*0.475*44/12</f>
        <v>4.3689149147394565E-20</v>
      </c>
      <c r="AC172" s="22">
        <f t="shared" si="163"/>
        <v>1.5495983922097623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-5.3205440053716299E-14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252.98248842635206</v>
      </c>
      <c r="AO172" s="59">
        <f t="shared" si="144"/>
        <v>207.11938580878308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0.19982989241994636</v>
      </c>
      <c r="AV172" s="21">
        <f>EXP(-LN(2)/25)*AV171+(1-EXP(-LN(2)/25))/(LN(2)/25)*Calculateur!AQ172*Calculateur!AS172*VLOOKUP('Données projet'!$B$10,Paramètres!$A$1:$I$89,3,0)*0.475*44/12</f>
        <v>0.16651182713653348</v>
      </c>
      <c r="AW172" s="21">
        <f>EXP(-LN(2)/2)*AW171+(1-EXP(-LN(2)/2))/(LN(2)/2)*AQ172*AT172*VLOOKUP('Données projet'!$B$10,Paramètres!$A$1:$I$89,3,0)*0.475*44/12</f>
        <v>1.1777821460083557E-20</v>
      </c>
      <c r="AX172" s="21">
        <f t="shared" si="166"/>
        <v>0.36634171955647987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2.8421709430404007E-14</v>
      </c>
      <c r="BE172" s="13">
        <f>BD172*VLOOKUP('Données projet'!$B$11,Paramètres!$A$1:$I$89,3,0)*VLOOKUP('Données projet'!$B$11,Paramètres!$A$1:$I$89,5,0)</f>
        <v>1.8621904018800706E-14</v>
      </c>
      <c r="BF172" s="13">
        <f t="shared" si="167"/>
        <v>3.40208645124969E-13</v>
      </c>
      <c r="BG172" s="20">
        <f t="shared" si="168"/>
        <v>6.2496320642539887E-13</v>
      </c>
      <c r="BH172" s="59">
        <f t="shared" si="116"/>
        <v>293.33333333333394</v>
      </c>
      <c r="BI172" s="59">
        <f ca="1">AVERAGE(OFFSET($BH$3,0,0,'Données projet'!$E$11+1,1))-AVERAGE(OFFSET($H$3,0,0,'Données projet'!$E$11+1,1))</f>
        <v>114.23168847330004</v>
      </c>
      <c r="BJ172" s="59">
        <f t="shared" si="146"/>
        <v>42.34857998136755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2.8421709430404007E-14</v>
      </c>
      <c r="BZ172" s="13">
        <f>BY172*VLOOKUP('Données projet'!$B$12,Paramètres!$A$1:$I$89,3,0)*VLOOKUP('Données projet'!$B$12,Paramètres!$A$1:$I$89,5,0)</f>
        <v>2.7489477361086758E-14</v>
      </c>
      <c r="CA172" s="13">
        <f t="shared" si="170"/>
        <v>4.7995394886724981E-13</v>
      </c>
      <c r="CB172" s="20">
        <f t="shared" si="171"/>
        <v>8.8379730068101964E-13</v>
      </c>
      <c r="CC172" s="59">
        <f t="shared" si="119"/>
        <v>293.33333333333422</v>
      </c>
      <c r="CD172" s="59">
        <f ca="1">AVERAGE(OFFSET($CC$3,0,0,'Données projet'!$E$12+1,1))-AVERAGE(OFFSET($H$3,0,0,'Données projet'!$E$12+1,1))</f>
        <v>201.36664523637006</v>
      </c>
      <c r="CE172" s="59">
        <f t="shared" si="148"/>
        <v>79.394119001888555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4.5348998547830606</v>
      </c>
      <c r="CM172" s="21">
        <f>EXP(-LN(2)/2)*CM171+(1-EXP(-LN(2)/2))/(LN(2)/2)*CG172*CJ172*VLOOKUP('Données projet'!$B$12,Paramètres!$A$1:$I$89,3,0)*0.475*44/12</f>
        <v>4.7224745831158389E-19</v>
      </c>
      <c r="CN172" s="22">
        <f t="shared" si="172"/>
        <v>4.5348998547830606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1.1368683772161603E-13</v>
      </c>
      <c r="CU172" s="17">
        <f>CT172*VLOOKUP('Données projet'!$B$13,Paramètres!$A$1:$I$89,3,0)*VLOOKUP('Données projet'!$B$13,Paramètres!$A$1:$I$89,5,0)</f>
        <v>1.0286385077051818E-13</v>
      </c>
      <c r="CV172" s="13">
        <f t="shared" si="173"/>
        <v>1.5402366592183556E-12</v>
      </c>
      <c r="CW172" s="20">
        <f t="shared" si="174"/>
        <v>2.8617333882306215E-12</v>
      </c>
      <c r="CX172" s="59">
        <f t="shared" si="122"/>
        <v>293.33333333333616</v>
      </c>
      <c r="CY172" s="59">
        <f ca="1">AVERAGE(OFFSET($CX$3,0,0,'Données projet'!$E$13+1,1))-AVERAGE(OFFSET($H$3,0,0,'Données projet'!$E$13+1,1))</f>
        <v>282.08542131880455</v>
      </c>
      <c r="CZ172" s="59">
        <f t="shared" si="150"/>
        <v>174.27503468762325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43.199332183992304</v>
      </c>
      <c r="DG172" s="21">
        <f>EXP(-LN(2)/25)*DG171+(1-EXP(-LN(2)/25))/(LN(2)/25)*Calculateur!DB172*Calculateur!DD172*VLOOKUP('Données projet'!$B$13,Paramètres!$A$1:$I$89,3,0)*0.475*44/12</f>
        <v>18.09295305755311</v>
      </c>
      <c r="DH172" s="21">
        <f>EXP(-LN(2)/2)*DH171+(1-EXP(-LN(2)/2))/(LN(2)/2)*DB172*DE172*VLOOKUP('Données projet'!$B$13,Paramètres!$A$1:$I$89,3,0)*0.475*44/12</f>
        <v>7.0204140709350104E-19</v>
      </c>
      <c r="DI172" s="22">
        <f t="shared" si="175"/>
        <v>61.292285241545414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5.6843418860808015E-14</v>
      </c>
      <c r="DP172" s="17">
        <f>DO172*VLOOKUP('Données projet'!$B$14,Paramètres!$A$1:$I$89,3,0)*VLOOKUP('Données projet'!$B$14,Paramètres!$A$1:$I$89,5,0)</f>
        <v>4.6111381379887463E-14</v>
      </c>
      <c r="DQ172" s="13">
        <f t="shared" si="176"/>
        <v>7.5804141040779151E-13</v>
      </c>
      <c r="DR172" s="20">
        <f t="shared" si="177"/>
        <v>1.4005661123635408E-12</v>
      </c>
      <c r="DS172" s="59">
        <f t="shared" si="125"/>
        <v>293.33333333333474</v>
      </c>
      <c r="DT172" s="59">
        <f ca="1">AVERAGE(OFFSET($DS$3,0,0,'Données projet'!$E$14+1,1))-AVERAGE(OFFSET($H$3,0,0,'Données projet'!$E$14+1,1))</f>
        <v>235.31102883830971</v>
      </c>
      <c r="DU172" s="59">
        <f t="shared" si="152"/>
        <v>271.48630853790422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9.7296446610273506</v>
      </c>
      <c r="EB172" s="21">
        <f>EXP(-LN(2)/25)*EB171+(1-EXP(-LN(2)/25))/(LN(2)/25)*Calculateur!DW172*Calculateur!DY172*VLOOKUP('Données projet'!$B$14,Paramètres!$A$1:$I$89,3,0)*0.475*44/12</f>
        <v>6.6174524365589367</v>
      </c>
      <c r="EC172" s="21">
        <f>EXP(-LN(2)/2)*EC171+(1-EXP(-LN(2)/2))/(LN(2)/2)*DW172*DZ172*VLOOKUP('Données projet'!$B$14,Paramètres!$A$1:$I$89,3,0)*0.475*44/12</f>
        <v>8.4716793148727662E-19</v>
      </c>
      <c r="ED172" s="22">
        <f t="shared" si="178"/>
        <v>16.347097097586285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-1.2505552149377763E-12</v>
      </c>
      <c r="O173" s="13">
        <f>N173*VLOOKUP('Données projet'!$B$9,Paramètres!$A$1:$I$89,3,0)*VLOOKUP('Données projet'!$B$9,Paramètres!$A$1:$I$89,5,0)</f>
        <v>-6.9906036515021697E-13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446.28010102877403</v>
      </c>
      <c r="T173" s="59">
        <f t="shared" si="142"/>
        <v>445.84011537290456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0.71374142319354961</v>
      </c>
      <c r="AA173" s="21">
        <f>EXP(-LN(2)/25)*AA172+(1-EXP(-LN(2)/25))/(LN(2)/25)*Calculateur!V173*Calculateur!X173*VLOOKUP('Données projet'!$B$9,Paramètres!$A$1:$I$89,3,0)*0.475*44/12</f>
        <v>0.79911481641478477</v>
      </c>
      <c r="AB173" s="21">
        <f>EXP(-LN(2)/2)*AB172+(1-EXP(-LN(2)/2))/(LN(2)/2)*V173*Y173*VLOOKUP('Données projet'!$B$9,Paramètres!$A$1:$I$89,3,0)*0.475*44/12</f>
        <v>3.0892893626393168E-20</v>
      </c>
      <c r="AC173" s="22">
        <f t="shared" si="163"/>
        <v>1.5128562396083343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-5.3205440053716299E-14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252.98248842635206</v>
      </c>
      <c r="AO173" s="59">
        <f t="shared" si="144"/>
        <v>207.11938580878308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0.19591135011379052</v>
      </c>
      <c r="AV173" s="21">
        <f>EXP(-LN(2)/25)*AV172+(1-EXP(-LN(2)/25))/(LN(2)/25)*Calculateur!AQ173*Calculateur!AS173*VLOOKUP('Données projet'!$B$10,Paramètres!$A$1:$I$89,3,0)*0.475*44/12</f>
        <v>0.16195855246700855</v>
      </c>
      <c r="AW173" s="21">
        <f>EXP(-LN(2)/2)*AW172+(1-EXP(-LN(2)/2))/(LN(2)/2)*AQ173*AT173*VLOOKUP('Données projet'!$B$10,Paramètres!$A$1:$I$89,3,0)*0.475*44/12</f>
        <v>8.3281774220295273E-21</v>
      </c>
      <c r="AX173" s="21">
        <f t="shared" si="166"/>
        <v>0.35786990258079909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2.8421709430404007E-14</v>
      </c>
      <c r="BE173" s="13">
        <f>BD173*VLOOKUP('Données projet'!$B$11,Paramètres!$A$1:$I$89,3,0)*VLOOKUP('Données projet'!$B$11,Paramètres!$A$1:$I$89,5,0)</f>
        <v>1.8621904018800706E-14</v>
      </c>
      <c r="BF173" s="13">
        <f t="shared" si="167"/>
        <v>3.40208645124969E-13</v>
      </c>
      <c r="BG173" s="20">
        <f t="shared" si="168"/>
        <v>6.2496320642539887E-13</v>
      </c>
      <c r="BH173" s="59">
        <f t="shared" si="116"/>
        <v>293.33333333333394</v>
      </c>
      <c r="BI173" s="59">
        <f ca="1">AVERAGE(OFFSET($BH$3,0,0,'Données projet'!$E$11+1,1))-AVERAGE(OFFSET($H$3,0,0,'Données projet'!$E$11+1,1))</f>
        <v>114.23168847330004</v>
      </c>
      <c r="BJ173" s="59">
        <f t="shared" si="146"/>
        <v>42.34857998136755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2.8421709430404007E-14</v>
      </c>
      <c r="BZ173" s="13">
        <f>BY173*VLOOKUP('Données projet'!$B$12,Paramètres!$A$1:$I$89,3,0)*VLOOKUP('Données projet'!$B$12,Paramètres!$A$1:$I$89,5,0)</f>
        <v>2.7489477361086758E-14</v>
      </c>
      <c r="CA173" s="13">
        <f t="shared" si="170"/>
        <v>4.7995394886724981E-13</v>
      </c>
      <c r="CB173" s="20">
        <f t="shared" si="171"/>
        <v>8.8379730068101964E-13</v>
      </c>
      <c r="CC173" s="59">
        <f t="shared" si="119"/>
        <v>293.33333333333422</v>
      </c>
      <c r="CD173" s="59">
        <f ca="1">AVERAGE(OFFSET($CC$3,0,0,'Données projet'!$E$12+1,1))-AVERAGE(OFFSET($H$3,0,0,'Données projet'!$E$12+1,1))</f>
        <v>201.36664523637006</v>
      </c>
      <c r="CE173" s="59">
        <f t="shared" si="148"/>
        <v>79.394119001888555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4.4108927797739987</v>
      </c>
      <c r="CM173" s="21">
        <f>EXP(-LN(2)/2)*CM172+(1-EXP(-LN(2)/2))/(LN(2)/2)*CG173*CJ173*VLOOKUP('Données projet'!$B$12,Paramètres!$A$1:$I$89,3,0)*0.475*44/12</f>
        <v>3.3392938017023238E-19</v>
      </c>
      <c r="CN173" s="22">
        <f t="shared" si="172"/>
        <v>4.4108927797739987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1.1368683772161603E-13</v>
      </c>
      <c r="CU173" s="17">
        <f>CT173*VLOOKUP('Données projet'!$B$13,Paramètres!$A$1:$I$89,3,0)*VLOOKUP('Données projet'!$B$13,Paramètres!$A$1:$I$89,5,0)</f>
        <v>1.0286385077051818E-13</v>
      </c>
      <c r="CV173" s="13">
        <f t="shared" si="173"/>
        <v>1.5402366592183556E-12</v>
      </c>
      <c r="CW173" s="20">
        <f t="shared" si="174"/>
        <v>2.8617333882306215E-12</v>
      </c>
      <c r="CX173" s="59">
        <f t="shared" si="122"/>
        <v>293.33333333333616</v>
      </c>
      <c r="CY173" s="59">
        <f ca="1">AVERAGE(OFFSET($CX$3,0,0,'Données projet'!$E$13+1,1))-AVERAGE(OFFSET($H$3,0,0,'Données projet'!$E$13+1,1))</f>
        <v>282.08542131880455</v>
      </c>
      <c r="CZ173" s="59">
        <f t="shared" si="150"/>
        <v>174.27503468762325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42.352219628855103</v>
      </c>
      <c r="DG173" s="21">
        <f>EXP(-LN(2)/25)*DG172+(1-EXP(-LN(2)/25))/(LN(2)/25)*Calculateur!DB173*Calculateur!DD173*VLOOKUP('Données projet'!$B$13,Paramètres!$A$1:$I$89,3,0)*0.475*44/12</f>
        <v>17.598200304727271</v>
      </c>
      <c r="DH173" s="21">
        <f>EXP(-LN(2)/2)*DH172+(1-EXP(-LN(2)/2))/(LN(2)/2)*DB173*DE173*VLOOKUP('Données projet'!$B$13,Paramètres!$A$1:$I$89,3,0)*0.475*44/12</f>
        <v>4.9641823962956016E-19</v>
      </c>
      <c r="DI173" s="22">
        <f t="shared" si="175"/>
        <v>59.950419933582374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5.6843418860808015E-14</v>
      </c>
      <c r="DP173" s="17">
        <f>DO173*VLOOKUP('Données projet'!$B$14,Paramètres!$A$1:$I$89,3,0)*VLOOKUP('Données projet'!$B$14,Paramètres!$A$1:$I$89,5,0)</f>
        <v>4.6111381379887463E-14</v>
      </c>
      <c r="DQ173" s="13">
        <f t="shared" si="176"/>
        <v>7.5804141040779151E-13</v>
      </c>
      <c r="DR173" s="20">
        <f t="shared" si="177"/>
        <v>1.4005661123635408E-12</v>
      </c>
      <c r="DS173" s="59">
        <f t="shared" si="125"/>
        <v>293.33333333333474</v>
      </c>
      <c r="DT173" s="59">
        <f ca="1">AVERAGE(OFFSET($DS$3,0,0,'Données projet'!$E$14+1,1))-AVERAGE(OFFSET($H$3,0,0,'Données projet'!$E$14+1,1))</f>
        <v>235.31102883830971</v>
      </c>
      <c r="DU173" s="59">
        <f t="shared" si="152"/>
        <v>271.48630853790422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9.5388522637218642</v>
      </c>
      <c r="EB173" s="21">
        <f>EXP(-LN(2)/25)*EB172+(1-EXP(-LN(2)/25))/(LN(2)/25)*Calculateur!DW173*Calculateur!DY173*VLOOKUP('Données projet'!$B$14,Paramètres!$A$1:$I$89,3,0)*0.475*44/12</f>
        <v>6.4364978516845337</v>
      </c>
      <c r="EC173" s="21">
        <f>EXP(-LN(2)/2)*EC172+(1-EXP(-LN(2)/2))/(LN(2)/2)*DW173*DZ173*VLOOKUP('Données projet'!$B$14,Paramètres!$A$1:$I$89,3,0)*0.475*44/12</f>
        <v>5.9903818915843387E-19</v>
      </c>
      <c r="ED173" s="22">
        <f t="shared" si="178"/>
        <v>15.975350115406398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-1.2505552149377763E-12</v>
      </c>
      <c r="O174" s="13">
        <f>N174*VLOOKUP('Données projet'!$B$9,Paramètres!$A$1:$I$89,3,0)*VLOOKUP('Données projet'!$B$9,Paramètres!$A$1:$I$89,5,0)</f>
        <v>-6.9906036515021697E-13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446.28010102877403</v>
      </c>
      <c r="T174" s="59">
        <f t="shared" si="142"/>
        <v>445.84011537290456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0.69974538922400609</v>
      </c>
      <c r="AA174" s="21">
        <f>EXP(-LN(2)/25)*AA173+(1-EXP(-LN(2)/25))/(LN(2)/25)*Calculateur!V174*Calculateur!X174*VLOOKUP('Données projet'!$B$9,Paramètres!$A$1:$I$89,3,0)*0.475*44/12</f>
        <v>0.77726297973630065</v>
      </c>
      <c r="AB174" s="21">
        <f>EXP(-LN(2)/2)*AB173+(1-EXP(-LN(2)/2))/(LN(2)/2)*V174*Y174*VLOOKUP('Données projet'!$B$9,Paramètres!$A$1:$I$89,3,0)*0.475*44/12</f>
        <v>2.1844574573697283E-20</v>
      </c>
      <c r="AC174" s="22">
        <f t="shared" si="163"/>
        <v>1.4770083689603068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-5.3205440053716299E-14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252.98248842635206</v>
      </c>
      <c r="AO174" s="59">
        <f t="shared" si="144"/>
        <v>207.11938580878308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0.1920696480321836</v>
      </c>
      <c r="AV174" s="21">
        <f>EXP(-LN(2)/25)*AV173+(1-EXP(-LN(2)/25))/(LN(2)/25)*Calculateur!AQ174*Calculateur!AS174*VLOOKUP('Données projet'!$B$10,Paramètres!$A$1:$I$89,3,0)*0.475*44/12</f>
        <v>0.1575297873327681</v>
      </c>
      <c r="AW174" s="21">
        <f>EXP(-LN(2)/2)*AW173+(1-EXP(-LN(2)/2))/(LN(2)/2)*AQ174*AT174*VLOOKUP('Données projet'!$B$10,Paramètres!$A$1:$I$89,3,0)*0.475*44/12</f>
        <v>5.8889107300417785E-21</v>
      </c>
      <c r="AX174" s="21">
        <f t="shared" si="166"/>
        <v>0.34959943536495169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2.8421709430404007E-14</v>
      </c>
      <c r="BE174" s="13">
        <f>BD174*VLOOKUP('Données projet'!$B$11,Paramètres!$A$1:$I$89,3,0)*VLOOKUP('Données projet'!$B$11,Paramètres!$A$1:$I$89,5,0)</f>
        <v>1.8621904018800706E-14</v>
      </c>
      <c r="BF174" s="13">
        <f t="shared" si="167"/>
        <v>3.40208645124969E-13</v>
      </c>
      <c r="BG174" s="20">
        <f t="shared" si="168"/>
        <v>6.2496320642539887E-13</v>
      </c>
      <c r="BH174" s="59">
        <f t="shared" si="116"/>
        <v>293.33333333333394</v>
      </c>
      <c r="BI174" s="59">
        <f ca="1">AVERAGE(OFFSET($BH$3,0,0,'Données projet'!$E$11+1,1))-AVERAGE(OFFSET($H$3,0,0,'Données projet'!$E$11+1,1))</f>
        <v>114.23168847330004</v>
      </c>
      <c r="BJ174" s="59">
        <f t="shared" si="146"/>
        <v>42.34857998136755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2.8421709430404007E-14</v>
      </c>
      <c r="BZ174" s="13">
        <f>BY174*VLOOKUP('Données projet'!$B$12,Paramètres!$A$1:$I$89,3,0)*VLOOKUP('Données projet'!$B$12,Paramètres!$A$1:$I$89,5,0)</f>
        <v>2.7489477361086758E-14</v>
      </c>
      <c r="CA174" s="13">
        <f t="shared" si="170"/>
        <v>4.7995394886724981E-13</v>
      </c>
      <c r="CB174" s="20">
        <f t="shared" si="171"/>
        <v>8.8379730068101964E-13</v>
      </c>
      <c r="CC174" s="59">
        <f t="shared" si="119"/>
        <v>293.33333333333422</v>
      </c>
      <c r="CD174" s="59">
        <f ca="1">AVERAGE(OFFSET($CC$3,0,0,'Données projet'!$E$12+1,1))-AVERAGE(OFFSET($H$3,0,0,'Données projet'!$E$12+1,1))</f>
        <v>201.36664523637006</v>
      </c>
      <c r="CE174" s="59">
        <f t="shared" si="148"/>
        <v>79.394119001888555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4.2902766847523086</v>
      </c>
      <c r="CM174" s="21">
        <f>EXP(-LN(2)/2)*CM173+(1-EXP(-LN(2)/2))/(LN(2)/2)*CG174*CJ174*VLOOKUP('Données projet'!$B$12,Paramètres!$A$1:$I$89,3,0)*0.475*44/12</f>
        <v>2.3612372915579194E-19</v>
      </c>
      <c r="CN174" s="22">
        <f t="shared" si="172"/>
        <v>4.2902766847523086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1.1368683772161603E-13</v>
      </c>
      <c r="CU174" s="17">
        <f>CT174*VLOOKUP('Données projet'!$B$13,Paramètres!$A$1:$I$89,3,0)*VLOOKUP('Données projet'!$B$13,Paramètres!$A$1:$I$89,5,0)</f>
        <v>1.0286385077051818E-13</v>
      </c>
      <c r="CV174" s="13">
        <f t="shared" si="173"/>
        <v>1.5402366592183556E-12</v>
      </c>
      <c r="CW174" s="20">
        <f t="shared" si="174"/>
        <v>2.8617333882306215E-12</v>
      </c>
      <c r="CX174" s="59">
        <f t="shared" si="122"/>
        <v>293.33333333333616</v>
      </c>
      <c r="CY174" s="59">
        <f ca="1">AVERAGE(OFFSET($CX$3,0,0,'Données projet'!$E$13+1,1))-AVERAGE(OFFSET($H$3,0,0,'Données projet'!$E$13+1,1))</f>
        <v>282.08542131880455</v>
      </c>
      <c r="CZ174" s="59">
        <f t="shared" si="150"/>
        <v>174.27503468762325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41.521718434236497</v>
      </c>
      <c r="DG174" s="21">
        <f>EXP(-LN(2)/25)*DG173+(1-EXP(-LN(2)/25))/(LN(2)/25)*Calculateur!DB174*Calculateur!DD174*VLOOKUP('Données projet'!$B$13,Paramètres!$A$1:$I$89,3,0)*0.475*44/12</f>
        <v>17.11697659194537</v>
      </c>
      <c r="DH174" s="21">
        <f>EXP(-LN(2)/2)*DH173+(1-EXP(-LN(2)/2))/(LN(2)/2)*DB174*DE174*VLOOKUP('Données projet'!$B$13,Paramètres!$A$1:$I$89,3,0)*0.475*44/12</f>
        <v>3.5102070354675052E-19</v>
      </c>
      <c r="DI174" s="22">
        <f t="shared" si="175"/>
        <v>58.638695026181864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5.6843418860808015E-14</v>
      </c>
      <c r="DP174" s="17">
        <f>DO174*VLOOKUP('Données projet'!$B$14,Paramètres!$A$1:$I$89,3,0)*VLOOKUP('Données projet'!$B$14,Paramètres!$A$1:$I$89,5,0)</f>
        <v>4.6111381379887463E-14</v>
      </c>
      <c r="DQ174" s="13">
        <f t="shared" si="176"/>
        <v>7.5804141040779151E-13</v>
      </c>
      <c r="DR174" s="20">
        <f t="shared" si="177"/>
        <v>1.4005661123635408E-12</v>
      </c>
      <c r="DS174" s="59">
        <f t="shared" si="125"/>
        <v>293.33333333333474</v>
      </c>
      <c r="DT174" s="59">
        <f ca="1">AVERAGE(OFFSET($DS$3,0,0,'Données projet'!$E$14+1,1))-AVERAGE(OFFSET($H$3,0,0,'Données projet'!$E$14+1,1))</f>
        <v>235.31102883830971</v>
      </c>
      <c r="DU174" s="59">
        <f t="shared" si="152"/>
        <v>271.48630853790422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9.3518011889556671</v>
      </c>
      <c r="EB174" s="21">
        <f>EXP(-LN(2)/25)*EB173+(1-EXP(-LN(2)/25))/(LN(2)/25)*Calculateur!DW174*Calculateur!DY174*VLOOKUP('Données projet'!$B$14,Paramètres!$A$1:$I$89,3,0)*0.475*44/12</f>
        <v>6.2604914794495086</v>
      </c>
      <c r="EC174" s="21">
        <f>EXP(-LN(2)/2)*EC173+(1-EXP(-LN(2)/2))/(LN(2)/2)*DW174*DZ174*VLOOKUP('Données projet'!$B$14,Paramètres!$A$1:$I$89,3,0)*0.475*44/12</f>
        <v>4.2358396574363841E-19</v>
      </c>
      <c r="ED174" s="22">
        <f t="shared" si="178"/>
        <v>15.612292668405175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-1.2505552149377763E-12</v>
      </c>
      <c r="O175" s="13">
        <f>N175*VLOOKUP('Données projet'!$B$9,Paramètres!$A$1:$I$89,3,0)*VLOOKUP('Données projet'!$B$9,Paramètres!$A$1:$I$89,5,0)</f>
        <v>-6.9906036515021697E-13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446.28010102877403</v>
      </c>
      <c r="T175" s="59">
        <f t="shared" si="142"/>
        <v>445.84011537290456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0.6860238089438675</v>
      </c>
      <c r="AA175" s="21">
        <f>EXP(-LN(2)/25)*AA174+(1-EXP(-LN(2)/25))/(LN(2)/25)*Calculateur!V175*Calculateur!X175*VLOOKUP('Données projet'!$B$9,Paramètres!$A$1:$I$89,3,0)*0.475*44/12</f>
        <v>0.75600868268092791</v>
      </c>
      <c r="AB175" s="21">
        <f>EXP(-LN(2)/2)*AB174+(1-EXP(-LN(2)/2))/(LN(2)/2)*V175*Y175*VLOOKUP('Données projet'!$B$9,Paramètres!$A$1:$I$89,3,0)*0.475*44/12</f>
        <v>1.5446446813196584E-20</v>
      </c>
      <c r="AC175" s="22">
        <f t="shared" si="163"/>
        <v>1.4420324916247953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-5.3205440053716299E-14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252.98248842635206</v>
      </c>
      <c r="AO175" s="59">
        <f t="shared" si="144"/>
        <v>207.11938580878308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0.18830327938519009</v>
      </c>
      <c r="AV175" s="21">
        <f>EXP(-LN(2)/25)*AV174+(1-EXP(-LN(2)/25))/(LN(2)/25)*Calculateur!AQ175*Calculateur!AS175*VLOOKUP('Données projet'!$B$10,Paramètres!$A$1:$I$89,3,0)*0.475*44/12</f>
        <v>0.15322212701402207</v>
      </c>
      <c r="AW175" s="21">
        <f>EXP(-LN(2)/2)*AW174+(1-EXP(-LN(2)/2))/(LN(2)/2)*AQ175*AT175*VLOOKUP('Données projet'!$B$10,Paramètres!$A$1:$I$89,3,0)*0.475*44/12</f>
        <v>4.1640887110147636E-21</v>
      </c>
      <c r="AX175" s="21">
        <f t="shared" si="166"/>
        <v>0.34152540639921214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2.8421709430404007E-14</v>
      </c>
      <c r="BE175" s="13">
        <f>BD175*VLOOKUP('Données projet'!$B$11,Paramètres!$A$1:$I$89,3,0)*VLOOKUP('Données projet'!$B$11,Paramètres!$A$1:$I$89,5,0)</f>
        <v>1.8621904018800706E-14</v>
      </c>
      <c r="BF175" s="13">
        <f t="shared" si="167"/>
        <v>3.40208645124969E-13</v>
      </c>
      <c r="BG175" s="20">
        <f t="shared" si="168"/>
        <v>6.2496320642539887E-13</v>
      </c>
      <c r="BH175" s="59">
        <f t="shared" si="116"/>
        <v>293.33333333333394</v>
      </c>
      <c r="BI175" s="59">
        <f ca="1">AVERAGE(OFFSET($BH$3,0,0,'Données projet'!$E$11+1,1))-AVERAGE(OFFSET($H$3,0,0,'Données projet'!$E$11+1,1))</f>
        <v>114.23168847330004</v>
      </c>
      <c r="BJ175" s="59">
        <f t="shared" si="146"/>
        <v>42.34857998136755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2.8421709430404007E-14</v>
      </c>
      <c r="BZ175" s="13">
        <f>BY175*VLOOKUP('Données projet'!$B$12,Paramètres!$A$1:$I$89,3,0)*VLOOKUP('Données projet'!$B$12,Paramètres!$A$1:$I$89,5,0)</f>
        <v>2.7489477361086758E-14</v>
      </c>
      <c r="CA175" s="13">
        <f t="shared" si="170"/>
        <v>4.7995394886724981E-13</v>
      </c>
      <c r="CB175" s="20">
        <f t="shared" si="171"/>
        <v>8.8379730068101964E-13</v>
      </c>
      <c r="CC175" s="59">
        <f t="shared" si="119"/>
        <v>293.33333333333422</v>
      </c>
      <c r="CD175" s="59">
        <f ca="1">AVERAGE(OFFSET($CC$3,0,0,'Données projet'!$E$12+1,1))-AVERAGE(OFFSET($H$3,0,0,'Données projet'!$E$12+1,1))</f>
        <v>201.36664523637006</v>
      </c>
      <c r="CE175" s="59">
        <f t="shared" si="148"/>
        <v>79.394119001888555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4.1729588431919113</v>
      </c>
      <c r="CM175" s="21">
        <f>EXP(-LN(2)/2)*CM174+(1-EXP(-LN(2)/2))/(LN(2)/2)*CG175*CJ175*VLOOKUP('Données projet'!$B$12,Paramètres!$A$1:$I$89,3,0)*0.475*44/12</f>
        <v>1.6696469008511619E-19</v>
      </c>
      <c r="CN175" s="22">
        <f t="shared" si="172"/>
        <v>4.1729588431919113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1.1368683772161603E-13</v>
      </c>
      <c r="CU175" s="17">
        <f>CT175*VLOOKUP('Données projet'!$B$13,Paramètres!$A$1:$I$89,3,0)*VLOOKUP('Données projet'!$B$13,Paramètres!$A$1:$I$89,5,0)</f>
        <v>1.0286385077051818E-13</v>
      </c>
      <c r="CV175" s="13">
        <f t="shared" si="173"/>
        <v>1.5402366592183556E-12</v>
      </c>
      <c r="CW175" s="20">
        <f t="shared" si="174"/>
        <v>2.8617333882306215E-12</v>
      </c>
      <c r="CX175" s="59">
        <f t="shared" si="122"/>
        <v>293.33333333333616</v>
      </c>
      <c r="CY175" s="59">
        <f ca="1">AVERAGE(OFFSET($CX$3,0,0,'Données projet'!$E$13+1,1))-AVERAGE(OFFSET($H$3,0,0,'Données projet'!$E$13+1,1))</f>
        <v>282.08542131880455</v>
      </c>
      <c r="CZ175" s="59">
        <f t="shared" si="150"/>
        <v>174.27503468762325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40.707502861488656</v>
      </c>
      <c r="DG175" s="21">
        <f>EXP(-LN(2)/25)*DG174+(1-EXP(-LN(2)/25))/(LN(2)/25)*Calculateur!DB175*Calculateur!DD175*VLOOKUP('Données projet'!$B$13,Paramètres!$A$1:$I$89,3,0)*0.475*44/12</f>
        <v>16.648911966895948</v>
      </c>
      <c r="DH175" s="21">
        <f>EXP(-LN(2)/2)*DH174+(1-EXP(-LN(2)/2))/(LN(2)/2)*DB175*DE175*VLOOKUP('Données projet'!$B$13,Paramètres!$A$1:$I$89,3,0)*0.475*44/12</f>
        <v>2.4820911981478008E-19</v>
      </c>
      <c r="DI175" s="22">
        <f t="shared" si="175"/>
        <v>57.356414828384601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5.6843418860808015E-14</v>
      </c>
      <c r="DP175" s="17">
        <f>DO175*VLOOKUP('Données projet'!$B$14,Paramètres!$A$1:$I$89,3,0)*VLOOKUP('Données projet'!$B$14,Paramètres!$A$1:$I$89,5,0)</f>
        <v>4.6111381379887463E-14</v>
      </c>
      <c r="DQ175" s="13">
        <f t="shared" si="176"/>
        <v>7.5804141040779151E-13</v>
      </c>
      <c r="DR175" s="20">
        <f t="shared" si="177"/>
        <v>1.4005661123635408E-12</v>
      </c>
      <c r="DS175" s="59">
        <f t="shared" si="125"/>
        <v>293.33333333333474</v>
      </c>
      <c r="DT175" s="59">
        <f ca="1">AVERAGE(OFFSET($DS$3,0,0,'Données projet'!$E$14+1,1))-AVERAGE(OFFSET($H$3,0,0,'Données projet'!$E$14+1,1))</f>
        <v>235.31102883830971</v>
      </c>
      <c r="DU175" s="59">
        <f t="shared" si="152"/>
        <v>271.48630853790422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9.1684180716757453</v>
      </c>
      <c r="EB175" s="21">
        <f>EXP(-LN(2)/25)*EB174+(1-EXP(-LN(2)/25))/(LN(2)/25)*Calculateur!DW175*Calculateur!DY175*VLOOKUP('Données projet'!$B$14,Paramètres!$A$1:$I$89,3,0)*0.475*44/12</f>
        <v>6.0892980107190233</v>
      </c>
      <c r="EC175" s="21">
        <f>EXP(-LN(2)/2)*EC174+(1-EXP(-LN(2)/2))/(LN(2)/2)*DW175*DZ175*VLOOKUP('Données projet'!$B$14,Paramètres!$A$1:$I$89,3,0)*0.475*44/12</f>
        <v>2.9951909457921698E-19</v>
      </c>
      <c r="ED175" s="22">
        <f t="shared" si="178"/>
        <v>15.257716082394769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-1.2505552149377763E-12</v>
      </c>
      <c r="O176" s="13">
        <f>N176*VLOOKUP('Données projet'!$B$9,Paramètres!$A$1:$I$89,3,0)*VLOOKUP('Données projet'!$B$9,Paramètres!$A$1:$I$89,5,0)</f>
        <v>-6.9906036515021697E-13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446.28010102877403</v>
      </c>
      <c r="T176" s="59">
        <f t="shared" si="142"/>
        <v>445.84011537290456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0.67257130048368485</v>
      </c>
      <c r="AA176" s="21">
        <f>EXP(-LN(2)/25)*AA175+(1-EXP(-LN(2)/25))/(LN(2)/25)*Calculateur!V176*Calculateur!X176*VLOOKUP('Données projet'!$B$9,Paramètres!$A$1:$I$89,3,0)*0.475*44/12</f>
        <v>0.73533558549624922</v>
      </c>
      <c r="AB176" s="21">
        <f>EXP(-LN(2)/2)*AB175+(1-EXP(-LN(2)/2))/(LN(2)/2)*V176*Y176*VLOOKUP('Données projet'!$B$9,Paramètres!$A$1:$I$89,3,0)*0.475*44/12</f>
        <v>1.0922287286848641E-20</v>
      </c>
      <c r="AC176" s="22">
        <f t="shared" si="163"/>
        <v>1.407906885979934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-5.3205440053716299E-14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252.98248842635206</v>
      </c>
      <c r="AO176" s="59">
        <f t="shared" si="144"/>
        <v>207.11938580878308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0.18461076693010608</v>
      </c>
      <c r="AV176" s="21">
        <f>EXP(-LN(2)/25)*AV175+(1-EXP(-LN(2)/25))/(LN(2)/25)*Calculateur!AQ176*Calculateur!AS176*VLOOKUP('Données projet'!$B$10,Paramètres!$A$1:$I$89,3,0)*0.475*44/12</f>
        <v>0.14903225989322216</v>
      </c>
      <c r="AW176" s="21">
        <f>EXP(-LN(2)/2)*AW175+(1-EXP(-LN(2)/2))/(LN(2)/2)*AQ176*AT176*VLOOKUP('Données projet'!$B$10,Paramètres!$A$1:$I$89,3,0)*0.475*44/12</f>
        <v>2.9444553650208892E-21</v>
      </c>
      <c r="AX176" s="21">
        <f t="shared" si="166"/>
        <v>0.33364302682332825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2.8421709430404007E-14</v>
      </c>
      <c r="BE176" s="13">
        <f>BD176*VLOOKUP('Données projet'!$B$11,Paramètres!$A$1:$I$89,3,0)*VLOOKUP('Données projet'!$B$11,Paramètres!$A$1:$I$89,5,0)</f>
        <v>1.8621904018800706E-14</v>
      </c>
      <c r="BF176" s="13">
        <f t="shared" si="167"/>
        <v>3.40208645124969E-13</v>
      </c>
      <c r="BG176" s="20">
        <f t="shared" si="168"/>
        <v>6.2496320642539887E-13</v>
      </c>
      <c r="BH176" s="59">
        <f t="shared" si="116"/>
        <v>293.33333333333394</v>
      </c>
      <c r="BI176" s="59">
        <f ca="1">AVERAGE(OFFSET($BH$3,0,0,'Données projet'!$E$11+1,1))-AVERAGE(OFFSET($H$3,0,0,'Données projet'!$E$11+1,1))</f>
        <v>114.23168847330004</v>
      </c>
      <c r="BJ176" s="59">
        <f t="shared" si="146"/>
        <v>42.34857998136755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2.8421709430404007E-14</v>
      </c>
      <c r="BZ176" s="13">
        <f>BY176*VLOOKUP('Données projet'!$B$12,Paramètres!$A$1:$I$89,3,0)*VLOOKUP('Données projet'!$B$12,Paramètres!$A$1:$I$89,5,0)</f>
        <v>2.7489477361086758E-14</v>
      </c>
      <c r="CA176" s="13">
        <f t="shared" si="170"/>
        <v>4.7995394886724981E-13</v>
      </c>
      <c r="CB176" s="20">
        <f t="shared" si="171"/>
        <v>8.8379730068101964E-13</v>
      </c>
      <c r="CC176" s="59">
        <f t="shared" si="119"/>
        <v>293.33333333333422</v>
      </c>
      <c r="CD176" s="59">
        <f ca="1">AVERAGE(OFFSET($CC$3,0,0,'Données projet'!$E$12+1,1))-AVERAGE(OFFSET($H$3,0,0,'Données projet'!$E$12+1,1))</f>
        <v>201.36664523637006</v>
      </c>
      <c r="CE176" s="59">
        <f t="shared" si="148"/>
        <v>79.394119001888555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4.0588490641784603</v>
      </c>
      <c r="CM176" s="21">
        <f>EXP(-LN(2)/2)*CM175+(1-EXP(-LN(2)/2))/(LN(2)/2)*CG176*CJ176*VLOOKUP('Données projet'!$B$12,Paramètres!$A$1:$I$89,3,0)*0.475*44/12</f>
        <v>1.1806186457789597E-19</v>
      </c>
      <c r="CN176" s="22">
        <f t="shared" si="172"/>
        <v>4.0588490641784603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1.1368683772161603E-13</v>
      </c>
      <c r="CU176" s="17">
        <f>CT176*VLOOKUP('Données projet'!$B$13,Paramètres!$A$1:$I$89,3,0)*VLOOKUP('Données projet'!$B$13,Paramètres!$A$1:$I$89,5,0)</f>
        <v>1.0286385077051818E-13</v>
      </c>
      <c r="CV176" s="13">
        <f t="shared" si="173"/>
        <v>1.5402366592183556E-12</v>
      </c>
      <c r="CW176" s="20">
        <f t="shared" si="174"/>
        <v>2.8617333882306215E-12</v>
      </c>
      <c r="CX176" s="59">
        <f t="shared" si="122"/>
        <v>293.33333333333616</v>
      </c>
      <c r="CY176" s="59">
        <f ca="1">AVERAGE(OFFSET($CX$3,0,0,'Données projet'!$E$13+1,1))-AVERAGE(OFFSET($H$3,0,0,'Données projet'!$E$13+1,1))</f>
        <v>282.08542131880455</v>
      </c>
      <c r="CZ176" s="59">
        <f t="shared" si="150"/>
        <v>174.27503468762325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39.909253559499938</v>
      </c>
      <c r="DG176" s="21">
        <f>EXP(-LN(2)/25)*DG175+(1-EXP(-LN(2)/25))/(LN(2)/25)*Calculateur!DB176*Calculateur!DD176*VLOOKUP('Données projet'!$B$13,Paramètres!$A$1:$I$89,3,0)*0.475*44/12</f>
        <v>16.193646593632948</v>
      </c>
      <c r="DH176" s="21">
        <f>EXP(-LN(2)/2)*DH175+(1-EXP(-LN(2)/2))/(LN(2)/2)*DB176*DE176*VLOOKUP('Données projet'!$B$13,Paramètres!$A$1:$I$89,3,0)*0.475*44/12</f>
        <v>1.7551035177337526E-19</v>
      </c>
      <c r="DI176" s="22">
        <f t="shared" si="175"/>
        <v>56.102900153132886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5.6843418860808015E-14</v>
      </c>
      <c r="DP176" s="17">
        <f>DO176*VLOOKUP('Données projet'!$B$14,Paramètres!$A$1:$I$89,3,0)*VLOOKUP('Données projet'!$B$14,Paramètres!$A$1:$I$89,5,0)</f>
        <v>4.6111381379887463E-14</v>
      </c>
      <c r="DQ176" s="13">
        <f t="shared" si="176"/>
        <v>7.5804141040779151E-13</v>
      </c>
      <c r="DR176" s="20">
        <f t="shared" si="177"/>
        <v>1.4005661123635408E-12</v>
      </c>
      <c r="DS176" s="59">
        <f t="shared" si="125"/>
        <v>293.33333333333474</v>
      </c>
      <c r="DT176" s="59">
        <f ca="1">AVERAGE(OFFSET($DS$3,0,0,'Données projet'!$E$14+1,1))-AVERAGE(OFFSET($H$3,0,0,'Données projet'!$E$14+1,1))</f>
        <v>235.31102883830971</v>
      </c>
      <c r="DU176" s="59">
        <f t="shared" si="152"/>
        <v>271.48630853790422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8.9886309854730246</v>
      </c>
      <c r="EB176" s="21">
        <f>EXP(-LN(2)/25)*EB175+(1-EXP(-LN(2)/25))/(LN(2)/25)*Calculateur!DW176*Calculateur!DY176*VLOOKUP('Données projet'!$B$14,Paramètres!$A$1:$I$89,3,0)*0.475*44/12</f>
        <v>5.9227858363936461</v>
      </c>
      <c r="EC176" s="21">
        <f>EXP(-LN(2)/2)*EC175+(1-EXP(-LN(2)/2))/(LN(2)/2)*DW176*DZ176*VLOOKUP('Données projet'!$B$14,Paramètres!$A$1:$I$89,3,0)*0.475*44/12</f>
        <v>2.1179198287181923E-19</v>
      </c>
      <c r="ED176" s="22">
        <f t="shared" si="178"/>
        <v>14.91141682186667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-1.2505552149377763E-12</v>
      </c>
      <c r="O177" s="13">
        <f>N177*VLOOKUP('Données projet'!$B$9,Paramètres!$A$1:$I$89,3,0)*VLOOKUP('Données projet'!$B$9,Paramètres!$A$1:$I$89,5,0)</f>
        <v>-6.9906036515021697E-13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446.28010102877403</v>
      </c>
      <c r="T177" s="59">
        <f t="shared" si="142"/>
        <v>445.84011537290456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0.65938258750918644</v>
      </c>
      <c r="AA177" s="21">
        <f>EXP(-LN(2)/25)*AA176+(1-EXP(-LN(2)/25))/(LN(2)/25)*Calculateur!V177*Calculateur!X177*VLOOKUP('Données projet'!$B$9,Paramètres!$A$1:$I$89,3,0)*0.475*44/12</f>
        <v>0.71522779524123647</v>
      </c>
      <c r="AB177" s="21">
        <f>EXP(-LN(2)/2)*AB176+(1-EXP(-LN(2)/2))/(LN(2)/2)*V177*Y177*VLOOKUP('Données projet'!$B$9,Paramètres!$A$1:$I$89,3,0)*0.475*44/12</f>
        <v>7.7232234065982919E-21</v>
      </c>
      <c r="AC177" s="22">
        <f t="shared" si="163"/>
        <v>1.374610382750423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-5.3205440053716299E-14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252.98248842635206</v>
      </c>
      <c r="AO177" s="59">
        <f t="shared" si="144"/>
        <v>207.11938580878308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0.18099066239205605</v>
      </c>
      <c r="AV177" s="21">
        <f>EXP(-LN(2)/25)*AV176+(1-EXP(-LN(2)/25))/(LN(2)/25)*Calculateur!AQ177*Calculateur!AS177*VLOOKUP('Données projet'!$B$10,Paramètres!$A$1:$I$89,3,0)*0.475*44/12</f>
        <v>0.14495696490917606</v>
      </c>
      <c r="AW177" s="21">
        <f>EXP(-LN(2)/2)*AW176+(1-EXP(-LN(2)/2))/(LN(2)/2)*AQ177*AT177*VLOOKUP('Données projet'!$B$10,Paramètres!$A$1:$I$89,3,0)*0.475*44/12</f>
        <v>2.0820443555073818E-21</v>
      </c>
      <c r="AX177" s="21">
        <f t="shared" si="166"/>
        <v>0.32594762730123211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2.8421709430404007E-14</v>
      </c>
      <c r="BE177" s="13">
        <f>BD177*VLOOKUP('Données projet'!$B$11,Paramètres!$A$1:$I$89,3,0)*VLOOKUP('Données projet'!$B$11,Paramètres!$A$1:$I$89,5,0)</f>
        <v>1.8621904018800706E-14</v>
      </c>
      <c r="BF177" s="13">
        <f t="shared" si="167"/>
        <v>3.40208645124969E-13</v>
      </c>
      <c r="BG177" s="20">
        <f t="shared" si="168"/>
        <v>6.2496320642539887E-13</v>
      </c>
      <c r="BH177" s="59">
        <f t="shared" si="116"/>
        <v>293.33333333333394</v>
      </c>
      <c r="BI177" s="59">
        <f ca="1">AVERAGE(OFFSET($BH$3,0,0,'Données projet'!$E$11+1,1))-AVERAGE(OFFSET($H$3,0,0,'Données projet'!$E$11+1,1))</f>
        <v>114.23168847330004</v>
      </c>
      <c r="BJ177" s="59">
        <f t="shared" si="146"/>
        <v>42.34857998136755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2.8421709430404007E-14</v>
      </c>
      <c r="BZ177" s="13">
        <f>BY177*VLOOKUP('Données projet'!$B$12,Paramètres!$A$1:$I$89,3,0)*VLOOKUP('Données projet'!$B$12,Paramètres!$A$1:$I$89,5,0)</f>
        <v>2.7489477361086758E-14</v>
      </c>
      <c r="CA177" s="13">
        <f t="shared" si="170"/>
        <v>4.7995394886724981E-13</v>
      </c>
      <c r="CB177" s="20">
        <f t="shared" si="171"/>
        <v>8.8379730068101964E-13</v>
      </c>
      <c r="CC177" s="59">
        <f t="shared" si="119"/>
        <v>293.33333333333422</v>
      </c>
      <c r="CD177" s="59">
        <f ca="1">AVERAGE(OFFSET($CC$3,0,0,'Données projet'!$E$12+1,1))-AVERAGE(OFFSET($H$3,0,0,'Données projet'!$E$12+1,1))</f>
        <v>201.36664523637006</v>
      </c>
      <c r="CE177" s="59">
        <f t="shared" si="148"/>
        <v>79.394119001888555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3.9478596230729046</v>
      </c>
      <c r="CM177" s="21">
        <f>EXP(-LN(2)/2)*CM176+(1-EXP(-LN(2)/2))/(LN(2)/2)*CG177*CJ177*VLOOKUP('Données projet'!$B$12,Paramètres!$A$1:$I$89,3,0)*0.475*44/12</f>
        <v>8.3482345042558095E-20</v>
      </c>
      <c r="CN177" s="22">
        <f t="shared" si="172"/>
        <v>3.9478596230729046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1.1368683772161603E-13</v>
      </c>
      <c r="CU177" s="17">
        <f>CT177*VLOOKUP('Données projet'!$B$13,Paramètres!$A$1:$I$89,3,0)*VLOOKUP('Données projet'!$B$13,Paramètres!$A$1:$I$89,5,0)</f>
        <v>1.0286385077051818E-13</v>
      </c>
      <c r="CV177" s="13">
        <f t="shared" si="173"/>
        <v>1.5402366592183556E-12</v>
      </c>
      <c r="CW177" s="20">
        <f t="shared" si="174"/>
        <v>2.8617333882306215E-12</v>
      </c>
      <c r="CX177" s="59">
        <f t="shared" si="122"/>
        <v>293.33333333333616</v>
      </c>
      <c r="CY177" s="59">
        <f ca="1">AVERAGE(OFFSET($CX$3,0,0,'Données projet'!$E$13+1,1))-AVERAGE(OFFSET($H$3,0,0,'Données projet'!$E$13+1,1))</f>
        <v>282.08542131880455</v>
      </c>
      <c r="CZ177" s="59">
        <f t="shared" si="150"/>
        <v>174.27503468762325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39.126657439439221</v>
      </c>
      <c r="DG177" s="21">
        <f>EXP(-LN(2)/25)*DG176+(1-EXP(-LN(2)/25))/(LN(2)/25)*Calculateur!DB177*Calculateur!DD177*VLOOKUP('Données projet'!$B$13,Paramètres!$A$1:$I$89,3,0)*0.475*44/12</f>
        <v>15.750830475943193</v>
      </c>
      <c r="DH177" s="21">
        <f>EXP(-LN(2)/2)*DH176+(1-EXP(-LN(2)/2))/(LN(2)/2)*DB177*DE177*VLOOKUP('Données projet'!$B$13,Paramètres!$A$1:$I$89,3,0)*0.475*44/12</f>
        <v>1.2410455990739004E-19</v>
      </c>
      <c r="DI177" s="22">
        <f t="shared" si="175"/>
        <v>54.877487915382417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5.6843418860808015E-14</v>
      </c>
      <c r="DP177" s="17">
        <f>DO177*VLOOKUP('Données projet'!$B$14,Paramètres!$A$1:$I$89,3,0)*VLOOKUP('Données projet'!$B$14,Paramètres!$A$1:$I$89,5,0)</f>
        <v>4.6111381379887463E-14</v>
      </c>
      <c r="DQ177" s="13">
        <f t="shared" si="176"/>
        <v>7.5804141040779151E-13</v>
      </c>
      <c r="DR177" s="20">
        <f t="shared" si="177"/>
        <v>1.4005661123635408E-12</v>
      </c>
      <c r="DS177" s="59">
        <f t="shared" si="125"/>
        <v>293.33333333333474</v>
      </c>
      <c r="DT177" s="59">
        <f ca="1">AVERAGE(OFFSET($DS$3,0,0,'Données projet'!$E$14+1,1))-AVERAGE(OFFSET($H$3,0,0,'Données projet'!$E$14+1,1))</f>
        <v>235.31102883830971</v>
      </c>
      <c r="DU177" s="59">
        <f t="shared" si="152"/>
        <v>271.48630853790422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8.8123694143714459</v>
      </c>
      <c r="EB177" s="21">
        <f>EXP(-LN(2)/25)*EB176+(1-EXP(-LN(2)/25))/(LN(2)/25)*Calculateur!DW177*Calculateur!DY177*VLOOKUP('Données projet'!$B$14,Paramètres!$A$1:$I$89,3,0)*0.475*44/12</f>
        <v>5.760826946231691</v>
      </c>
      <c r="EC177" s="21">
        <f>EXP(-LN(2)/2)*EC176+(1-EXP(-LN(2)/2))/(LN(2)/2)*DW177*DZ177*VLOOKUP('Données projet'!$B$14,Paramètres!$A$1:$I$89,3,0)*0.475*44/12</f>
        <v>1.4975954728960851E-19</v>
      </c>
      <c r="ED177" s="22">
        <f t="shared" si="178"/>
        <v>14.573196360603138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-1.2505552149377763E-12</v>
      </c>
      <c r="O178" s="13">
        <f>N178*VLOOKUP('Données projet'!$B$9,Paramètres!$A$1:$I$89,3,0)*VLOOKUP('Données projet'!$B$9,Paramètres!$A$1:$I$89,5,0)</f>
        <v>-6.9906036515021697E-13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446.28010102877403</v>
      </c>
      <c r="T178" s="59">
        <f t="shared" si="142"/>
        <v>445.84011537290456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0.64645249715179731</v>
      </c>
      <c r="AA178" s="21">
        <f>EXP(-LN(2)/25)*AA177+(1-EXP(-LN(2)/25))/(LN(2)/25)*Calculateur!V178*Calculateur!X178*VLOOKUP('Données projet'!$B$9,Paramètres!$A$1:$I$89,3,0)*0.475*44/12</f>
        <v>0.69566985356816979</v>
      </c>
      <c r="AB178" s="21">
        <f>EXP(-LN(2)/2)*AB177+(1-EXP(-LN(2)/2))/(LN(2)/2)*V178*Y178*VLOOKUP('Données projet'!$B$9,Paramètres!$A$1:$I$89,3,0)*0.475*44/12</f>
        <v>5.4611436434243206E-21</v>
      </c>
      <c r="AC178" s="22">
        <f t="shared" si="163"/>
        <v>1.3421223507199671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-5.3205440053716299E-14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252.98248842635206</v>
      </c>
      <c r="AO178" s="59">
        <f t="shared" si="144"/>
        <v>207.11938580878308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0.17744154589595146</v>
      </c>
      <c r="AV178" s="21">
        <f>EXP(-LN(2)/25)*AV177+(1-EXP(-LN(2)/25))/(LN(2)/25)*Calculateur!AQ178*Calculateur!AS178*VLOOKUP('Données projet'!$B$10,Paramètres!$A$1:$I$89,3,0)*0.475*44/12</f>
        <v>0.14099310908077917</v>
      </c>
      <c r="AW178" s="21">
        <f>EXP(-LN(2)/2)*AW177+(1-EXP(-LN(2)/2))/(LN(2)/2)*AQ178*AT178*VLOOKUP('Données projet'!$B$10,Paramètres!$A$1:$I$89,3,0)*0.475*44/12</f>
        <v>1.4722276825104446E-21</v>
      </c>
      <c r="AX178" s="21">
        <f t="shared" si="166"/>
        <v>0.31843465497673062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2.8421709430404007E-14</v>
      </c>
      <c r="BE178" s="13">
        <f>BD178*VLOOKUP('Données projet'!$B$11,Paramètres!$A$1:$I$89,3,0)*VLOOKUP('Données projet'!$B$11,Paramètres!$A$1:$I$89,5,0)</f>
        <v>1.8621904018800706E-14</v>
      </c>
      <c r="BF178" s="13">
        <f t="shared" si="167"/>
        <v>3.40208645124969E-13</v>
      </c>
      <c r="BG178" s="20">
        <f t="shared" si="168"/>
        <v>6.2496320642539887E-13</v>
      </c>
      <c r="BH178" s="59">
        <f t="shared" si="116"/>
        <v>293.33333333333394</v>
      </c>
      <c r="BI178" s="59">
        <f ca="1">AVERAGE(OFFSET($BH$3,0,0,'Données projet'!$E$11+1,1))-AVERAGE(OFFSET($H$3,0,0,'Données projet'!$E$11+1,1))</f>
        <v>114.23168847330004</v>
      </c>
      <c r="BJ178" s="59">
        <f t="shared" si="146"/>
        <v>42.34857998136755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2.8421709430404007E-14</v>
      </c>
      <c r="BZ178" s="13">
        <f>BY178*VLOOKUP('Données projet'!$B$12,Paramètres!$A$1:$I$89,3,0)*VLOOKUP('Données projet'!$B$12,Paramètres!$A$1:$I$89,5,0)</f>
        <v>2.7489477361086758E-14</v>
      </c>
      <c r="CA178" s="13">
        <f t="shared" si="170"/>
        <v>4.7995394886724981E-13</v>
      </c>
      <c r="CB178" s="20">
        <f t="shared" si="171"/>
        <v>8.8379730068101964E-13</v>
      </c>
      <c r="CC178" s="59">
        <f t="shared" si="119"/>
        <v>293.33333333333422</v>
      </c>
      <c r="CD178" s="59">
        <f ca="1">AVERAGE(OFFSET($CC$3,0,0,'Données projet'!$E$12+1,1))-AVERAGE(OFFSET($H$3,0,0,'Données projet'!$E$12+1,1))</f>
        <v>201.36664523637006</v>
      </c>
      <c r="CE178" s="59">
        <f t="shared" si="148"/>
        <v>79.394119001888555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3.8399051940710613</v>
      </c>
      <c r="CM178" s="21">
        <f>EXP(-LN(2)/2)*CM177+(1-EXP(-LN(2)/2))/(LN(2)/2)*CG178*CJ178*VLOOKUP('Données projet'!$B$12,Paramètres!$A$1:$I$89,3,0)*0.475*44/12</f>
        <v>5.9030932288947986E-20</v>
      </c>
      <c r="CN178" s="22">
        <f t="shared" si="172"/>
        <v>3.8399051940710613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1.1368683772161603E-13</v>
      </c>
      <c r="CU178" s="17">
        <f>CT178*VLOOKUP('Données projet'!$B$13,Paramètres!$A$1:$I$89,3,0)*VLOOKUP('Données projet'!$B$13,Paramètres!$A$1:$I$89,5,0)</f>
        <v>1.0286385077051818E-13</v>
      </c>
      <c r="CV178" s="13">
        <f t="shared" si="173"/>
        <v>1.5402366592183556E-12</v>
      </c>
      <c r="CW178" s="20">
        <f t="shared" si="174"/>
        <v>2.8617333882306215E-12</v>
      </c>
      <c r="CX178" s="59">
        <f t="shared" si="122"/>
        <v>293.33333333333616</v>
      </c>
      <c r="CY178" s="59">
        <f ca="1">AVERAGE(OFFSET($CX$3,0,0,'Données projet'!$E$13+1,1))-AVERAGE(OFFSET($H$3,0,0,'Données projet'!$E$13+1,1))</f>
        <v>282.08542131880455</v>
      </c>
      <c r="CZ178" s="59">
        <f t="shared" si="150"/>
        <v>174.27503468762325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38.359407551956394</v>
      </c>
      <c r="DG178" s="21">
        <f>EXP(-LN(2)/25)*DG177+(1-EXP(-LN(2)/25))/(LN(2)/25)*Calculateur!DB178*Calculateur!DD178*VLOOKUP('Données projet'!$B$13,Paramètres!$A$1:$I$89,3,0)*0.475*44/12</f>
        <v>15.32012318827835</v>
      </c>
      <c r="DH178" s="21">
        <f>EXP(-LN(2)/2)*DH177+(1-EXP(-LN(2)/2))/(LN(2)/2)*DB178*DE178*VLOOKUP('Données projet'!$B$13,Paramètres!$A$1:$I$89,3,0)*0.475*44/12</f>
        <v>8.775517588668763E-20</v>
      </c>
      <c r="DI178" s="22">
        <f t="shared" si="175"/>
        <v>53.679530740234746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5.6843418860808015E-14</v>
      </c>
      <c r="DP178" s="17">
        <f>DO178*VLOOKUP('Données projet'!$B$14,Paramètres!$A$1:$I$89,3,0)*VLOOKUP('Données projet'!$B$14,Paramètres!$A$1:$I$89,5,0)</f>
        <v>4.6111381379887463E-14</v>
      </c>
      <c r="DQ178" s="13">
        <f t="shared" si="176"/>
        <v>7.5804141040779151E-13</v>
      </c>
      <c r="DR178" s="20">
        <f t="shared" si="177"/>
        <v>1.4005661123635408E-12</v>
      </c>
      <c r="DS178" s="59">
        <f t="shared" si="125"/>
        <v>293.33333333333474</v>
      </c>
      <c r="DT178" s="59">
        <f ca="1">AVERAGE(OFFSET($DS$3,0,0,'Données projet'!$E$14+1,1))-AVERAGE(OFFSET($H$3,0,0,'Données projet'!$E$14+1,1))</f>
        <v>235.31102883830971</v>
      </c>
      <c r="DU178" s="59">
        <f t="shared" si="152"/>
        <v>271.48630853790422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8.6395642251702256</v>
      </c>
      <c r="EB178" s="21">
        <f>EXP(-LN(2)/25)*EB177+(1-EXP(-LN(2)/25))/(LN(2)/25)*Calculateur!DW178*Calculateur!DY178*VLOOKUP('Données projet'!$B$14,Paramètres!$A$1:$I$89,3,0)*0.475*44/12</f>
        <v>5.6032968304382624</v>
      </c>
      <c r="EC178" s="21">
        <f>EXP(-LN(2)/2)*EC177+(1-EXP(-LN(2)/2))/(LN(2)/2)*DW178*DZ178*VLOOKUP('Données projet'!$B$14,Paramètres!$A$1:$I$89,3,0)*0.475*44/12</f>
        <v>1.0589599143590963E-19</v>
      </c>
      <c r="ED178" s="22">
        <f t="shared" si="178"/>
        <v>14.242861055608488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-1.2505552149377763E-12</v>
      </c>
      <c r="O179" s="13">
        <f>N179*VLOOKUP('Données projet'!$B$9,Paramètres!$A$1:$I$89,3,0)*VLOOKUP('Données projet'!$B$9,Paramètres!$A$1:$I$89,5,0)</f>
        <v>-6.9906036515021697E-13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446.28010102877403</v>
      </c>
      <c r="T179" s="59">
        <f t="shared" si="142"/>
        <v>445.84011537290456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0.63377595797974018</v>
      </c>
      <c r="AA179" s="21">
        <f>EXP(-LN(2)/25)*AA178+(1-EXP(-LN(2)/25))/(LN(2)/25)*Calculateur!V179*Calculateur!X179*VLOOKUP('Données projet'!$B$9,Paramètres!$A$1:$I$89,3,0)*0.475*44/12</f>
        <v>0.67664672483866062</v>
      </c>
      <c r="AB179" s="21">
        <f>EXP(-LN(2)/2)*AB178+(1-EXP(-LN(2)/2))/(LN(2)/2)*V179*Y179*VLOOKUP('Données projet'!$B$9,Paramètres!$A$1:$I$89,3,0)*0.475*44/12</f>
        <v>3.861611703299146E-21</v>
      </c>
      <c r="AC179" s="22">
        <f t="shared" si="163"/>
        <v>1.3104226828184009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-5.3205440053716299E-14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252.98248842635206</v>
      </c>
      <c r="AO179" s="59">
        <f t="shared" si="144"/>
        <v>207.11938580878308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0.17396202540958816</v>
      </c>
      <c r="AV179" s="21">
        <f>EXP(-LN(2)/25)*AV178+(1-EXP(-LN(2)/25))/(LN(2)/25)*Calculateur!AQ179*Calculateur!AS179*VLOOKUP('Données projet'!$B$10,Paramètres!$A$1:$I$89,3,0)*0.475*44/12</f>
        <v>0.13713764509845991</v>
      </c>
      <c r="AW179" s="21">
        <f>EXP(-LN(2)/2)*AW178+(1-EXP(-LN(2)/2))/(LN(2)/2)*AQ179*AT179*VLOOKUP('Données projet'!$B$10,Paramètres!$A$1:$I$89,3,0)*0.475*44/12</f>
        <v>1.0410221777536909E-21</v>
      </c>
      <c r="AX179" s="21">
        <f t="shared" si="166"/>
        <v>0.3110996705080481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2.8421709430404007E-14</v>
      </c>
      <c r="BE179" s="13">
        <f>BD179*VLOOKUP('Données projet'!$B$11,Paramètres!$A$1:$I$89,3,0)*VLOOKUP('Données projet'!$B$11,Paramètres!$A$1:$I$89,5,0)</f>
        <v>1.8621904018800706E-14</v>
      </c>
      <c r="BF179" s="13">
        <f t="shared" si="167"/>
        <v>3.40208645124969E-13</v>
      </c>
      <c r="BG179" s="20">
        <f t="shared" si="168"/>
        <v>6.2496320642539887E-13</v>
      </c>
      <c r="BH179" s="59">
        <f t="shared" si="116"/>
        <v>293.33333333333394</v>
      </c>
      <c r="BI179" s="59">
        <f ca="1">AVERAGE(OFFSET($BH$3,0,0,'Données projet'!$E$11+1,1))-AVERAGE(OFFSET($H$3,0,0,'Données projet'!$E$11+1,1))</f>
        <v>114.23168847330004</v>
      </c>
      <c r="BJ179" s="59">
        <f t="shared" si="146"/>
        <v>42.34857998136755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2.8421709430404007E-14</v>
      </c>
      <c r="BZ179" s="13">
        <f>BY179*VLOOKUP('Données projet'!$B$12,Paramètres!$A$1:$I$89,3,0)*VLOOKUP('Données projet'!$B$12,Paramètres!$A$1:$I$89,5,0)</f>
        <v>2.7489477361086758E-14</v>
      </c>
      <c r="CA179" s="13">
        <f t="shared" si="170"/>
        <v>4.7995394886724981E-13</v>
      </c>
      <c r="CB179" s="20">
        <f t="shared" si="171"/>
        <v>8.8379730068101964E-13</v>
      </c>
      <c r="CC179" s="59">
        <f t="shared" si="119"/>
        <v>293.33333333333422</v>
      </c>
      <c r="CD179" s="59">
        <f ca="1">AVERAGE(OFFSET($CC$3,0,0,'Données projet'!$E$12+1,1))-AVERAGE(OFFSET($H$3,0,0,'Données projet'!$E$12+1,1))</f>
        <v>201.36664523637006</v>
      </c>
      <c r="CE179" s="59">
        <f t="shared" si="148"/>
        <v>79.394119001888555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3.7349027846073501</v>
      </c>
      <c r="CM179" s="21">
        <f>EXP(-LN(2)/2)*CM178+(1-EXP(-LN(2)/2))/(LN(2)/2)*CG179*CJ179*VLOOKUP('Données projet'!$B$12,Paramètres!$A$1:$I$89,3,0)*0.475*44/12</f>
        <v>4.1741172521279047E-20</v>
      </c>
      <c r="CN179" s="22">
        <f t="shared" si="172"/>
        <v>3.7349027846073501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1.1368683772161603E-13</v>
      </c>
      <c r="CU179" s="17">
        <f>CT179*VLOOKUP('Données projet'!$B$13,Paramètres!$A$1:$I$89,3,0)*VLOOKUP('Données projet'!$B$13,Paramètres!$A$1:$I$89,5,0)</f>
        <v>1.0286385077051818E-13</v>
      </c>
      <c r="CV179" s="13">
        <f t="shared" si="173"/>
        <v>1.5402366592183556E-12</v>
      </c>
      <c r="CW179" s="20">
        <f t="shared" si="174"/>
        <v>2.8617333882306215E-12</v>
      </c>
      <c r="CX179" s="59">
        <f t="shared" si="122"/>
        <v>293.33333333333616</v>
      </c>
      <c r="CY179" s="59">
        <f ca="1">AVERAGE(OFFSET($CX$3,0,0,'Données projet'!$E$13+1,1))-AVERAGE(OFFSET($H$3,0,0,'Données projet'!$E$13+1,1))</f>
        <v>282.08542131880455</v>
      </c>
      <c r="CZ179" s="59">
        <f t="shared" si="150"/>
        <v>174.27503468762325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37.607202966790879</v>
      </c>
      <c r="DG179" s="21">
        <f>EXP(-LN(2)/25)*DG178+(1-EXP(-LN(2)/25))/(LN(2)/25)*Calculateur!DB179*Calculateur!DD179*VLOOKUP('Données projet'!$B$13,Paramètres!$A$1:$I$89,3,0)*0.475*44/12</f>
        <v>14.901193614044615</v>
      </c>
      <c r="DH179" s="21">
        <f>EXP(-LN(2)/2)*DH178+(1-EXP(-LN(2)/2))/(LN(2)/2)*DB179*DE179*VLOOKUP('Données projet'!$B$13,Paramètres!$A$1:$I$89,3,0)*0.475*44/12</f>
        <v>6.205227995369502E-20</v>
      </c>
      <c r="DI179" s="22">
        <f t="shared" si="175"/>
        <v>52.508396580835495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5.6843418860808015E-14</v>
      </c>
      <c r="DP179" s="17">
        <f>DO179*VLOOKUP('Données projet'!$B$14,Paramètres!$A$1:$I$89,3,0)*VLOOKUP('Données projet'!$B$14,Paramètres!$A$1:$I$89,5,0)</f>
        <v>4.6111381379887463E-14</v>
      </c>
      <c r="DQ179" s="13">
        <f t="shared" si="176"/>
        <v>7.5804141040779151E-13</v>
      </c>
      <c r="DR179" s="20">
        <f t="shared" si="177"/>
        <v>1.4005661123635408E-12</v>
      </c>
      <c r="DS179" s="59">
        <f t="shared" si="125"/>
        <v>293.33333333333474</v>
      </c>
      <c r="DT179" s="59">
        <f ca="1">AVERAGE(OFFSET($DS$3,0,0,'Données projet'!$E$14+1,1))-AVERAGE(OFFSET($H$3,0,0,'Données projet'!$E$14+1,1))</f>
        <v>235.31102883830971</v>
      </c>
      <c r="DU179" s="59">
        <f t="shared" si="152"/>
        <v>271.48630853790422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8.4701476403284843</v>
      </c>
      <c r="EB179" s="21">
        <f>EXP(-LN(2)/25)*EB178+(1-EXP(-LN(2)/25))/(LN(2)/25)*Calculateur!DW179*Calculateur!DY179*VLOOKUP('Données projet'!$B$14,Paramètres!$A$1:$I$89,3,0)*0.475*44/12</f>
        <v>5.4500743839453545</v>
      </c>
      <c r="EC179" s="21">
        <f>EXP(-LN(2)/2)*EC178+(1-EXP(-LN(2)/2))/(LN(2)/2)*DW179*DZ179*VLOOKUP('Données projet'!$B$14,Paramètres!$A$1:$I$89,3,0)*0.475*44/12</f>
        <v>7.4879773644804269E-20</v>
      </c>
      <c r="ED179" s="22">
        <f t="shared" si="178"/>
        <v>13.920222024273839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-1.2505552149377763E-12</v>
      </c>
      <c r="O180" s="13">
        <f>N180*VLOOKUP('Données projet'!$B$9,Paramètres!$A$1:$I$89,3,0)*VLOOKUP('Données projet'!$B$9,Paramètres!$A$1:$I$89,5,0)</f>
        <v>-6.9906036515021697E-13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446.28010102877403</v>
      </c>
      <c r="T180" s="59">
        <f t="shared" si="142"/>
        <v>445.84011537290456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0.62134799800892171</v>
      </c>
      <c r="AA180" s="21">
        <f>EXP(-LN(2)/25)*AA179+(1-EXP(-LN(2)/25))/(LN(2)/25)*Calculateur!V180*Calculateur!X180*VLOOKUP('Données projet'!$B$9,Paramètres!$A$1:$I$89,3,0)*0.475*44/12</f>
        <v>0.65814378456464273</v>
      </c>
      <c r="AB180" s="21">
        <f>EXP(-LN(2)/2)*AB179+(1-EXP(-LN(2)/2))/(LN(2)/2)*V180*Y180*VLOOKUP('Données projet'!$B$9,Paramètres!$A$1:$I$89,3,0)*0.475*44/12</f>
        <v>2.7305718217121603E-21</v>
      </c>
      <c r="AC180" s="22">
        <f t="shared" si="163"/>
        <v>1.2794917825735643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-5.3205440053716299E-14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252.98248842635206</v>
      </c>
      <c r="AO180" s="59">
        <f t="shared" si="144"/>
        <v>207.11938580878308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0.1705507361976645</v>
      </c>
      <c r="AV180" s="21">
        <f>EXP(-LN(2)/25)*AV179+(1-EXP(-LN(2)/25))/(LN(2)/25)*Calculateur!AQ180*Calculateur!AS180*VLOOKUP('Données projet'!$B$10,Paramètres!$A$1:$I$89,3,0)*0.475*44/12</f>
        <v>0.13338760898148719</v>
      </c>
      <c r="AW180" s="21">
        <f>EXP(-LN(2)/2)*AW179+(1-EXP(-LN(2)/2))/(LN(2)/2)*AQ180*AT180*VLOOKUP('Données projet'!$B$10,Paramètres!$A$1:$I$89,3,0)*0.475*44/12</f>
        <v>7.3611384125522231E-22</v>
      </c>
      <c r="AX180" s="21">
        <f t="shared" si="166"/>
        <v>0.30393834517915169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2.8421709430404007E-14</v>
      </c>
      <c r="BE180" s="13">
        <f>BD180*VLOOKUP('Données projet'!$B$11,Paramètres!$A$1:$I$89,3,0)*VLOOKUP('Données projet'!$B$11,Paramètres!$A$1:$I$89,5,0)</f>
        <v>1.8621904018800706E-14</v>
      </c>
      <c r="BF180" s="13">
        <f t="shared" si="167"/>
        <v>3.40208645124969E-13</v>
      </c>
      <c r="BG180" s="20">
        <f t="shared" si="168"/>
        <v>6.2496320642539887E-13</v>
      </c>
      <c r="BH180" s="59">
        <f t="shared" si="116"/>
        <v>293.33333333333394</v>
      </c>
      <c r="BI180" s="59">
        <f ca="1">AVERAGE(OFFSET($BH$3,0,0,'Données projet'!$E$11+1,1))-AVERAGE(OFFSET($H$3,0,0,'Données projet'!$E$11+1,1))</f>
        <v>114.23168847330004</v>
      </c>
      <c r="BJ180" s="59">
        <f t="shared" si="146"/>
        <v>42.34857998136755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2.8421709430404007E-14</v>
      </c>
      <c r="BZ180" s="13">
        <f>BY180*VLOOKUP('Données projet'!$B$12,Paramètres!$A$1:$I$89,3,0)*VLOOKUP('Données projet'!$B$12,Paramètres!$A$1:$I$89,5,0)</f>
        <v>2.7489477361086758E-14</v>
      </c>
      <c r="CA180" s="13">
        <f t="shared" si="170"/>
        <v>4.7995394886724981E-13</v>
      </c>
      <c r="CB180" s="20">
        <f t="shared" si="171"/>
        <v>8.8379730068101964E-13</v>
      </c>
      <c r="CC180" s="59">
        <f t="shared" si="119"/>
        <v>293.33333333333422</v>
      </c>
      <c r="CD180" s="59">
        <f ca="1">AVERAGE(OFFSET($CC$3,0,0,'Données projet'!$E$12+1,1))-AVERAGE(OFFSET($H$3,0,0,'Données projet'!$E$12+1,1))</f>
        <v>201.36664523637006</v>
      </c>
      <c r="CE180" s="59">
        <f t="shared" si="148"/>
        <v>79.394119001888555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3.6327716715522609</v>
      </c>
      <c r="CM180" s="21">
        <f>EXP(-LN(2)/2)*CM179+(1-EXP(-LN(2)/2))/(LN(2)/2)*CG180*CJ180*VLOOKUP('Données projet'!$B$12,Paramètres!$A$1:$I$89,3,0)*0.475*44/12</f>
        <v>2.9515466144473993E-20</v>
      </c>
      <c r="CN180" s="22">
        <f t="shared" si="172"/>
        <v>3.6327716715522609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1.1368683772161603E-13</v>
      </c>
      <c r="CU180" s="17">
        <f>CT180*VLOOKUP('Données projet'!$B$13,Paramètres!$A$1:$I$89,3,0)*VLOOKUP('Données projet'!$B$13,Paramètres!$A$1:$I$89,5,0)</f>
        <v>1.0286385077051818E-13</v>
      </c>
      <c r="CV180" s="13">
        <f t="shared" si="173"/>
        <v>1.5402366592183556E-12</v>
      </c>
      <c r="CW180" s="20">
        <f t="shared" si="174"/>
        <v>2.8617333882306215E-12</v>
      </c>
      <c r="CX180" s="59">
        <f t="shared" si="122"/>
        <v>293.33333333333616</v>
      </c>
      <c r="CY180" s="59">
        <f ca="1">AVERAGE(OFFSET($CX$3,0,0,'Données projet'!$E$13+1,1))-AVERAGE(OFFSET($H$3,0,0,'Données projet'!$E$13+1,1))</f>
        <v>282.08542131880455</v>
      </c>
      <c r="CZ180" s="59">
        <f t="shared" si="150"/>
        <v>174.27503468762325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36.869748654740967</v>
      </c>
      <c r="DG180" s="21">
        <f>EXP(-LN(2)/25)*DG179+(1-EXP(-LN(2)/25))/(LN(2)/25)*Calculateur!DB180*Calculateur!DD180*VLOOKUP('Données projet'!$B$13,Paramètres!$A$1:$I$89,3,0)*0.475*44/12</f>
        <v>14.493719691048851</v>
      </c>
      <c r="DH180" s="21">
        <f>EXP(-LN(2)/2)*DH179+(1-EXP(-LN(2)/2))/(LN(2)/2)*DB180*DE180*VLOOKUP('Données projet'!$B$13,Paramètres!$A$1:$I$89,3,0)*0.475*44/12</f>
        <v>4.3877587943343815E-20</v>
      </c>
      <c r="DI180" s="22">
        <f t="shared" si="175"/>
        <v>51.363468345789819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5.6843418860808015E-14</v>
      </c>
      <c r="DP180" s="17">
        <f>DO180*VLOOKUP('Données projet'!$B$14,Paramètres!$A$1:$I$89,3,0)*VLOOKUP('Données projet'!$B$14,Paramètres!$A$1:$I$89,5,0)</f>
        <v>4.6111381379887463E-14</v>
      </c>
      <c r="DQ180" s="13">
        <f t="shared" si="176"/>
        <v>7.5804141040779151E-13</v>
      </c>
      <c r="DR180" s="20">
        <f t="shared" si="177"/>
        <v>1.4005661123635408E-12</v>
      </c>
      <c r="DS180" s="59">
        <f t="shared" si="125"/>
        <v>293.33333333333474</v>
      </c>
      <c r="DT180" s="59">
        <f ca="1">AVERAGE(OFFSET($DS$3,0,0,'Données projet'!$E$14+1,1))-AVERAGE(OFFSET($H$3,0,0,'Données projet'!$E$14+1,1))</f>
        <v>235.31102883830971</v>
      </c>
      <c r="DU180" s="59">
        <f t="shared" si="152"/>
        <v>271.48630853790422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8.304053211381575</v>
      </c>
      <c r="EB180" s="21">
        <f>EXP(-LN(2)/25)*EB179+(1-EXP(-LN(2)/25))/(LN(2)/25)*Calculateur!DW180*Calculateur!DY180*VLOOKUP('Données projet'!$B$14,Paramètres!$A$1:$I$89,3,0)*0.475*44/12</f>
        <v>5.3010418133094133</v>
      </c>
      <c r="EC180" s="21">
        <f>EXP(-LN(2)/2)*EC179+(1-EXP(-LN(2)/2))/(LN(2)/2)*DW180*DZ180*VLOOKUP('Données projet'!$B$14,Paramètres!$A$1:$I$89,3,0)*0.475*44/12</f>
        <v>5.2947995717954825E-20</v>
      </c>
      <c r="ED180" s="22">
        <f t="shared" si="178"/>
        <v>13.605095024690989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-1.2505552149377763E-12</v>
      </c>
      <c r="O181" s="13">
        <f>N181*VLOOKUP('Données projet'!$B$9,Paramètres!$A$1:$I$89,3,0)*VLOOKUP('Données projet'!$B$9,Paramètres!$A$1:$I$89,5,0)</f>
        <v>-6.9906036515021697E-13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446.28010102877403</v>
      </c>
      <c r="T181" s="59">
        <f t="shared" si="142"/>
        <v>445.84011537290456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0.60916374275282392</v>
      </c>
      <c r="AA181" s="21">
        <f>EXP(-LN(2)/25)*AA180+(1-EXP(-LN(2)/25))/(LN(2)/25)*Calculateur!V181*Calculateur!X181*VLOOKUP('Données projet'!$B$9,Paramètres!$A$1:$I$89,3,0)*0.475*44/12</f>
        <v>0.64014680816544511</v>
      </c>
      <c r="AB181" s="21">
        <f>EXP(-LN(2)/2)*AB180+(1-EXP(-LN(2)/2))/(LN(2)/2)*V181*Y181*VLOOKUP('Données projet'!$B$9,Paramètres!$A$1:$I$89,3,0)*0.475*44/12</f>
        <v>1.930805851649573E-21</v>
      </c>
      <c r="AC181" s="22">
        <f t="shared" si="163"/>
        <v>1.2493105509182691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-5.3205440053716299E-14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252.98248842635206</v>
      </c>
      <c r="AO181" s="59">
        <f t="shared" si="144"/>
        <v>207.11938580878308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0.16720634028650569</v>
      </c>
      <c r="AV181" s="21">
        <f>EXP(-LN(2)/25)*AV180+(1-EXP(-LN(2)/25))/(LN(2)/25)*Calculateur!AQ181*Calculateur!AS181*VLOOKUP('Données projet'!$B$10,Paramètres!$A$1:$I$89,3,0)*0.475*44/12</f>
        <v>0.12974011779933892</v>
      </c>
      <c r="AW181" s="21">
        <f>EXP(-LN(2)/2)*AW180+(1-EXP(-LN(2)/2))/(LN(2)/2)*AQ181*AT181*VLOOKUP('Données projet'!$B$10,Paramètres!$A$1:$I$89,3,0)*0.475*44/12</f>
        <v>5.2051108887684545E-22</v>
      </c>
      <c r="AX181" s="21">
        <f t="shared" si="166"/>
        <v>0.29694645808584463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2.8421709430404007E-14</v>
      </c>
      <c r="BE181" s="13">
        <f>BD181*VLOOKUP('Données projet'!$B$11,Paramètres!$A$1:$I$89,3,0)*VLOOKUP('Données projet'!$B$11,Paramètres!$A$1:$I$89,5,0)</f>
        <v>1.8621904018800706E-14</v>
      </c>
      <c r="BF181" s="13">
        <f t="shared" si="167"/>
        <v>3.40208645124969E-13</v>
      </c>
      <c r="BG181" s="20">
        <f t="shared" si="168"/>
        <v>6.2496320642539887E-13</v>
      </c>
      <c r="BH181" s="59">
        <f t="shared" si="116"/>
        <v>293.33333333333394</v>
      </c>
      <c r="BI181" s="59">
        <f ca="1">AVERAGE(OFFSET($BH$3,0,0,'Données projet'!$E$11+1,1))-AVERAGE(OFFSET($H$3,0,0,'Données projet'!$E$11+1,1))</f>
        <v>114.23168847330004</v>
      </c>
      <c r="BJ181" s="59">
        <f t="shared" si="146"/>
        <v>42.34857998136755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2.8421709430404007E-14</v>
      </c>
      <c r="BZ181" s="13">
        <f>BY181*VLOOKUP('Données projet'!$B$12,Paramètres!$A$1:$I$89,3,0)*VLOOKUP('Données projet'!$B$12,Paramètres!$A$1:$I$89,5,0)</f>
        <v>2.7489477361086758E-14</v>
      </c>
      <c r="CA181" s="13">
        <f t="shared" si="170"/>
        <v>4.7995394886724981E-13</v>
      </c>
      <c r="CB181" s="20">
        <f t="shared" si="171"/>
        <v>8.8379730068101964E-13</v>
      </c>
      <c r="CC181" s="59">
        <f t="shared" si="119"/>
        <v>293.33333333333422</v>
      </c>
      <c r="CD181" s="59">
        <f ca="1">AVERAGE(OFFSET($CC$3,0,0,'Données projet'!$E$12+1,1))-AVERAGE(OFFSET($H$3,0,0,'Données projet'!$E$12+1,1))</f>
        <v>201.36664523637006</v>
      </c>
      <c r="CE181" s="59">
        <f t="shared" si="148"/>
        <v>79.394119001888555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3.533433339154505</v>
      </c>
      <c r="CM181" s="21">
        <f>EXP(-LN(2)/2)*CM180+(1-EXP(-LN(2)/2))/(LN(2)/2)*CG181*CJ181*VLOOKUP('Données projet'!$B$12,Paramètres!$A$1:$I$89,3,0)*0.475*44/12</f>
        <v>2.0870586260639524E-20</v>
      </c>
      <c r="CN181" s="22">
        <f t="shared" si="172"/>
        <v>3.533433339154505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1.1368683772161603E-13</v>
      </c>
      <c r="CU181" s="17">
        <f>CT181*VLOOKUP('Données projet'!$B$13,Paramètres!$A$1:$I$89,3,0)*VLOOKUP('Données projet'!$B$13,Paramètres!$A$1:$I$89,5,0)</f>
        <v>1.0286385077051818E-13</v>
      </c>
      <c r="CV181" s="13">
        <f t="shared" si="173"/>
        <v>1.5402366592183556E-12</v>
      </c>
      <c r="CW181" s="20">
        <f t="shared" si="174"/>
        <v>2.8617333882306215E-12</v>
      </c>
      <c r="CX181" s="59">
        <f t="shared" si="122"/>
        <v>293.33333333333616</v>
      </c>
      <c r="CY181" s="59">
        <f ca="1">AVERAGE(OFFSET($CX$3,0,0,'Données projet'!$E$13+1,1))-AVERAGE(OFFSET($H$3,0,0,'Données projet'!$E$13+1,1))</f>
        <v>282.08542131880455</v>
      </c>
      <c r="CZ181" s="59">
        <f t="shared" si="150"/>
        <v>174.27503468762325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36.146755371947641</v>
      </c>
      <c r="DG181" s="21">
        <f>EXP(-LN(2)/25)*DG180+(1-EXP(-LN(2)/25))/(LN(2)/25)*Calculateur!DB181*Calculateur!DD181*VLOOKUP('Données projet'!$B$13,Paramètres!$A$1:$I$89,3,0)*0.475*44/12</f>
        <v>14.097388163905528</v>
      </c>
      <c r="DH181" s="21">
        <f>EXP(-LN(2)/2)*DH180+(1-EXP(-LN(2)/2))/(LN(2)/2)*DB181*DE181*VLOOKUP('Données projet'!$B$13,Paramètres!$A$1:$I$89,3,0)*0.475*44/12</f>
        <v>3.102613997684751E-20</v>
      </c>
      <c r="DI181" s="22">
        <f t="shared" si="175"/>
        <v>50.244143535853169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5.6843418860808015E-14</v>
      </c>
      <c r="DP181" s="17">
        <f>DO181*VLOOKUP('Données projet'!$B$14,Paramètres!$A$1:$I$89,3,0)*VLOOKUP('Données projet'!$B$14,Paramètres!$A$1:$I$89,5,0)</f>
        <v>4.6111381379887463E-14</v>
      </c>
      <c r="DQ181" s="13">
        <f t="shared" si="176"/>
        <v>7.5804141040779151E-13</v>
      </c>
      <c r="DR181" s="20">
        <f t="shared" si="177"/>
        <v>1.4005661123635408E-12</v>
      </c>
      <c r="DS181" s="59">
        <f t="shared" si="125"/>
        <v>293.33333333333474</v>
      </c>
      <c r="DT181" s="59">
        <f ca="1">AVERAGE(OFFSET($DS$3,0,0,'Données projet'!$E$14+1,1))-AVERAGE(OFFSET($H$3,0,0,'Données projet'!$E$14+1,1))</f>
        <v>235.31102883830971</v>
      </c>
      <c r="DU181" s="59">
        <f t="shared" si="152"/>
        <v>271.48630853790422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8.1412157928787163</v>
      </c>
      <c r="EB181" s="21">
        <f>EXP(-LN(2)/25)*EB180+(1-EXP(-LN(2)/25))/(LN(2)/25)*Calculateur!DW181*Calculateur!DY181*VLOOKUP('Données projet'!$B$14,Paramètres!$A$1:$I$89,3,0)*0.475*44/12</f>
        <v>5.1560845461547942</v>
      </c>
      <c r="EC181" s="21">
        <f>EXP(-LN(2)/2)*EC180+(1-EXP(-LN(2)/2))/(LN(2)/2)*DW181*DZ181*VLOOKUP('Données projet'!$B$14,Paramètres!$A$1:$I$89,3,0)*0.475*44/12</f>
        <v>3.7439886822402141E-20</v>
      </c>
      <c r="ED181" s="22">
        <f t="shared" si="178"/>
        <v>13.29730033903351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-1.2505552149377763E-12</v>
      </c>
      <c r="O182" s="13">
        <f>N182*VLOOKUP('Données projet'!$B$9,Paramètres!$A$1:$I$89,3,0)*VLOOKUP('Données projet'!$B$9,Paramètres!$A$1:$I$89,5,0)</f>
        <v>-6.9906036515021697E-13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446.28010102877403</v>
      </c>
      <c r="T182" s="59">
        <f t="shared" si="142"/>
        <v>445.84011537290456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0.5972184133106363</v>
      </c>
      <c r="AA182" s="21">
        <f>EXP(-LN(2)/25)*AA181+(1-EXP(-LN(2)/25))/(LN(2)/25)*Calculateur!V182*Calculateur!X182*VLOOKUP('Données projet'!$B$9,Paramètres!$A$1:$I$89,3,0)*0.475*44/12</f>
        <v>0.62264196003230343</v>
      </c>
      <c r="AB182" s="21">
        <f>EXP(-LN(2)/2)*AB181+(1-EXP(-LN(2)/2))/(LN(2)/2)*V182*Y182*VLOOKUP('Données projet'!$B$9,Paramètres!$A$1:$I$89,3,0)*0.475*44/12</f>
        <v>1.3652859108560802E-21</v>
      </c>
      <c r="AC182" s="22">
        <f t="shared" si="163"/>
        <v>1.2198603733429398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-5.3205440053716299E-14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252.98248842635206</v>
      </c>
      <c r="AO182" s="59">
        <f t="shared" si="144"/>
        <v>207.11938580878308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0.16392752593928461</v>
      </c>
      <c r="AV182" s="21">
        <f>EXP(-LN(2)/25)*AV181+(1-EXP(-LN(2)/25))/(LN(2)/25)*Calculateur!AQ182*Calculateur!AS182*VLOOKUP('Données projet'!$B$10,Paramètres!$A$1:$I$89,3,0)*0.475*44/12</f>
        <v>0.12619236745537973</v>
      </c>
      <c r="AW182" s="21">
        <f>EXP(-LN(2)/2)*AW181+(1-EXP(-LN(2)/2))/(LN(2)/2)*AQ182*AT182*VLOOKUP('Données projet'!$B$10,Paramètres!$A$1:$I$89,3,0)*0.475*44/12</f>
        <v>3.6805692062761116E-22</v>
      </c>
      <c r="AX182" s="21">
        <f t="shared" si="166"/>
        <v>0.29011989339466437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2.8421709430404007E-14</v>
      </c>
      <c r="BE182" s="13">
        <f>BD182*VLOOKUP('Données projet'!$B$11,Paramètres!$A$1:$I$89,3,0)*VLOOKUP('Données projet'!$B$11,Paramètres!$A$1:$I$89,5,0)</f>
        <v>1.8621904018800706E-14</v>
      </c>
      <c r="BF182" s="13">
        <f t="shared" si="167"/>
        <v>3.40208645124969E-13</v>
      </c>
      <c r="BG182" s="20">
        <f t="shared" si="168"/>
        <v>6.2496320642539887E-13</v>
      </c>
      <c r="BH182" s="59">
        <f t="shared" si="116"/>
        <v>293.33333333333394</v>
      </c>
      <c r="BI182" s="59">
        <f ca="1">AVERAGE(OFFSET($BH$3,0,0,'Données projet'!$E$11+1,1))-AVERAGE(OFFSET($H$3,0,0,'Données projet'!$E$11+1,1))</f>
        <v>114.23168847330004</v>
      </c>
      <c r="BJ182" s="59">
        <f t="shared" si="146"/>
        <v>42.34857998136755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2.8421709430404007E-14</v>
      </c>
      <c r="BZ182" s="13">
        <f>BY182*VLOOKUP('Données projet'!$B$12,Paramètres!$A$1:$I$89,3,0)*VLOOKUP('Données projet'!$B$12,Paramètres!$A$1:$I$89,5,0)</f>
        <v>2.7489477361086758E-14</v>
      </c>
      <c r="CA182" s="13">
        <f t="shared" si="170"/>
        <v>4.7995394886724981E-13</v>
      </c>
      <c r="CB182" s="20">
        <f t="shared" si="171"/>
        <v>8.8379730068101964E-13</v>
      </c>
      <c r="CC182" s="59">
        <f t="shared" si="119"/>
        <v>293.33333333333422</v>
      </c>
      <c r="CD182" s="59">
        <f ca="1">AVERAGE(OFFSET($CC$3,0,0,'Données projet'!$E$12+1,1))-AVERAGE(OFFSET($H$3,0,0,'Données projet'!$E$12+1,1))</f>
        <v>201.36664523637006</v>
      </c>
      <c r="CE182" s="59">
        <f t="shared" si="148"/>
        <v>79.394119001888555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3.4368114186801413</v>
      </c>
      <c r="CM182" s="21">
        <f>EXP(-LN(2)/2)*CM181+(1-EXP(-LN(2)/2))/(LN(2)/2)*CG182*CJ182*VLOOKUP('Données projet'!$B$12,Paramètres!$A$1:$I$89,3,0)*0.475*44/12</f>
        <v>1.4757733072236997E-20</v>
      </c>
      <c r="CN182" s="22">
        <f t="shared" si="172"/>
        <v>3.4368114186801413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1.1368683772161603E-13</v>
      </c>
      <c r="CU182" s="17">
        <f>CT182*VLOOKUP('Données projet'!$B$13,Paramètres!$A$1:$I$89,3,0)*VLOOKUP('Données projet'!$B$13,Paramètres!$A$1:$I$89,5,0)</f>
        <v>1.0286385077051818E-13</v>
      </c>
      <c r="CV182" s="13">
        <f t="shared" si="173"/>
        <v>1.5402366592183556E-12</v>
      </c>
      <c r="CW182" s="20">
        <f t="shared" si="174"/>
        <v>2.8617333882306215E-12</v>
      </c>
      <c r="CX182" s="59">
        <f t="shared" si="122"/>
        <v>293.33333333333616</v>
      </c>
      <c r="CY182" s="59">
        <f ca="1">AVERAGE(OFFSET($CX$3,0,0,'Données projet'!$E$13+1,1))-AVERAGE(OFFSET($H$3,0,0,'Données projet'!$E$13+1,1))</f>
        <v>282.08542131880455</v>
      </c>
      <c r="CZ182" s="59">
        <f t="shared" si="150"/>
        <v>174.27503468762325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35.437939546447531</v>
      </c>
      <c r="DG182" s="21">
        <f>EXP(-LN(2)/25)*DG181+(1-EXP(-LN(2)/25))/(LN(2)/25)*Calculateur!DB182*Calculateur!DD182*VLOOKUP('Données projet'!$B$13,Paramètres!$A$1:$I$89,3,0)*0.475*44/12</f>
        <v>13.711894343214107</v>
      </c>
      <c r="DH182" s="21">
        <f>EXP(-LN(2)/2)*DH181+(1-EXP(-LN(2)/2))/(LN(2)/2)*DB182*DE182*VLOOKUP('Données projet'!$B$13,Paramètres!$A$1:$I$89,3,0)*0.475*44/12</f>
        <v>2.1938793971671907E-20</v>
      </c>
      <c r="DI182" s="22">
        <f t="shared" si="175"/>
        <v>49.149833889661636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5.6843418860808015E-14</v>
      </c>
      <c r="DP182" s="17">
        <f>DO182*VLOOKUP('Données projet'!$B$14,Paramètres!$A$1:$I$89,3,0)*VLOOKUP('Données projet'!$B$14,Paramètres!$A$1:$I$89,5,0)</f>
        <v>4.6111381379887463E-14</v>
      </c>
      <c r="DQ182" s="13">
        <f t="shared" si="176"/>
        <v>7.5804141040779151E-13</v>
      </c>
      <c r="DR182" s="20">
        <f t="shared" si="177"/>
        <v>1.4005661123635408E-12</v>
      </c>
      <c r="DS182" s="59">
        <f t="shared" si="125"/>
        <v>293.33333333333474</v>
      </c>
      <c r="DT182" s="59">
        <f ca="1">AVERAGE(OFFSET($DS$3,0,0,'Données projet'!$E$14+1,1))-AVERAGE(OFFSET($H$3,0,0,'Données projet'!$E$14+1,1))</f>
        <v>235.31102883830971</v>
      </c>
      <c r="DU182" s="59">
        <f t="shared" si="152"/>
        <v>271.48630853790422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7.9815715168316812</v>
      </c>
      <c r="EB182" s="21">
        <f>EXP(-LN(2)/25)*EB181+(1-EXP(-LN(2)/25))/(LN(2)/25)*Calculateur!DW182*Calculateur!DY182*VLOOKUP('Données projet'!$B$14,Paramètres!$A$1:$I$89,3,0)*0.475*44/12</f>
        <v>5.015091143093489</v>
      </c>
      <c r="EC182" s="21">
        <f>EXP(-LN(2)/2)*EC181+(1-EXP(-LN(2)/2))/(LN(2)/2)*DW182*DZ182*VLOOKUP('Données projet'!$B$14,Paramètres!$A$1:$I$89,3,0)*0.475*44/12</f>
        <v>2.6473997858977416E-20</v>
      </c>
      <c r="ED182" s="22">
        <f t="shared" si="178"/>
        <v>12.996662659925171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-1.2505552149377763E-12</v>
      </c>
      <c r="O183" s="13">
        <f>N183*VLOOKUP('Données projet'!$B$9,Paramètres!$A$1:$I$89,3,0)*VLOOKUP('Données projet'!$B$9,Paramètres!$A$1:$I$89,5,0)</f>
        <v>-6.9906036515021697E-13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446.28010102877403</v>
      </c>
      <c r="T183" s="59">
        <f t="shared" si="142"/>
        <v>445.84011537290456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0.58550732449287846</v>
      </c>
      <c r="AA183" s="21">
        <f>EXP(-LN(2)/25)*AA182+(1-EXP(-LN(2)/25))/(LN(2)/25)*Calculateur!V183*Calculateur!X183*VLOOKUP('Données projet'!$B$9,Paramètres!$A$1:$I$89,3,0)*0.475*44/12</f>
        <v>0.60561578289190243</v>
      </c>
      <c r="AB183" s="21">
        <f>EXP(-LN(2)/2)*AB182+(1-EXP(-LN(2)/2))/(LN(2)/2)*V183*Y183*VLOOKUP('Données projet'!$B$9,Paramètres!$A$1:$I$89,3,0)*0.475*44/12</f>
        <v>9.6540292582478649E-22</v>
      </c>
      <c r="AC183" s="22">
        <f t="shared" si="163"/>
        <v>1.1911231073847808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-5.3205440053716299E-14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252.98248842635206</v>
      </c>
      <c r="AO183" s="59">
        <f t="shared" si="144"/>
        <v>207.11938580878308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0.16071300714153328</v>
      </c>
      <c r="AV183" s="21">
        <f>EXP(-LN(2)/25)*AV182+(1-EXP(-LN(2)/25))/(LN(2)/25)*Calculateur!AQ183*Calculateur!AS183*VLOOKUP('Données projet'!$B$10,Paramètres!$A$1:$I$89,3,0)*0.475*44/12</f>
        <v>0.12274163053114419</v>
      </c>
      <c r="AW183" s="21">
        <f>EXP(-LN(2)/2)*AW182+(1-EXP(-LN(2)/2))/(LN(2)/2)*AQ183*AT183*VLOOKUP('Données projet'!$B$10,Paramètres!$A$1:$I$89,3,0)*0.475*44/12</f>
        <v>2.6025554443842273E-22</v>
      </c>
      <c r="AX183" s="21">
        <f t="shared" si="166"/>
        <v>0.28345463767267748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2.8421709430404007E-14</v>
      </c>
      <c r="BE183" s="13">
        <f>BD183*VLOOKUP('Données projet'!$B$11,Paramètres!$A$1:$I$89,3,0)*VLOOKUP('Données projet'!$B$11,Paramètres!$A$1:$I$89,5,0)</f>
        <v>1.8621904018800706E-14</v>
      </c>
      <c r="BF183" s="13">
        <f t="shared" si="167"/>
        <v>3.40208645124969E-13</v>
      </c>
      <c r="BG183" s="20">
        <f t="shared" si="168"/>
        <v>6.2496320642539887E-13</v>
      </c>
      <c r="BH183" s="59">
        <f t="shared" si="116"/>
        <v>293.33333333333394</v>
      </c>
      <c r="BI183" s="59">
        <f ca="1">AVERAGE(OFFSET($BH$3,0,0,'Données projet'!$E$11+1,1))-AVERAGE(OFFSET($H$3,0,0,'Données projet'!$E$11+1,1))</f>
        <v>114.23168847330004</v>
      </c>
      <c r="BJ183" s="59">
        <f t="shared" si="146"/>
        <v>42.34857998136755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2.8421709430404007E-14</v>
      </c>
      <c r="BZ183" s="13">
        <f>BY183*VLOOKUP('Données projet'!$B$12,Paramètres!$A$1:$I$89,3,0)*VLOOKUP('Données projet'!$B$12,Paramètres!$A$1:$I$89,5,0)</f>
        <v>2.7489477361086758E-14</v>
      </c>
      <c r="CA183" s="13">
        <f t="shared" si="170"/>
        <v>4.7995394886724981E-13</v>
      </c>
      <c r="CB183" s="20">
        <f t="shared" si="171"/>
        <v>8.8379730068101964E-13</v>
      </c>
      <c r="CC183" s="59">
        <f t="shared" si="119"/>
        <v>293.33333333333422</v>
      </c>
      <c r="CD183" s="59">
        <f ca="1">AVERAGE(OFFSET($CC$3,0,0,'Données projet'!$E$12+1,1))-AVERAGE(OFFSET($H$3,0,0,'Données projet'!$E$12+1,1))</f>
        <v>201.36664523637006</v>
      </c>
      <c r="CE183" s="59">
        <f t="shared" si="148"/>
        <v>79.394119001888555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3.3428316297022751</v>
      </c>
      <c r="CM183" s="21">
        <f>EXP(-LN(2)/2)*CM182+(1-EXP(-LN(2)/2))/(LN(2)/2)*CG183*CJ183*VLOOKUP('Données projet'!$B$12,Paramètres!$A$1:$I$89,3,0)*0.475*44/12</f>
        <v>1.0435293130319762E-20</v>
      </c>
      <c r="CN183" s="22">
        <f t="shared" si="172"/>
        <v>3.3428316297022751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1.1368683772161603E-13</v>
      </c>
      <c r="CU183" s="17">
        <f>CT183*VLOOKUP('Données projet'!$B$13,Paramètres!$A$1:$I$89,3,0)*VLOOKUP('Données projet'!$B$13,Paramètres!$A$1:$I$89,5,0)</f>
        <v>1.0286385077051818E-13</v>
      </c>
      <c r="CV183" s="13">
        <f t="shared" si="173"/>
        <v>1.5402366592183556E-12</v>
      </c>
      <c r="CW183" s="20">
        <f t="shared" si="174"/>
        <v>2.8617333882306215E-12</v>
      </c>
      <c r="CX183" s="59">
        <f t="shared" si="122"/>
        <v>293.33333333333616</v>
      </c>
      <c r="CY183" s="59">
        <f ca="1">AVERAGE(OFFSET($CX$3,0,0,'Données projet'!$E$13+1,1))-AVERAGE(OFFSET($H$3,0,0,'Données projet'!$E$13+1,1))</f>
        <v>282.08542131880455</v>
      </c>
      <c r="CZ183" s="59">
        <f t="shared" si="150"/>
        <v>174.27503468762325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34.743023166950515</v>
      </c>
      <c r="DG183" s="21">
        <f>EXP(-LN(2)/25)*DG182+(1-EXP(-LN(2)/25))/(LN(2)/25)*Calculateur!DB183*Calculateur!DD183*VLOOKUP('Données projet'!$B$13,Paramètres!$A$1:$I$89,3,0)*0.475*44/12</f>
        <v>13.336941871321732</v>
      </c>
      <c r="DH183" s="21">
        <f>EXP(-LN(2)/2)*DH182+(1-EXP(-LN(2)/2))/(LN(2)/2)*DB183*DE183*VLOOKUP('Données projet'!$B$13,Paramètres!$A$1:$I$89,3,0)*0.475*44/12</f>
        <v>1.5513069988423755E-20</v>
      </c>
      <c r="DI183" s="22">
        <f t="shared" si="175"/>
        <v>48.079965038272249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5.6843418860808015E-14</v>
      </c>
      <c r="DP183" s="17">
        <f>DO183*VLOOKUP('Données projet'!$B$14,Paramètres!$A$1:$I$89,3,0)*VLOOKUP('Données projet'!$B$14,Paramètres!$A$1:$I$89,5,0)</f>
        <v>4.6111381379887463E-14</v>
      </c>
      <c r="DQ183" s="13">
        <f t="shared" si="176"/>
        <v>7.5804141040779151E-13</v>
      </c>
      <c r="DR183" s="20">
        <f t="shared" si="177"/>
        <v>1.4005661123635408E-12</v>
      </c>
      <c r="DS183" s="59">
        <f t="shared" si="125"/>
        <v>293.33333333333474</v>
      </c>
      <c r="DT183" s="59">
        <f ca="1">AVERAGE(OFFSET($DS$3,0,0,'Données projet'!$E$14+1,1))-AVERAGE(OFFSET($H$3,0,0,'Données projet'!$E$14+1,1))</f>
        <v>235.31102883830971</v>
      </c>
      <c r="DU183" s="59">
        <f t="shared" si="152"/>
        <v>271.48630853790422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7.8250577676645348</v>
      </c>
      <c r="EB183" s="21">
        <f>EXP(-LN(2)/25)*EB182+(1-EXP(-LN(2)/25))/(LN(2)/25)*Calculateur!DW183*Calculateur!DY183*VLOOKUP('Données projet'!$B$14,Paramètres!$A$1:$I$89,3,0)*0.475*44/12</f>
        <v>4.8779532120534164</v>
      </c>
      <c r="EC183" s="21">
        <f>EXP(-LN(2)/2)*EC182+(1-EXP(-LN(2)/2))/(LN(2)/2)*DW183*DZ183*VLOOKUP('Données projet'!$B$14,Paramètres!$A$1:$I$89,3,0)*0.475*44/12</f>
        <v>1.8719943411201073E-20</v>
      </c>
      <c r="ED183" s="22">
        <f t="shared" si="178"/>
        <v>12.703010979717952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-1.2505552149377763E-12</v>
      </c>
      <c r="O184" s="13">
        <f>N184*VLOOKUP('Données projet'!$B$9,Paramètres!$A$1:$I$89,3,0)*VLOOKUP('Données projet'!$B$9,Paramètres!$A$1:$I$89,5,0)</f>
        <v>-6.9906036515021697E-13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446.28010102877403</v>
      </c>
      <c r="T184" s="59">
        <f t="shared" si="142"/>
        <v>445.84011537290456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0.57402588298377799</v>
      </c>
      <c r="AA184" s="21">
        <f>EXP(-LN(2)/25)*AA183+(1-EXP(-LN(2)/25))/(LN(2)/25)*Calculateur!V184*Calculateur!X184*VLOOKUP('Données projet'!$B$9,Paramètres!$A$1:$I$89,3,0)*0.475*44/12</f>
        <v>0.58905518746077346</v>
      </c>
      <c r="AB184" s="21">
        <f>EXP(-LN(2)/2)*AB183+(1-EXP(-LN(2)/2))/(LN(2)/2)*V184*Y184*VLOOKUP('Données projet'!$B$9,Paramètres!$A$1:$I$89,3,0)*0.475*44/12</f>
        <v>6.8264295542804008E-22</v>
      </c>
      <c r="AC184" s="22">
        <f t="shared" si="163"/>
        <v>1.1630810704445516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-5.3205440053716299E-14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252.98248842635206</v>
      </c>
      <c r="AO184" s="59">
        <f t="shared" si="144"/>
        <v>207.11938580878308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0.15756152309674298</v>
      </c>
      <c r="AV184" s="21">
        <f>EXP(-LN(2)/25)*AV183+(1-EXP(-LN(2)/25))/(LN(2)/25)*Calculateur!AQ184*Calculateur!AS184*VLOOKUP('Données projet'!$B$10,Paramètres!$A$1:$I$89,3,0)*0.475*44/12</f>
        <v>0.11938525418956823</v>
      </c>
      <c r="AW184" s="21">
        <f>EXP(-LN(2)/2)*AW183+(1-EXP(-LN(2)/2))/(LN(2)/2)*AQ184*AT184*VLOOKUP('Données projet'!$B$10,Paramètres!$A$1:$I$89,3,0)*0.475*44/12</f>
        <v>1.8402846031380558E-22</v>
      </c>
      <c r="AX184" s="21">
        <f t="shared" si="166"/>
        <v>0.27694677728631123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2.8421709430404007E-14</v>
      </c>
      <c r="BE184" s="13">
        <f>BD184*VLOOKUP('Données projet'!$B$11,Paramètres!$A$1:$I$89,3,0)*VLOOKUP('Données projet'!$B$11,Paramètres!$A$1:$I$89,5,0)</f>
        <v>1.8621904018800706E-14</v>
      </c>
      <c r="BF184" s="13">
        <f t="shared" si="167"/>
        <v>3.40208645124969E-13</v>
      </c>
      <c r="BG184" s="20">
        <f t="shared" si="168"/>
        <v>6.2496320642539887E-13</v>
      </c>
      <c r="BH184" s="59">
        <f t="shared" si="116"/>
        <v>293.33333333333394</v>
      </c>
      <c r="BI184" s="59">
        <f ca="1">AVERAGE(OFFSET($BH$3,0,0,'Données projet'!$E$11+1,1))-AVERAGE(OFFSET($H$3,0,0,'Données projet'!$E$11+1,1))</f>
        <v>114.23168847330004</v>
      </c>
      <c r="BJ184" s="59">
        <f t="shared" si="146"/>
        <v>42.34857998136755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2.8421709430404007E-14</v>
      </c>
      <c r="BZ184" s="13">
        <f>BY184*VLOOKUP('Données projet'!$B$12,Paramètres!$A$1:$I$89,3,0)*VLOOKUP('Données projet'!$B$12,Paramètres!$A$1:$I$89,5,0)</f>
        <v>2.7489477361086758E-14</v>
      </c>
      <c r="CA184" s="13">
        <f t="shared" si="170"/>
        <v>4.7995394886724981E-13</v>
      </c>
      <c r="CB184" s="20">
        <f t="shared" si="171"/>
        <v>8.8379730068101964E-13</v>
      </c>
      <c r="CC184" s="59">
        <f t="shared" si="119"/>
        <v>293.33333333333422</v>
      </c>
      <c r="CD184" s="59">
        <f ca="1">AVERAGE(OFFSET($CC$3,0,0,'Données projet'!$E$12+1,1))-AVERAGE(OFFSET($H$3,0,0,'Données projet'!$E$12+1,1))</f>
        <v>201.36664523637006</v>
      </c>
      <c r="CE184" s="59">
        <f t="shared" si="148"/>
        <v>79.394119001888555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3.251421722996191</v>
      </c>
      <c r="CM184" s="21">
        <f>EXP(-LN(2)/2)*CM183+(1-EXP(-LN(2)/2))/(LN(2)/2)*CG184*CJ184*VLOOKUP('Données projet'!$B$12,Paramètres!$A$1:$I$89,3,0)*0.475*44/12</f>
        <v>7.3788665361184983E-21</v>
      </c>
      <c r="CN184" s="22">
        <f t="shared" si="172"/>
        <v>3.251421722996191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1.1368683772161603E-13</v>
      </c>
      <c r="CU184" s="17">
        <f>CT184*VLOOKUP('Données projet'!$B$13,Paramètres!$A$1:$I$89,3,0)*VLOOKUP('Données projet'!$B$13,Paramètres!$A$1:$I$89,5,0)</f>
        <v>1.0286385077051818E-13</v>
      </c>
      <c r="CV184" s="13">
        <f t="shared" si="173"/>
        <v>1.5402366592183556E-12</v>
      </c>
      <c r="CW184" s="20">
        <f t="shared" si="174"/>
        <v>2.8617333882306215E-12</v>
      </c>
      <c r="CX184" s="59">
        <f t="shared" si="122"/>
        <v>293.33333333333616</v>
      </c>
      <c r="CY184" s="59">
        <f ca="1">AVERAGE(OFFSET($CX$3,0,0,'Données projet'!$E$13+1,1))-AVERAGE(OFFSET($H$3,0,0,'Données projet'!$E$13+1,1))</f>
        <v>282.08542131880455</v>
      </c>
      <c r="CZ184" s="59">
        <f t="shared" si="150"/>
        <v>174.27503468762325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34.061733673798294</v>
      </c>
      <c r="DG184" s="21">
        <f>EXP(-LN(2)/25)*DG183+(1-EXP(-LN(2)/25))/(LN(2)/25)*Calculateur!DB184*Calculateur!DD184*VLOOKUP('Données projet'!$B$13,Paramètres!$A$1:$I$89,3,0)*0.475*44/12</f>
        <v>12.972242494491148</v>
      </c>
      <c r="DH184" s="21">
        <f>EXP(-LN(2)/2)*DH183+(1-EXP(-LN(2)/2))/(LN(2)/2)*DB184*DE184*VLOOKUP('Données projet'!$B$13,Paramètres!$A$1:$I$89,3,0)*0.475*44/12</f>
        <v>1.0969396985835954E-20</v>
      </c>
      <c r="DI184" s="22">
        <f t="shared" si="175"/>
        <v>47.033976168289442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5.6843418860808015E-14</v>
      </c>
      <c r="DP184" s="17">
        <f>DO184*VLOOKUP('Données projet'!$B$14,Paramètres!$A$1:$I$89,3,0)*VLOOKUP('Données projet'!$B$14,Paramètres!$A$1:$I$89,5,0)</f>
        <v>4.6111381379887463E-14</v>
      </c>
      <c r="DQ184" s="13">
        <f t="shared" si="176"/>
        <v>7.5804141040779151E-13</v>
      </c>
      <c r="DR184" s="20">
        <f t="shared" si="177"/>
        <v>1.4005661123635408E-12</v>
      </c>
      <c r="DS184" s="59">
        <f t="shared" si="125"/>
        <v>293.33333333333474</v>
      </c>
      <c r="DT184" s="59">
        <f ca="1">AVERAGE(OFFSET($DS$3,0,0,'Données projet'!$E$14+1,1))-AVERAGE(OFFSET($H$3,0,0,'Données projet'!$E$14+1,1))</f>
        <v>235.31102883830971</v>
      </c>
      <c r="DU184" s="59">
        <f t="shared" si="152"/>
        <v>271.48630853790422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7.6716131576545949</v>
      </c>
      <c r="EB184" s="21">
        <f>EXP(-LN(2)/25)*EB183+(1-EXP(-LN(2)/25))/(LN(2)/25)*Calculateur!DW184*Calculateur!DY184*VLOOKUP('Données projet'!$B$14,Paramètres!$A$1:$I$89,3,0)*0.475*44/12</f>
        <v>4.7445653249494049</v>
      </c>
      <c r="EC184" s="21">
        <f>EXP(-LN(2)/2)*EC183+(1-EXP(-LN(2)/2))/(LN(2)/2)*DW184*DZ184*VLOOKUP('Données projet'!$B$14,Paramètres!$A$1:$I$89,3,0)*0.475*44/12</f>
        <v>1.3236998929488711E-20</v>
      </c>
      <c r="ED184" s="22">
        <f t="shared" si="178"/>
        <v>12.416178482604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-1.2505552149377763E-12</v>
      </c>
      <c r="O185" s="13">
        <f>N185*VLOOKUP('Données projet'!$B$9,Paramètres!$A$1:$I$89,3,0)*VLOOKUP('Données projet'!$B$9,Paramètres!$A$1:$I$89,5,0)</f>
        <v>-6.9906036515021697E-13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446.28010102877403</v>
      </c>
      <c r="T185" s="59">
        <f t="shared" si="142"/>
        <v>445.84011537290456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0.56276958553968315</v>
      </c>
      <c r="AA185" s="21">
        <f>EXP(-LN(2)/25)*AA184+(1-EXP(-LN(2)/25))/(LN(2)/25)*Calculateur!V185*Calculateur!X185*VLOOKUP('Données projet'!$B$9,Paramètres!$A$1:$I$89,3,0)*0.475*44/12</f>
        <v>0.57294744238259265</v>
      </c>
      <c r="AB185" s="21">
        <f>EXP(-LN(2)/2)*AB184+(1-EXP(-LN(2)/2))/(LN(2)/2)*V185*Y185*VLOOKUP('Données projet'!$B$9,Paramètres!$A$1:$I$89,3,0)*0.475*44/12</f>
        <v>4.8270146291239325E-22</v>
      </c>
      <c r="AC185" s="22">
        <f t="shared" si="163"/>
        <v>1.1357170279222757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-5.3205440053716299E-14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252.98248842635206</v>
      </c>
      <c r="AO185" s="59">
        <f t="shared" si="144"/>
        <v>207.11938580878308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0.15447183773185555</v>
      </c>
      <c r="AV185" s="21">
        <f>EXP(-LN(2)/25)*AV184+(1-EXP(-LN(2)/25))/(LN(2)/25)*Calculateur!AQ185*Calculateur!AS185*VLOOKUP('Données projet'!$B$10,Paramètres!$A$1:$I$89,3,0)*0.475*44/12</f>
        <v>0.11612065813555683</v>
      </c>
      <c r="AW185" s="21">
        <f>EXP(-LN(2)/2)*AW184+(1-EXP(-LN(2)/2))/(LN(2)/2)*AQ185*AT185*VLOOKUP('Données projet'!$B$10,Paramètres!$A$1:$I$89,3,0)*0.475*44/12</f>
        <v>1.3012777221921136E-22</v>
      </c>
      <c r="AX185" s="21">
        <f t="shared" si="166"/>
        <v>0.27059249586741241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2.8421709430404007E-14</v>
      </c>
      <c r="BE185" s="13">
        <f>BD185*VLOOKUP('Données projet'!$B$11,Paramètres!$A$1:$I$89,3,0)*VLOOKUP('Données projet'!$B$11,Paramètres!$A$1:$I$89,5,0)</f>
        <v>1.8621904018800706E-14</v>
      </c>
      <c r="BF185" s="13">
        <f t="shared" si="167"/>
        <v>3.40208645124969E-13</v>
      </c>
      <c r="BG185" s="20">
        <f t="shared" si="168"/>
        <v>6.2496320642539887E-13</v>
      </c>
      <c r="BH185" s="59">
        <f t="shared" si="116"/>
        <v>293.33333333333394</v>
      </c>
      <c r="BI185" s="59">
        <f ca="1">AVERAGE(OFFSET($BH$3,0,0,'Données projet'!$E$11+1,1))-AVERAGE(OFFSET($H$3,0,0,'Données projet'!$E$11+1,1))</f>
        <v>114.23168847330004</v>
      </c>
      <c r="BJ185" s="59">
        <f t="shared" si="146"/>
        <v>42.34857998136755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2.8421709430404007E-14</v>
      </c>
      <c r="BZ185" s="13">
        <f>BY185*VLOOKUP('Données projet'!$B$12,Paramètres!$A$1:$I$89,3,0)*VLOOKUP('Données projet'!$B$12,Paramètres!$A$1:$I$89,5,0)</f>
        <v>2.7489477361086758E-14</v>
      </c>
      <c r="CA185" s="13">
        <f t="shared" si="170"/>
        <v>4.7995394886724981E-13</v>
      </c>
      <c r="CB185" s="20">
        <f t="shared" si="171"/>
        <v>8.8379730068101964E-13</v>
      </c>
      <c r="CC185" s="59">
        <f t="shared" si="119"/>
        <v>293.33333333333422</v>
      </c>
      <c r="CD185" s="59">
        <f ca="1">AVERAGE(OFFSET($CC$3,0,0,'Données projet'!$E$12+1,1))-AVERAGE(OFFSET($H$3,0,0,'Données projet'!$E$12+1,1))</f>
        <v>201.36664523637006</v>
      </c>
      <c r="CE185" s="59">
        <f t="shared" si="148"/>
        <v>79.394119001888555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3.1625114249960231</v>
      </c>
      <c r="CM185" s="21">
        <f>EXP(-LN(2)/2)*CM184+(1-EXP(-LN(2)/2))/(LN(2)/2)*CG185*CJ185*VLOOKUP('Données projet'!$B$12,Paramètres!$A$1:$I$89,3,0)*0.475*44/12</f>
        <v>5.2176465651598809E-21</v>
      </c>
      <c r="CN185" s="22">
        <f t="shared" si="172"/>
        <v>3.1625114249960231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1.1368683772161603E-13</v>
      </c>
      <c r="CU185" s="17">
        <f>CT185*VLOOKUP('Données projet'!$B$13,Paramètres!$A$1:$I$89,3,0)*VLOOKUP('Données projet'!$B$13,Paramètres!$A$1:$I$89,5,0)</f>
        <v>1.0286385077051818E-13</v>
      </c>
      <c r="CV185" s="13">
        <f t="shared" si="173"/>
        <v>1.5402366592183556E-12</v>
      </c>
      <c r="CW185" s="20">
        <f t="shared" si="174"/>
        <v>2.8617333882306215E-12</v>
      </c>
      <c r="CX185" s="59">
        <f t="shared" si="122"/>
        <v>293.33333333333616</v>
      </c>
      <c r="CY185" s="59">
        <f ca="1">AVERAGE(OFFSET($CX$3,0,0,'Données projet'!$E$13+1,1))-AVERAGE(OFFSET($H$3,0,0,'Données projet'!$E$13+1,1))</f>
        <v>282.08542131880455</v>
      </c>
      <c r="CZ185" s="59">
        <f t="shared" si="150"/>
        <v>174.27503468762325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33.393803852061232</v>
      </c>
      <c r="DG185" s="21">
        <f>EXP(-LN(2)/25)*DG184+(1-EXP(-LN(2)/25))/(LN(2)/25)*Calculateur!DB185*Calculateur!DD185*VLOOKUP('Données projet'!$B$13,Paramètres!$A$1:$I$89,3,0)*0.475*44/12</f>
        <v>12.617515841298703</v>
      </c>
      <c r="DH185" s="21">
        <f>EXP(-LN(2)/2)*DH184+(1-EXP(-LN(2)/2))/(LN(2)/2)*DB185*DE185*VLOOKUP('Données projet'!$B$13,Paramètres!$A$1:$I$89,3,0)*0.475*44/12</f>
        <v>7.7565349942118775E-21</v>
      </c>
      <c r="DI185" s="22">
        <f t="shared" si="175"/>
        <v>46.011319693359937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5.6843418860808015E-14</v>
      </c>
      <c r="DP185" s="17">
        <f>DO185*VLOOKUP('Données projet'!$B$14,Paramètres!$A$1:$I$89,3,0)*VLOOKUP('Données projet'!$B$14,Paramètres!$A$1:$I$89,5,0)</f>
        <v>4.6111381379887463E-14</v>
      </c>
      <c r="DQ185" s="13">
        <f t="shared" si="176"/>
        <v>7.5804141040779151E-13</v>
      </c>
      <c r="DR185" s="20">
        <f t="shared" si="177"/>
        <v>1.4005661123635408E-12</v>
      </c>
      <c r="DS185" s="59">
        <f t="shared" si="125"/>
        <v>293.33333333333474</v>
      </c>
      <c r="DT185" s="59">
        <f ca="1">AVERAGE(OFFSET($DS$3,0,0,'Données projet'!$E$14+1,1))-AVERAGE(OFFSET($H$3,0,0,'Données projet'!$E$14+1,1))</f>
        <v>235.31102883830971</v>
      </c>
      <c r="DU185" s="59">
        <f t="shared" si="152"/>
        <v>271.48630853790422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7.5211775028549797</v>
      </c>
      <c r="EB185" s="21">
        <f>EXP(-LN(2)/25)*EB184+(1-EXP(-LN(2)/25))/(LN(2)/25)*Calculateur!DW185*Calculateur!DY185*VLOOKUP('Données projet'!$B$14,Paramètres!$A$1:$I$89,3,0)*0.475*44/12</f>
        <v>4.6148249366328171</v>
      </c>
      <c r="EC185" s="21">
        <f>EXP(-LN(2)/2)*EC184+(1-EXP(-LN(2)/2))/(LN(2)/2)*DW185*DZ185*VLOOKUP('Données projet'!$B$14,Paramètres!$A$1:$I$89,3,0)*0.475*44/12</f>
        <v>9.3599717056005382E-21</v>
      </c>
      <c r="ED185" s="22">
        <f t="shared" si="178"/>
        <v>12.136002439487797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-1.2505552149377763E-12</v>
      </c>
      <c r="O186" s="13">
        <f>N186*VLOOKUP('Données projet'!$B$9,Paramètres!$A$1:$I$89,3,0)*VLOOKUP('Données projet'!$B$9,Paramètres!$A$1:$I$89,5,0)</f>
        <v>-6.9906036515021697E-13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446.28010102877403</v>
      </c>
      <c r="T186" s="59">
        <f t="shared" si="142"/>
        <v>445.84011537290456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0.55173401722280346</v>
      </c>
      <c r="AA186" s="21">
        <f>EXP(-LN(2)/25)*AA185+(1-EXP(-LN(2)/25))/(LN(2)/25)*Calculateur!V186*Calculateur!X186*VLOOKUP('Données projet'!$B$9,Paramètres!$A$1:$I$89,3,0)*0.475*44/12</f>
        <v>0.5572801644406441</v>
      </c>
      <c r="AB186" s="21">
        <f>EXP(-LN(2)/2)*AB185+(1-EXP(-LN(2)/2))/(LN(2)/2)*V186*Y186*VLOOKUP('Données projet'!$B$9,Paramètres!$A$1:$I$89,3,0)*0.475*44/12</f>
        <v>3.4132147771402004E-22</v>
      </c>
      <c r="AC186" s="22">
        <f t="shared" si="163"/>
        <v>1.1090141816634476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-5.3205440053716299E-14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252.98248842635206</v>
      </c>
      <c r="AO186" s="59">
        <f t="shared" si="144"/>
        <v>207.11938580878308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0.15144273921245158</v>
      </c>
      <c r="AV186" s="21">
        <f>EXP(-LN(2)/25)*AV185+(1-EXP(-LN(2)/25))/(LN(2)/25)*Calculateur!AQ186*Calculateur!AS186*VLOOKUP('Données projet'!$B$10,Paramètres!$A$1:$I$89,3,0)*0.475*44/12</f>
        <v>0.11294533263232001</v>
      </c>
      <c r="AW186" s="21">
        <f>EXP(-LN(2)/2)*AW185+(1-EXP(-LN(2)/2))/(LN(2)/2)*AQ186*AT186*VLOOKUP('Données projet'!$B$10,Paramètres!$A$1:$I$89,3,0)*0.475*44/12</f>
        <v>9.2014230156902789E-23</v>
      </c>
      <c r="AX186" s="21">
        <f t="shared" si="166"/>
        <v>0.26438807184477159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2.8421709430404007E-14</v>
      </c>
      <c r="BE186" s="13">
        <f>BD186*VLOOKUP('Données projet'!$B$11,Paramètres!$A$1:$I$89,3,0)*VLOOKUP('Données projet'!$B$11,Paramètres!$A$1:$I$89,5,0)</f>
        <v>1.8621904018800706E-14</v>
      </c>
      <c r="BF186" s="13">
        <f t="shared" si="167"/>
        <v>3.40208645124969E-13</v>
      </c>
      <c r="BG186" s="20">
        <f t="shared" si="168"/>
        <v>6.2496320642539887E-13</v>
      </c>
      <c r="BH186" s="59">
        <f t="shared" si="116"/>
        <v>293.33333333333394</v>
      </c>
      <c r="BI186" s="59">
        <f ca="1">AVERAGE(OFFSET($BH$3,0,0,'Données projet'!$E$11+1,1))-AVERAGE(OFFSET($H$3,0,0,'Données projet'!$E$11+1,1))</f>
        <v>114.23168847330004</v>
      </c>
      <c r="BJ186" s="59">
        <f t="shared" si="146"/>
        <v>42.34857998136755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2.8421709430404007E-14</v>
      </c>
      <c r="BZ186" s="13">
        <f>BY186*VLOOKUP('Données projet'!$B$12,Paramètres!$A$1:$I$89,3,0)*VLOOKUP('Données projet'!$B$12,Paramètres!$A$1:$I$89,5,0)</f>
        <v>2.7489477361086758E-14</v>
      </c>
      <c r="CA186" s="13">
        <f t="shared" si="170"/>
        <v>4.7995394886724981E-13</v>
      </c>
      <c r="CB186" s="20">
        <f t="shared" si="171"/>
        <v>8.8379730068101964E-13</v>
      </c>
      <c r="CC186" s="59">
        <f t="shared" si="119"/>
        <v>293.33333333333422</v>
      </c>
      <c r="CD186" s="59">
        <f ca="1">AVERAGE(OFFSET($CC$3,0,0,'Données projet'!$E$12+1,1))-AVERAGE(OFFSET($H$3,0,0,'Données projet'!$E$12+1,1))</f>
        <v>201.36664523637006</v>
      </c>
      <c r="CE186" s="59">
        <f t="shared" si="148"/>
        <v>79.394119001888555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3.0760323837702592</v>
      </c>
      <c r="CM186" s="21">
        <f>EXP(-LN(2)/2)*CM185+(1-EXP(-LN(2)/2))/(LN(2)/2)*CG186*CJ186*VLOOKUP('Données projet'!$B$12,Paramètres!$A$1:$I$89,3,0)*0.475*44/12</f>
        <v>3.6894332680592491E-21</v>
      </c>
      <c r="CN186" s="22">
        <f t="shared" si="172"/>
        <v>3.0760323837702592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1.1368683772161603E-13</v>
      </c>
      <c r="CU186" s="17">
        <f>CT186*VLOOKUP('Données projet'!$B$13,Paramètres!$A$1:$I$89,3,0)*VLOOKUP('Données projet'!$B$13,Paramètres!$A$1:$I$89,5,0)</f>
        <v>1.0286385077051818E-13</v>
      </c>
      <c r="CV186" s="13">
        <f t="shared" si="173"/>
        <v>1.5402366592183556E-12</v>
      </c>
      <c r="CW186" s="20">
        <f t="shared" si="174"/>
        <v>2.8617333882306215E-12</v>
      </c>
      <c r="CX186" s="59">
        <f t="shared" si="122"/>
        <v>293.33333333333616</v>
      </c>
      <c r="CY186" s="59">
        <f ca="1">AVERAGE(OFFSET($CX$3,0,0,'Données projet'!$E$13+1,1))-AVERAGE(OFFSET($H$3,0,0,'Données projet'!$E$13+1,1))</f>
        <v>282.08542131880455</v>
      </c>
      <c r="CZ186" s="59">
        <f t="shared" si="150"/>
        <v>174.27503468762325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32.738971726731471</v>
      </c>
      <c r="DG186" s="21">
        <f>EXP(-LN(2)/25)*DG185+(1-EXP(-LN(2)/25))/(LN(2)/25)*Calculateur!DB186*Calculateur!DD186*VLOOKUP('Données projet'!$B$13,Paramètres!$A$1:$I$89,3,0)*0.475*44/12</f>
        <v>12.27248920709207</v>
      </c>
      <c r="DH186" s="21">
        <f>EXP(-LN(2)/2)*DH185+(1-EXP(-LN(2)/2))/(LN(2)/2)*DB186*DE186*VLOOKUP('Données projet'!$B$13,Paramètres!$A$1:$I$89,3,0)*0.475*44/12</f>
        <v>5.4846984929179769E-21</v>
      </c>
      <c r="DI186" s="22">
        <f t="shared" si="175"/>
        <v>45.011460933823543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5.6843418860808015E-14</v>
      </c>
      <c r="DP186" s="17">
        <f>DO186*VLOOKUP('Données projet'!$B$14,Paramètres!$A$1:$I$89,3,0)*VLOOKUP('Données projet'!$B$14,Paramètres!$A$1:$I$89,5,0)</f>
        <v>4.6111381379887463E-14</v>
      </c>
      <c r="DQ186" s="13">
        <f t="shared" si="176"/>
        <v>7.5804141040779151E-13</v>
      </c>
      <c r="DR186" s="20">
        <f t="shared" si="177"/>
        <v>1.4005661123635408E-12</v>
      </c>
      <c r="DS186" s="59">
        <f t="shared" si="125"/>
        <v>293.33333333333474</v>
      </c>
      <c r="DT186" s="59">
        <f ca="1">AVERAGE(OFFSET($DS$3,0,0,'Données projet'!$E$14+1,1))-AVERAGE(OFFSET($H$3,0,0,'Données projet'!$E$14+1,1))</f>
        <v>235.31102883830971</v>
      </c>
      <c r="DU186" s="59">
        <f t="shared" si="152"/>
        <v>271.48630853790422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7.3736917994892961</v>
      </c>
      <c r="EB186" s="21">
        <f>EXP(-LN(2)/25)*EB185+(1-EXP(-LN(2)/25))/(LN(2)/25)*Calculateur!DW186*Calculateur!DY186*VLOOKUP('Données projet'!$B$14,Paramètres!$A$1:$I$89,3,0)*0.475*44/12</f>
        <v>4.4886323060574966</v>
      </c>
      <c r="EC186" s="21">
        <f>EXP(-LN(2)/2)*EC185+(1-EXP(-LN(2)/2))/(LN(2)/2)*DW186*DZ186*VLOOKUP('Données projet'!$B$14,Paramètres!$A$1:$I$89,3,0)*0.475*44/12</f>
        <v>6.6184994647443562E-21</v>
      </c>
      <c r="ED186" s="22">
        <f t="shared" si="178"/>
        <v>11.862324105546794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-1.2505552149377763E-12</v>
      </c>
      <c r="O187" s="13">
        <f>N187*VLOOKUP('Données projet'!$B$9,Paramètres!$A$1:$I$89,3,0)*VLOOKUP('Données projet'!$B$9,Paramètres!$A$1:$I$89,5,0)</f>
        <v>-6.9906036515021697E-13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446.28010102877403</v>
      </c>
      <c r="T187" s="59">
        <f t="shared" si="142"/>
        <v>445.84011537290456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0.54091484966958581</v>
      </c>
      <c r="AA187" s="21">
        <f>EXP(-LN(2)/25)*AA186+(1-EXP(-LN(2)/25))/(LN(2)/25)*Calculateur!V187*Calculateur!X187*VLOOKUP('Données projet'!$B$9,Paramètres!$A$1:$I$89,3,0)*0.475*44/12</f>
        <v>0.54204130903792447</v>
      </c>
      <c r="AB187" s="21">
        <f>EXP(-LN(2)/2)*AB186+(1-EXP(-LN(2)/2))/(LN(2)/2)*V187*Y187*VLOOKUP('Données projet'!$B$9,Paramètres!$A$1:$I$89,3,0)*0.475*44/12</f>
        <v>2.4135073145619662E-22</v>
      </c>
      <c r="AC187" s="22">
        <f t="shared" si="163"/>
        <v>1.0829561587075103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-5.3205440053716299E-14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252.98248842635206</v>
      </c>
      <c r="AO187" s="59">
        <f t="shared" si="144"/>
        <v>207.11938580878308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0.14847303946744544</v>
      </c>
      <c r="AV187" s="21">
        <f>EXP(-LN(2)/25)*AV186+(1-EXP(-LN(2)/25))/(LN(2)/25)*Calculateur!AQ187*Calculateur!AS187*VLOOKUP('Données projet'!$B$10,Paramètres!$A$1:$I$89,3,0)*0.475*44/12</f>
        <v>0.10985683657195232</v>
      </c>
      <c r="AW187" s="21">
        <f>EXP(-LN(2)/2)*AW186+(1-EXP(-LN(2)/2))/(LN(2)/2)*AQ187*AT187*VLOOKUP('Données projet'!$B$10,Paramètres!$A$1:$I$89,3,0)*0.475*44/12</f>
        <v>6.5063886109605682E-23</v>
      </c>
      <c r="AX187" s="21">
        <f t="shared" si="166"/>
        <v>0.25832987603939778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2.8421709430404007E-14</v>
      </c>
      <c r="BE187" s="13">
        <f>BD187*VLOOKUP('Données projet'!$B$11,Paramètres!$A$1:$I$89,3,0)*VLOOKUP('Données projet'!$B$11,Paramètres!$A$1:$I$89,5,0)</f>
        <v>1.8621904018800706E-14</v>
      </c>
      <c r="BF187" s="13">
        <f t="shared" si="167"/>
        <v>3.40208645124969E-13</v>
      </c>
      <c r="BG187" s="20">
        <f t="shared" si="168"/>
        <v>6.2496320642539887E-13</v>
      </c>
      <c r="BH187" s="59">
        <f t="shared" si="116"/>
        <v>293.33333333333394</v>
      </c>
      <c r="BI187" s="59">
        <f ca="1">AVERAGE(OFFSET($BH$3,0,0,'Données projet'!$E$11+1,1))-AVERAGE(OFFSET($H$3,0,0,'Données projet'!$E$11+1,1))</f>
        <v>114.23168847330004</v>
      </c>
      <c r="BJ187" s="59">
        <f t="shared" si="146"/>
        <v>42.34857998136755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2.8421709430404007E-14</v>
      </c>
      <c r="BZ187" s="13">
        <f>BY187*VLOOKUP('Données projet'!$B$12,Paramètres!$A$1:$I$89,3,0)*VLOOKUP('Données projet'!$B$12,Paramètres!$A$1:$I$89,5,0)</f>
        <v>2.7489477361086758E-14</v>
      </c>
      <c r="CA187" s="13">
        <f t="shared" si="170"/>
        <v>4.7995394886724981E-13</v>
      </c>
      <c r="CB187" s="20">
        <f t="shared" si="171"/>
        <v>8.8379730068101964E-13</v>
      </c>
      <c r="CC187" s="59">
        <f t="shared" si="119"/>
        <v>293.33333333333422</v>
      </c>
      <c r="CD187" s="59">
        <f ca="1">AVERAGE(OFFSET($CC$3,0,0,'Données projet'!$E$12+1,1))-AVERAGE(OFFSET($H$3,0,0,'Données projet'!$E$12+1,1))</f>
        <v>201.36664523637006</v>
      </c>
      <c r="CE187" s="59">
        <f t="shared" si="148"/>
        <v>79.394119001888555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2.9919181164745488</v>
      </c>
      <c r="CM187" s="21">
        <f>EXP(-LN(2)/2)*CM186+(1-EXP(-LN(2)/2))/(LN(2)/2)*CG187*CJ187*VLOOKUP('Données projet'!$B$12,Paramètres!$A$1:$I$89,3,0)*0.475*44/12</f>
        <v>2.6088232825799405E-21</v>
      </c>
      <c r="CN187" s="22">
        <f t="shared" si="172"/>
        <v>2.9919181164745488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1.1368683772161603E-13</v>
      </c>
      <c r="CU187" s="17">
        <f>CT187*VLOOKUP('Données projet'!$B$13,Paramètres!$A$1:$I$89,3,0)*VLOOKUP('Données projet'!$B$13,Paramètres!$A$1:$I$89,5,0)</f>
        <v>1.0286385077051818E-13</v>
      </c>
      <c r="CV187" s="13">
        <f t="shared" si="173"/>
        <v>1.5402366592183556E-12</v>
      </c>
      <c r="CW187" s="20">
        <f t="shared" si="174"/>
        <v>2.8617333882306215E-12</v>
      </c>
      <c r="CX187" s="59">
        <f t="shared" si="122"/>
        <v>293.33333333333616</v>
      </c>
      <c r="CY187" s="59">
        <f ca="1">AVERAGE(OFFSET($CX$3,0,0,'Données projet'!$E$13+1,1))-AVERAGE(OFFSET($H$3,0,0,'Données projet'!$E$13+1,1))</f>
        <v>282.08542131880455</v>
      </c>
      <c r="CZ187" s="59">
        <f t="shared" si="150"/>
        <v>174.27503468762325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32.096980459971263</v>
      </c>
      <c r="DG187" s="21">
        <f>EXP(-LN(2)/25)*DG186+(1-EXP(-LN(2)/25))/(LN(2)/25)*Calculateur!DB187*Calculateur!DD187*VLOOKUP('Données projet'!$B$13,Paramètres!$A$1:$I$89,3,0)*0.475*44/12</f>
        <v>11.936897344341979</v>
      </c>
      <c r="DH187" s="21">
        <f>EXP(-LN(2)/2)*DH186+(1-EXP(-LN(2)/2))/(LN(2)/2)*DB187*DE187*VLOOKUP('Données projet'!$B$13,Paramètres!$A$1:$I$89,3,0)*0.475*44/12</f>
        <v>3.8782674971059388E-21</v>
      </c>
      <c r="DI187" s="22">
        <f t="shared" si="175"/>
        <v>44.033877804313242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5.6843418860808015E-14</v>
      </c>
      <c r="DP187" s="17">
        <f>DO187*VLOOKUP('Données projet'!$B$14,Paramètres!$A$1:$I$89,3,0)*VLOOKUP('Données projet'!$B$14,Paramètres!$A$1:$I$89,5,0)</f>
        <v>4.6111381379887463E-14</v>
      </c>
      <c r="DQ187" s="13">
        <f t="shared" si="176"/>
        <v>7.5804141040779151E-13</v>
      </c>
      <c r="DR187" s="20">
        <f t="shared" si="177"/>
        <v>1.4005661123635408E-12</v>
      </c>
      <c r="DS187" s="59">
        <f t="shared" si="125"/>
        <v>293.33333333333474</v>
      </c>
      <c r="DT187" s="59">
        <f ca="1">AVERAGE(OFFSET($DS$3,0,0,'Données projet'!$E$14+1,1))-AVERAGE(OFFSET($H$3,0,0,'Données projet'!$E$14+1,1))</f>
        <v>235.31102883830971</v>
      </c>
      <c r="DU187" s="59">
        <f t="shared" si="152"/>
        <v>271.48630853790422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7.2290982008092168</v>
      </c>
      <c r="EB187" s="21">
        <f>EXP(-LN(2)/25)*EB186+(1-EXP(-LN(2)/25))/(LN(2)/25)*Calculateur!DW187*Calculateur!DY187*VLOOKUP('Données projet'!$B$14,Paramètres!$A$1:$I$89,3,0)*0.475*44/12</f>
        <v>4.3658904196014401</v>
      </c>
      <c r="EC187" s="21">
        <f>EXP(-LN(2)/2)*EC186+(1-EXP(-LN(2)/2))/(LN(2)/2)*DW187*DZ187*VLOOKUP('Données projet'!$B$14,Paramètres!$A$1:$I$89,3,0)*0.475*44/12</f>
        <v>4.6799858528002698E-21</v>
      </c>
      <c r="ED187" s="22">
        <f t="shared" si="178"/>
        <v>11.594988620410657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-1.2505552149377763E-12</v>
      </c>
      <c r="O188" s="13">
        <f>N188*VLOOKUP('Données projet'!$B$9,Paramètres!$A$1:$I$89,3,0)*VLOOKUP('Données projet'!$B$9,Paramètres!$A$1:$I$89,5,0)</f>
        <v>-6.9906036515021697E-13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446.28010102877403</v>
      </c>
      <c r="T188" s="59">
        <f t="shared" si="142"/>
        <v>445.84011537290456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0.53030783939304604</v>
      </c>
      <c r="AA188" s="21">
        <f>EXP(-LN(2)/25)*AA187+(1-EXP(-LN(2)/25))/(LN(2)/25)*Calculateur!V188*Calculateur!X188*VLOOKUP('Données projet'!$B$9,Paramètres!$A$1:$I$89,3,0)*0.475*44/12</f>
        <v>0.52721916093756882</v>
      </c>
      <c r="AB188" s="21">
        <f>EXP(-LN(2)/2)*AB187+(1-EXP(-LN(2)/2))/(LN(2)/2)*V188*Y188*VLOOKUP('Données projet'!$B$9,Paramètres!$A$1:$I$89,3,0)*0.475*44/12</f>
        <v>1.7066073885701002E-22</v>
      </c>
      <c r="AC188" s="22">
        <f t="shared" si="163"/>
        <v>1.057527000330615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-5.3205440053716299E-14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252.98248842635206</v>
      </c>
      <c r="AO188" s="59">
        <f t="shared" si="144"/>
        <v>207.11938580878308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0.14556157372310088</v>
      </c>
      <c r="AV188" s="21">
        <f>EXP(-LN(2)/25)*AV187+(1-EXP(-LN(2)/25))/(LN(2)/25)*Calculateur!AQ188*Calculateur!AS188*VLOOKUP('Données projet'!$B$10,Paramètres!$A$1:$I$89,3,0)*0.475*44/12</f>
        <v>0.10685279559877232</v>
      </c>
      <c r="AW188" s="21">
        <f>EXP(-LN(2)/2)*AW187+(1-EXP(-LN(2)/2))/(LN(2)/2)*AQ188*AT188*VLOOKUP('Données projet'!$B$10,Paramètres!$A$1:$I$89,3,0)*0.475*44/12</f>
        <v>4.6007115078451394E-23</v>
      </c>
      <c r="AX188" s="21">
        <f t="shared" si="166"/>
        <v>0.25241436932187322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2.8421709430404007E-14</v>
      </c>
      <c r="BE188" s="13">
        <f>BD188*VLOOKUP('Données projet'!$B$11,Paramètres!$A$1:$I$89,3,0)*VLOOKUP('Données projet'!$B$11,Paramètres!$A$1:$I$89,5,0)</f>
        <v>1.8621904018800706E-14</v>
      </c>
      <c r="BF188" s="13">
        <f t="shared" si="167"/>
        <v>3.40208645124969E-13</v>
      </c>
      <c r="BG188" s="20">
        <f t="shared" si="168"/>
        <v>6.2496320642539887E-13</v>
      </c>
      <c r="BH188" s="59">
        <f t="shared" si="116"/>
        <v>293.33333333333394</v>
      </c>
      <c r="BI188" s="59">
        <f ca="1">AVERAGE(OFFSET($BH$3,0,0,'Données projet'!$E$11+1,1))-AVERAGE(OFFSET($H$3,0,0,'Données projet'!$E$11+1,1))</f>
        <v>114.23168847330004</v>
      </c>
      <c r="BJ188" s="59">
        <f t="shared" si="146"/>
        <v>42.34857998136755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2.8421709430404007E-14</v>
      </c>
      <c r="BZ188" s="13">
        <f>BY188*VLOOKUP('Données projet'!$B$12,Paramètres!$A$1:$I$89,3,0)*VLOOKUP('Données projet'!$B$12,Paramètres!$A$1:$I$89,5,0)</f>
        <v>2.7489477361086758E-14</v>
      </c>
      <c r="CA188" s="13">
        <f t="shared" si="170"/>
        <v>4.7995394886724981E-13</v>
      </c>
      <c r="CB188" s="20">
        <f t="shared" si="171"/>
        <v>8.8379730068101964E-13</v>
      </c>
      <c r="CC188" s="59">
        <f t="shared" si="119"/>
        <v>293.33333333333422</v>
      </c>
      <c r="CD188" s="59">
        <f ca="1">AVERAGE(OFFSET($CC$3,0,0,'Données projet'!$E$12+1,1))-AVERAGE(OFFSET($H$3,0,0,'Données projet'!$E$12+1,1))</f>
        <v>201.36664523637006</v>
      </c>
      <c r="CE188" s="59">
        <f t="shared" si="148"/>
        <v>79.394119001888555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2.9101039582414168</v>
      </c>
      <c r="CM188" s="21">
        <f>EXP(-LN(2)/2)*CM187+(1-EXP(-LN(2)/2))/(LN(2)/2)*CG188*CJ188*VLOOKUP('Données projet'!$B$12,Paramètres!$A$1:$I$89,3,0)*0.475*44/12</f>
        <v>1.8447166340296246E-21</v>
      </c>
      <c r="CN188" s="22">
        <f t="shared" si="172"/>
        <v>2.9101039582414168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1.1368683772161603E-13</v>
      </c>
      <c r="CU188" s="17">
        <f>CT188*VLOOKUP('Données projet'!$B$13,Paramètres!$A$1:$I$89,3,0)*VLOOKUP('Données projet'!$B$13,Paramètres!$A$1:$I$89,5,0)</f>
        <v>1.0286385077051818E-13</v>
      </c>
      <c r="CV188" s="13">
        <f t="shared" si="173"/>
        <v>1.5402366592183556E-12</v>
      </c>
      <c r="CW188" s="20">
        <f t="shared" si="174"/>
        <v>2.8617333882306215E-12</v>
      </c>
      <c r="CX188" s="59">
        <f t="shared" si="122"/>
        <v>293.33333333333616</v>
      </c>
      <c r="CY188" s="59">
        <f ca="1">AVERAGE(OFFSET($CX$3,0,0,'Données projet'!$E$13+1,1))-AVERAGE(OFFSET($H$3,0,0,'Données projet'!$E$13+1,1))</f>
        <v>282.08542131880455</v>
      </c>
      <c r="CZ188" s="59">
        <f t="shared" si="150"/>
        <v>174.27503468762325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31.467578250376217</v>
      </c>
      <c r="DG188" s="21">
        <f>EXP(-LN(2)/25)*DG187+(1-EXP(-LN(2)/25))/(LN(2)/25)*Calculateur!DB188*Calculateur!DD188*VLOOKUP('Données projet'!$B$13,Paramètres!$A$1:$I$89,3,0)*0.475*44/12</f>
        <v>11.610482258726799</v>
      </c>
      <c r="DH188" s="21">
        <f>EXP(-LN(2)/2)*DH187+(1-EXP(-LN(2)/2))/(LN(2)/2)*DB188*DE188*VLOOKUP('Données projet'!$B$13,Paramètres!$A$1:$I$89,3,0)*0.475*44/12</f>
        <v>2.7423492464589884E-21</v>
      </c>
      <c r="DI188" s="22">
        <f t="shared" si="175"/>
        <v>43.078060509103018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5.6843418860808015E-14</v>
      </c>
      <c r="DP188" s="17">
        <f>DO188*VLOOKUP('Données projet'!$B$14,Paramètres!$A$1:$I$89,3,0)*VLOOKUP('Données projet'!$B$14,Paramètres!$A$1:$I$89,5,0)</f>
        <v>4.6111381379887463E-14</v>
      </c>
      <c r="DQ188" s="13">
        <f t="shared" si="176"/>
        <v>7.5804141040779151E-13</v>
      </c>
      <c r="DR188" s="20">
        <f t="shared" si="177"/>
        <v>1.4005661123635408E-12</v>
      </c>
      <c r="DS188" s="59">
        <f t="shared" si="125"/>
        <v>293.33333333333474</v>
      </c>
      <c r="DT188" s="59">
        <f ca="1">AVERAGE(OFFSET($DS$3,0,0,'Données projet'!$E$14+1,1))-AVERAGE(OFFSET($H$3,0,0,'Données projet'!$E$14+1,1))</f>
        <v>235.31102883830971</v>
      </c>
      <c r="DU188" s="59">
        <f t="shared" si="152"/>
        <v>271.48630853790422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7.087339994405867</v>
      </c>
      <c r="EB188" s="21">
        <f>EXP(-LN(2)/25)*EB187+(1-EXP(-LN(2)/25))/(LN(2)/25)*Calculateur!DW188*Calculateur!DY188*VLOOKUP('Données projet'!$B$14,Paramètres!$A$1:$I$89,3,0)*0.475*44/12</f>
        <v>4.2465049164852395</v>
      </c>
      <c r="EC188" s="21">
        <f>EXP(-LN(2)/2)*EC187+(1-EXP(-LN(2)/2))/(LN(2)/2)*DW188*DZ188*VLOOKUP('Données projet'!$B$14,Paramètres!$A$1:$I$89,3,0)*0.475*44/12</f>
        <v>3.3092497323721788E-21</v>
      </c>
      <c r="ED188" s="22">
        <f t="shared" si="178"/>
        <v>11.333844910891106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-1.2505552149377763E-12</v>
      </c>
      <c r="O189" s="13">
        <f>N189*VLOOKUP('Données projet'!$B$9,Paramètres!$A$1:$I$89,3,0)*VLOOKUP('Données projet'!$B$9,Paramètres!$A$1:$I$89,5,0)</f>
        <v>-6.9906036515021697E-13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446.28010102877403</v>
      </c>
      <c r="T189" s="59">
        <f t="shared" si="142"/>
        <v>445.84011537290456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0.51990882611839184</v>
      </c>
      <c r="AA189" s="21">
        <f>EXP(-LN(2)/25)*AA188+(1-EXP(-LN(2)/25))/(LN(2)/25)*Calculateur!V189*Calculateur!X189*VLOOKUP('Données projet'!$B$9,Paramètres!$A$1:$I$89,3,0)*0.475*44/12</f>
        <v>0.51280232525648028</v>
      </c>
      <c r="AB189" s="21">
        <f>EXP(-LN(2)/2)*AB188+(1-EXP(-LN(2)/2))/(LN(2)/2)*V189*Y189*VLOOKUP('Données projet'!$B$9,Paramètres!$A$1:$I$89,3,0)*0.475*44/12</f>
        <v>1.2067536572809831E-22</v>
      </c>
      <c r="AC189" s="22">
        <f t="shared" si="163"/>
        <v>1.0327111513748721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-5.3205440053716299E-14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252.98248842635206</v>
      </c>
      <c r="AO189" s="59">
        <f t="shared" si="144"/>
        <v>207.11938580878308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0.14270720004618417</v>
      </c>
      <c r="AV189" s="21">
        <f>EXP(-LN(2)/25)*AV188+(1-EXP(-LN(2)/25))/(LN(2)/25)*Calculateur!AQ189*Calculateur!AS189*VLOOKUP('Données projet'!$B$10,Paramètres!$A$1:$I$89,3,0)*0.475*44/12</f>
        <v>0.10393090028397958</v>
      </c>
      <c r="AW189" s="21">
        <f>EXP(-LN(2)/2)*AW188+(1-EXP(-LN(2)/2))/(LN(2)/2)*AQ189*AT189*VLOOKUP('Données projet'!$B$10,Paramètres!$A$1:$I$89,3,0)*0.475*44/12</f>
        <v>3.2531943054802841E-23</v>
      </c>
      <c r="AX189" s="21">
        <f t="shared" si="166"/>
        <v>0.24663810033016376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2.8421709430404007E-14</v>
      </c>
      <c r="BE189" s="13">
        <f>BD189*VLOOKUP('Données projet'!$B$11,Paramètres!$A$1:$I$89,3,0)*VLOOKUP('Données projet'!$B$11,Paramètres!$A$1:$I$89,5,0)</f>
        <v>1.8621904018800706E-14</v>
      </c>
      <c r="BF189" s="13">
        <f t="shared" si="167"/>
        <v>3.40208645124969E-13</v>
      </c>
      <c r="BG189" s="20">
        <f t="shared" si="168"/>
        <v>6.2496320642539887E-13</v>
      </c>
      <c r="BH189" s="59">
        <f t="shared" si="116"/>
        <v>293.33333333333394</v>
      </c>
      <c r="BI189" s="59">
        <f ca="1">AVERAGE(OFFSET($BH$3,0,0,'Données projet'!$E$11+1,1))-AVERAGE(OFFSET($H$3,0,0,'Données projet'!$E$11+1,1))</f>
        <v>114.23168847330004</v>
      </c>
      <c r="BJ189" s="59">
        <f t="shared" si="146"/>
        <v>42.34857998136755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2.8421709430404007E-14</v>
      </c>
      <c r="BZ189" s="13">
        <f>BY189*VLOOKUP('Données projet'!$B$12,Paramètres!$A$1:$I$89,3,0)*VLOOKUP('Données projet'!$B$12,Paramètres!$A$1:$I$89,5,0)</f>
        <v>2.7489477361086758E-14</v>
      </c>
      <c r="CA189" s="13">
        <f t="shared" si="170"/>
        <v>4.7995394886724981E-13</v>
      </c>
      <c r="CB189" s="20">
        <f t="shared" si="171"/>
        <v>8.8379730068101964E-13</v>
      </c>
      <c r="CC189" s="59">
        <f t="shared" si="119"/>
        <v>293.33333333333422</v>
      </c>
      <c r="CD189" s="59">
        <f ca="1">AVERAGE(OFFSET($CC$3,0,0,'Données projet'!$E$12+1,1))-AVERAGE(OFFSET($H$3,0,0,'Données projet'!$E$12+1,1))</f>
        <v>201.36664523637006</v>
      </c>
      <c r="CE189" s="59">
        <f t="shared" si="148"/>
        <v>79.394119001888555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2.8305270124675892</v>
      </c>
      <c r="CM189" s="21">
        <f>EXP(-LN(2)/2)*CM188+(1-EXP(-LN(2)/2))/(LN(2)/2)*CG189*CJ189*VLOOKUP('Données projet'!$B$12,Paramètres!$A$1:$I$89,3,0)*0.475*44/12</f>
        <v>1.3044116412899702E-21</v>
      </c>
      <c r="CN189" s="22">
        <f t="shared" si="172"/>
        <v>2.8305270124675892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1.1368683772161603E-13</v>
      </c>
      <c r="CU189" s="17">
        <f>CT189*VLOOKUP('Données projet'!$B$13,Paramètres!$A$1:$I$89,3,0)*VLOOKUP('Données projet'!$B$13,Paramètres!$A$1:$I$89,5,0)</f>
        <v>1.0286385077051818E-13</v>
      </c>
      <c r="CV189" s="13">
        <f t="shared" si="173"/>
        <v>1.5402366592183556E-12</v>
      </c>
      <c r="CW189" s="20">
        <f t="shared" si="174"/>
        <v>2.8617333882306215E-12</v>
      </c>
      <c r="CX189" s="59">
        <f t="shared" si="122"/>
        <v>293.33333333333616</v>
      </c>
      <c r="CY189" s="59">
        <f ca="1">AVERAGE(OFFSET($CX$3,0,0,'Données projet'!$E$13+1,1))-AVERAGE(OFFSET($H$3,0,0,'Données projet'!$E$13+1,1))</f>
        <v>282.08542131880455</v>
      </c>
      <c r="CZ189" s="59">
        <f t="shared" si="150"/>
        <v>174.27503468762325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30.85051823421389</v>
      </c>
      <c r="DG189" s="21">
        <f>EXP(-LN(2)/25)*DG188+(1-EXP(-LN(2)/25))/(LN(2)/25)*Calculateur!DB189*Calculateur!DD189*VLOOKUP('Données projet'!$B$13,Paramètres!$A$1:$I$89,3,0)*0.475*44/12</f>
        <v>11.29299301079319</v>
      </c>
      <c r="DH189" s="21">
        <f>EXP(-LN(2)/2)*DH188+(1-EXP(-LN(2)/2))/(LN(2)/2)*DB189*DE189*VLOOKUP('Données projet'!$B$13,Paramètres!$A$1:$I$89,3,0)*0.475*44/12</f>
        <v>1.9391337485529694E-21</v>
      </c>
      <c r="DI189" s="22">
        <f t="shared" si="175"/>
        <v>42.143511245007076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5.6843418860808015E-14</v>
      </c>
      <c r="DP189" s="17">
        <f>DO189*VLOOKUP('Données projet'!$B$14,Paramètres!$A$1:$I$89,3,0)*VLOOKUP('Données projet'!$B$14,Paramètres!$A$1:$I$89,5,0)</f>
        <v>4.6111381379887463E-14</v>
      </c>
      <c r="DQ189" s="13">
        <f t="shared" si="176"/>
        <v>7.5804141040779151E-13</v>
      </c>
      <c r="DR189" s="20">
        <f t="shared" si="177"/>
        <v>1.4005661123635408E-12</v>
      </c>
      <c r="DS189" s="59">
        <f t="shared" si="125"/>
        <v>293.33333333333474</v>
      </c>
      <c r="DT189" s="59">
        <f ca="1">AVERAGE(OFFSET($DS$3,0,0,'Données projet'!$E$14+1,1))-AVERAGE(OFFSET($H$3,0,0,'Données projet'!$E$14+1,1))</f>
        <v>235.31102883830971</v>
      </c>
      <c r="DU189" s="59">
        <f t="shared" si="152"/>
        <v>271.48630853790422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6.9483615799661189</v>
      </c>
      <c r="EB189" s="21">
        <f>EXP(-LN(2)/25)*EB188+(1-EXP(-LN(2)/25))/(LN(2)/25)*Calculateur!DW189*Calculateur!DY189*VLOOKUP('Données projet'!$B$14,Paramètres!$A$1:$I$89,3,0)*0.475*44/12</f>
        <v>4.1303840162299625</v>
      </c>
      <c r="EC189" s="21">
        <f>EXP(-LN(2)/2)*EC188+(1-EXP(-LN(2)/2))/(LN(2)/2)*DW189*DZ189*VLOOKUP('Données projet'!$B$14,Paramètres!$A$1:$I$89,3,0)*0.475*44/12</f>
        <v>2.3399929264001353E-21</v>
      </c>
      <c r="ED189" s="22">
        <f t="shared" si="178"/>
        <v>11.078745596196082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-1.2505552149377763E-12</v>
      </c>
      <c r="O190" s="13">
        <f>N190*VLOOKUP('Données projet'!$B$9,Paramètres!$A$1:$I$89,3,0)*VLOOKUP('Données projet'!$B$9,Paramètres!$A$1:$I$89,5,0)</f>
        <v>-6.9906036515021697E-13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446.28010102877403</v>
      </c>
      <c r="T190" s="59">
        <f t="shared" si="142"/>
        <v>445.84011537290456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0.50971373115128182</v>
      </c>
      <c r="AA190" s="21">
        <f>EXP(-LN(2)/25)*AA189+(1-EXP(-LN(2)/25))/(LN(2)/25)*Calculateur!V190*Calculateur!X190*VLOOKUP('Données projet'!$B$9,Paramètres!$A$1:$I$89,3,0)*0.475*44/12</f>
        <v>0.49877971870523957</v>
      </c>
      <c r="AB190" s="21">
        <f>EXP(-LN(2)/2)*AB189+(1-EXP(-LN(2)/2))/(LN(2)/2)*V190*Y190*VLOOKUP('Données projet'!$B$9,Paramètres!$A$1:$I$89,3,0)*0.475*44/12</f>
        <v>8.533036942850501E-23</v>
      </c>
      <c r="AC190" s="22">
        <f t="shared" si="163"/>
        <v>1.0084934498565215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-5.3205440053716299E-14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252.98248842635206</v>
      </c>
      <c r="AO190" s="59">
        <f t="shared" si="144"/>
        <v>207.11938580878308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0.13990879889607577</v>
      </c>
      <c r="AV190" s="21">
        <f>EXP(-LN(2)/25)*AV189+(1-EXP(-LN(2)/25))/(LN(2)/25)*Calculateur!AQ190*Calculateur!AS190*VLOOKUP('Données projet'!$B$10,Paramètres!$A$1:$I$89,3,0)*0.475*44/12</f>
        <v>0.10108890435022565</v>
      </c>
      <c r="AW190" s="21">
        <f>EXP(-LN(2)/2)*AW189+(1-EXP(-LN(2)/2))/(LN(2)/2)*AQ190*AT190*VLOOKUP('Données projet'!$B$10,Paramètres!$A$1:$I$89,3,0)*0.475*44/12</f>
        <v>2.3003557539225697E-23</v>
      </c>
      <c r="AX190" s="21">
        <f t="shared" si="166"/>
        <v>0.24099770324630143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2.8421709430404007E-14</v>
      </c>
      <c r="BE190" s="13">
        <f>BD190*VLOOKUP('Données projet'!$B$11,Paramètres!$A$1:$I$89,3,0)*VLOOKUP('Données projet'!$B$11,Paramètres!$A$1:$I$89,5,0)</f>
        <v>1.8621904018800706E-14</v>
      </c>
      <c r="BF190" s="13">
        <f t="shared" si="167"/>
        <v>3.40208645124969E-13</v>
      </c>
      <c r="BG190" s="20">
        <f t="shared" si="168"/>
        <v>6.2496320642539887E-13</v>
      </c>
      <c r="BH190" s="59">
        <f t="shared" si="116"/>
        <v>293.33333333333394</v>
      </c>
      <c r="BI190" s="59">
        <f ca="1">AVERAGE(OFFSET($BH$3,0,0,'Données projet'!$E$11+1,1))-AVERAGE(OFFSET($H$3,0,0,'Données projet'!$E$11+1,1))</f>
        <v>114.23168847330004</v>
      </c>
      <c r="BJ190" s="59">
        <f t="shared" si="146"/>
        <v>42.34857998136755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2.8421709430404007E-14</v>
      </c>
      <c r="BZ190" s="13">
        <f>BY190*VLOOKUP('Données projet'!$B$12,Paramètres!$A$1:$I$89,3,0)*VLOOKUP('Données projet'!$B$12,Paramètres!$A$1:$I$89,5,0)</f>
        <v>2.7489477361086758E-14</v>
      </c>
      <c r="CA190" s="13">
        <f t="shared" si="170"/>
        <v>4.7995394886724981E-13</v>
      </c>
      <c r="CB190" s="20">
        <f t="shared" si="171"/>
        <v>8.8379730068101964E-13</v>
      </c>
      <c r="CC190" s="59">
        <f t="shared" si="119"/>
        <v>293.33333333333422</v>
      </c>
      <c r="CD190" s="59">
        <f ca="1">AVERAGE(OFFSET($CC$3,0,0,'Données projet'!$E$12+1,1))-AVERAGE(OFFSET($H$3,0,0,'Données projet'!$E$12+1,1))</f>
        <v>201.36664523637006</v>
      </c>
      <c r="CE190" s="59">
        <f t="shared" si="148"/>
        <v>79.394119001888555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2.7531261024607168</v>
      </c>
      <c r="CM190" s="21">
        <f>EXP(-LN(2)/2)*CM189+(1-EXP(-LN(2)/2))/(LN(2)/2)*CG190*CJ190*VLOOKUP('Données projet'!$B$12,Paramètres!$A$1:$I$89,3,0)*0.475*44/12</f>
        <v>9.2235831701481228E-22</v>
      </c>
      <c r="CN190" s="22">
        <f t="shared" si="172"/>
        <v>2.7531261024607168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1.1368683772161603E-13</v>
      </c>
      <c r="CU190" s="17">
        <f>CT190*VLOOKUP('Données projet'!$B$13,Paramètres!$A$1:$I$89,3,0)*VLOOKUP('Données projet'!$B$13,Paramètres!$A$1:$I$89,5,0)</f>
        <v>1.0286385077051818E-13</v>
      </c>
      <c r="CV190" s="13">
        <f t="shared" si="173"/>
        <v>1.5402366592183556E-12</v>
      </c>
      <c r="CW190" s="20">
        <f t="shared" si="174"/>
        <v>2.8617333882306215E-12</v>
      </c>
      <c r="CX190" s="59">
        <f t="shared" si="122"/>
        <v>293.33333333333616</v>
      </c>
      <c r="CY190" s="59">
        <f ca="1">AVERAGE(OFFSET($CX$3,0,0,'Données projet'!$E$13+1,1))-AVERAGE(OFFSET($H$3,0,0,'Données projet'!$E$13+1,1))</f>
        <v>282.08542131880455</v>
      </c>
      <c r="CZ190" s="59">
        <f t="shared" si="150"/>
        <v>174.27503468762325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30.245558388599058</v>
      </c>
      <c r="DG190" s="21">
        <f>EXP(-LN(2)/25)*DG189+(1-EXP(-LN(2)/25))/(LN(2)/25)*Calculateur!DB190*Calculateur!DD190*VLOOKUP('Données projet'!$B$13,Paramètres!$A$1:$I$89,3,0)*0.475*44/12</f>
        <v>10.984185523040358</v>
      </c>
      <c r="DH190" s="21">
        <f>EXP(-LN(2)/2)*DH189+(1-EXP(-LN(2)/2))/(LN(2)/2)*DB190*DE190*VLOOKUP('Données projet'!$B$13,Paramètres!$A$1:$I$89,3,0)*0.475*44/12</f>
        <v>1.3711746232294942E-21</v>
      </c>
      <c r="DI190" s="22">
        <f t="shared" si="175"/>
        <v>41.229743911639417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5.6843418860808015E-14</v>
      </c>
      <c r="DP190" s="17">
        <f>DO190*VLOOKUP('Données projet'!$B$14,Paramètres!$A$1:$I$89,3,0)*VLOOKUP('Données projet'!$B$14,Paramètres!$A$1:$I$89,5,0)</f>
        <v>4.6111381379887463E-14</v>
      </c>
      <c r="DQ190" s="13">
        <f t="shared" si="176"/>
        <v>7.5804141040779151E-13</v>
      </c>
      <c r="DR190" s="20">
        <f t="shared" si="177"/>
        <v>1.4005661123635408E-12</v>
      </c>
      <c r="DS190" s="59">
        <f t="shared" si="125"/>
        <v>293.33333333333474</v>
      </c>
      <c r="DT190" s="59">
        <f ca="1">AVERAGE(OFFSET($DS$3,0,0,'Données projet'!$E$14+1,1))-AVERAGE(OFFSET($H$3,0,0,'Données projet'!$E$14+1,1))</f>
        <v>235.31102883830971</v>
      </c>
      <c r="DU190" s="59">
        <f t="shared" si="152"/>
        <v>271.48630853790422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6.8121084474650715</v>
      </c>
      <c r="EB190" s="21">
        <f>EXP(-LN(2)/25)*EB189+(1-EXP(-LN(2)/25))/(LN(2)/25)*Calculateur!DW190*Calculateur!DY190*VLOOKUP('Données projet'!$B$14,Paramètres!$A$1:$I$89,3,0)*0.475*44/12</f>
        <v>4.0174384480986989</v>
      </c>
      <c r="EC190" s="21">
        <f>EXP(-LN(2)/2)*EC189+(1-EXP(-LN(2)/2))/(LN(2)/2)*DW190*DZ190*VLOOKUP('Données projet'!$B$14,Paramètres!$A$1:$I$89,3,0)*0.475*44/12</f>
        <v>1.6546248661860896E-21</v>
      </c>
      <c r="ED190" s="22">
        <f t="shared" si="178"/>
        <v>10.829546895563769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-1.2505552149377763E-12</v>
      </c>
      <c r="O191" s="13">
        <f>N191*VLOOKUP('Données projet'!$B$9,Paramètres!$A$1:$I$89,3,0)*VLOOKUP('Données projet'!$B$9,Paramètres!$A$1:$I$89,5,0)</f>
        <v>-6.9906036515021697E-13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446.28010102877403</v>
      </c>
      <c r="T191" s="59">
        <f t="shared" si="142"/>
        <v>445.84011537290456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0.49971855577808288</v>
      </c>
      <c r="AA191" s="21">
        <f>EXP(-LN(2)/25)*AA190+(1-EXP(-LN(2)/25))/(LN(2)/25)*Calculateur!V191*Calculateur!X191*VLOOKUP('Données projet'!$B$9,Paramètres!$A$1:$I$89,3,0)*0.475*44/12</f>
        <v>0.48514056106755937</v>
      </c>
      <c r="AB191" s="21">
        <f>EXP(-LN(2)/2)*AB190+(1-EXP(-LN(2)/2))/(LN(2)/2)*V191*Y191*VLOOKUP('Données projet'!$B$9,Paramètres!$A$1:$I$89,3,0)*0.475*44/12</f>
        <v>6.0337682864049156E-23</v>
      </c>
      <c r="AC191" s="22">
        <f t="shared" si="163"/>
        <v>0.9848591168456422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-5.3205440053716299E-14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252.98248842635206</v>
      </c>
      <c r="AO191" s="59">
        <f t="shared" si="144"/>
        <v>207.11938580878308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0.13716527268566484</v>
      </c>
      <c r="AV191" s="21">
        <f>EXP(-LN(2)/25)*AV190+(1-EXP(-LN(2)/25))/(LN(2)/25)*Calculateur!AQ191*Calculateur!AS191*VLOOKUP('Données projet'!$B$10,Paramètres!$A$1:$I$89,3,0)*0.475*44/12</f>
        <v>9.8324622944734291E-2</v>
      </c>
      <c r="AW191" s="21">
        <f>EXP(-LN(2)/2)*AW190+(1-EXP(-LN(2)/2))/(LN(2)/2)*AQ191*AT191*VLOOKUP('Données projet'!$B$10,Paramètres!$A$1:$I$89,3,0)*0.475*44/12</f>
        <v>1.626597152740142E-23</v>
      </c>
      <c r="AX191" s="21">
        <f t="shared" si="166"/>
        <v>0.23548989563039913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2.8421709430404007E-14</v>
      </c>
      <c r="BE191" s="13">
        <f>BD191*VLOOKUP('Données projet'!$B$11,Paramètres!$A$1:$I$89,3,0)*VLOOKUP('Données projet'!$B$11,Paramètres!$A$1:$I$89,5,0)</f>
        <v>1.8621904018800706E-14</v>
      </c>
      <c r="BF191" s="13">
        <f t="shared" si="167"/>
        <v>3.40208645124969E-13</v>
      </c>
      <c r="BG191" s="20">
        <f t="shared" si="168"/>
        <v>6.2496320642539887E-13</v>
      </c>
      <c r="BH191" s="59">
        <f t="shared" si="116"/>
        <v>293.33333333333394</v>
      </c>
      <c r="BI191" s="59">
        <f ca="1">AVERAGE(OFFSET($BH$3,0,0,'Données projet'!$E$11+1,1))-AVERAGE(OFFSET($H$3,0,0,'Données projet'!$E$11+1,1))</f>
        <v>114.23168847330004</v>
      </c>
      <c r="BJ191" s="59">
        <f t="shared" si="146"/>
        <v>42.34857998136755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2.8421709430404007E-14</v>
      </c>
      <c r="BZ191" s="13">
        <f>BY191*VLOOKUP('Données projet'!$B$12,Paramètres!$A$1:$I$89,3,0)*VLOOKUP('Données projet'!$B$12,Paramètres!$A$1:$I$89,5,0)</f>
        <v>2.7489477361086758E-14</v>
      </c>
      <c r="CA191" s="13">
        <f t="shared" si="170"/>
        <v>4.7995394886724981E-13</v>
      </c>
      <c r="CB191" s="20">
        <f t="shared" si="171"/>
        <v>8.8379730068101964E-13</v>
      </c>
      <c r="CC191" s="59">
        <f t="shared" si="119"/>
        <v>293.33333333333422</v>
      </c>
      <c r="CD191" s="59">
        <f ca="1">AVERAGE(OFFSET($CC$3,0,0,'Données projet'!$E$12+1,1))-AVERAGE(OFFSET($H$3,0,0,'Données projet'!$E$12+1,1))</f>
        <v>201.36664523637006</v>
      </c>
      <c r="CE191" s="59">
        <f t="shared" si="148"/>
        <v>79.394119001888555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2.677841724408319</v>
      </c>
      <c r="CM191" s="21">
        <f>EXP(-LN(2)/2)*CM190+(1-EXP(-LN(2)/2))/(LN(2)/2)*CG191*CJ191*VLOOKUP('Données projet'!$B$12,Paramètres!$A$1:$I$89,3,0)*0.475*44/12</f>
        <v>6.5220582064498512E-22</v>
      </c>
      <c r="CN191" s="22">
        <f t="shared" si="172"/>
        <v>2.677841724408319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1.1368683772161603E-13</v>
      </c>
      <c r="CU191" s="17">
        <f>CT191*VLOOKUP('Données projet'!$B$13,Paramètres!$A$1:$I$89,3,0)*VLOOKUP('Données projet'!$B$13,Paramètres!$A$1:$I$89,5,0)</f>
        <v>1.0286385077051818E-13</v>
      </c>
      <c r="CV191" s="13">
        <f t="shared" si="173"/>
        <v>1.5402366592183556E-12</v>
      </c>
      <c r="CW191" s="20">
        <f t="shared" si="174"/>
        <v>2.8617333882306215E-12</v>
      </c>
      <c r="CX191" s="59">
        <f t="shared" si="122"/>
        <v>293.33333333333616</v>
      </c>
      <c r="CY191" s="59">
        <f ca="1">AVERAGE(OFFSET($CX$3,0,0,'Données projet'!$E$13+1,1))-AVERAGE(OFFSET($H$3,0,0,'Données projet'!$E$13+1,1))</f>
        <v>282.08542131880455</v>
      </c>
      <c r="CZ191" s="59">
        <f t="shared" si="150"/>
        <v>174.27503468762325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29.652461436567663</v>
      </c>
      <c r="DG191" s="21">
        <f>EXP(-LN(2)/25)*DG190+(1-EXP(-LN(2)/25))/(LN(2)/25)*Calculateur!DB191*Calculateur!DD191*VLOOKUP('Données projet'!$B$13,Paramètres!$A$1:$I$89,3,0)*0.475*44/12</f>
        <v>10.683822392279607</v>
      </c>
      <c r="DH191" s="21">
        <f>EXP(-LN(2)/2)*DH190+(1-EXP(-LN(2)/2))/(LN(2)/2)*DB191*DE191*VLOOKUP('Données projet'!$B$13,Paramètres!$A$1:$I$89,3,0)*0.475*44/12</f>
        <v>9.6956687427648469E-22</v>
      </c>
      <c r="DI191" s="22">
        <f t="shared" si="175"/>
        <v>40.336283828847272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5.6843418860808015E-14</v>
      </c>
      <c r="DP191" s="17">
        <f>DO191*VLOOKUP('Données projet'!$B$14,Paramètres!$A$1:$I$89,3,0)*VLOOKUP('Données projet'!$B$14,Paramètres!$A$1:$I$89,5,0)</f>
        <v>4.6111381379887463E-14</v>
      </c>
      <c r="DQ191" s="13">
        <f t="shared" si="176"/>
        <v>7.5804141040779151E-13</v>
      </c>
      <c r="DR191" s="20">
        <f t="shared" si="177"/>
        <v>1.4005661123635408E-12</v>
      </c>
      <c r="DS191" s="59">
        <f t="shared" si="125"/>
        <v>293.33333333333474</v>
      </c>
      <c r="DT191" s="59">
        <f ca="1">AVERAGE(OFFSET($DS$3,0,0,'Données projet'!$E$14+1,1))-AVERAGE(OFFSET($H$3,0,0,'Données projet'!$E$14+1,1))</f>
        <v>235.31102883830971</v>
      </c>
      <c r="DU191" s="59">
        <f t="shared" si="152"/>
        <v>271.48630853790422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6.6785271557861643</v>
      </c>
      <c r="EB191" s="21">
        <f>EXP(-LN(2)/25)*EB190+(1-EXP(-LN(2)/25))/(LN(2)/25)*Calculateur!DW191*Calculateur!DY191*VLOOKUP('Données projet'!$B$14,Paramètres!$A$1:$I$89,3,0)*0.475*44/12</f>
        <v>3.9075813824675341</v>
      </c>
      <c r="EC191" s="21">
        <f>EXP(-LN(2)/2)*EC190+(1-EXP(-LN(2)/2))/(LN(2)/2)*DW191*DZ191*VLOOKUP('Données projet'!$B$14,Paramètres!$A$1:$I$89,3,0)*0.475*44/12</f>
        <v>1.1699964632000678E-21</v>
      </c>
      <c r="ED191" s="22">
        <f t="shared" si="178"/>
        <v>10.586108538253699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-1.2505552149377763E-12</v>
      </c>
      <c r="O192" s="13">
        <f>N192*VLOOKUP('Données projet'!$B$9,Paramètres!$A$1:$I$89,3,0)*VLOOKUP('Données projet'!$B$9,Paramètres!$A$1:$I$89,5,0)</f>
        <v>-6.9906036515021697E-13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446.28010102877403</v>
      </c>
      <c r="T192" s="59">
        <f t="shared" si="142"/>
        <v>445.84011537290456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0.48991937969749738</v>
      </c>
      <c r="AA192" s="21">
        <f>EXP(-LN(2)/25)*AA191+(1-EXP(-LN(2)/25))/(LN(2)/25)*Calculateur!V192*Calculateur!X192*VLOOKUP('Données projet'!$B$9,Paramètres!$A$1:$I$89,3,0)*0.475*44/12</f>
        <v>0.47187436691273366</v>
      </c>
      <c r="AB192" s="21">
        <f>EXP(-LN(2)/2)*AB191+(1-EXP(-LN(2)/2))/(LN(2)/2)*V192*Y192*VLOOKUP('Données projet'!$B$9,Paramètres!$A$1:$I$89,3,0)*0.475*44/12</f>
        <v>4.2665184714252505E-23</v>
      </c>
      <c r="AC192" s="22">
        <f t="shared" si="163"/>
        <v>0.96179374661023109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-5.3205440053716299E-14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252.98248842635206</v>
      </c>
      <c r="AO192" s="59">
        <f t="shared" si="144"/>
        <v>207.11938580878308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0.13447554535085429</v>
      </c>
      <c r="AV192" s="21">
        <f>EXP(-LN(2)/25)*AV191+(1-EXP(-LN(2)/25))/(LN(2)/25)*Calculateur!AQ192*Calculateur!AS192*VLOOKUP('Données projet'!$B$10,Paramètres!$A$1:$I$89,3,0)*0.475*44/12</f>
        <v>9.5635930959643331E-2</v>
      </c>
      <c r="AW192" s="21">
        <f>EXP(-LN(2)/2)*AW191+(1-EXP(-LN(2)/2))/(LN(2)/2)*AQ192*AT192*VLOOKUP('Données projet'!$B$10,Paramètres!$A$1:$I$89,3,0)*0.475*44/12</f>
        <v>1.1501778769612849E-23</v>
      </c>
      <c r="AX192" s="21">
        <f t="shared" si="166"/>
        <v>0.23011147631049761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2.8421709430404007E-14</v>
      </c>
      <c r="BE192" s="13">
        <f>BD192*VLOOKUP('Données projet'!$B$11,Paramètres!$A$1:$I$89,3,0)*VLOOKUP('Données projet'!$B$11,Paramètres!$A$1:$I$89,5,0)</f>
        <v>1.8621904018800706E-14</v>
      </c>
      <c r="BF192" s="13">
        <f t="shared" si="167"/>
        <v>3.40208645124969E-13</v>
      </c>
      <c r="BG192" s="20">
        <f t="shared" si="168"/>
        <v>6.2496320642539887E-13</v>
      </c>
      <c r="BH192" s="59">
        <f t="shared" si="116"/>
        <v>293.33333333333394</v>
      </c>
      <c r="BI192" s="59">
        <f ca="1">AVERAGE(OFFSET($BH$3,0,0,'Données projet'!$E$11+1,1))-AVERAGE(OFFSET($H$3,0,0,'Données projet'!$E$11+1,1))</f>
        <v>114.23168847330004</v>
      </c>
      <c r="BJ192" s="59">
        <f t="shared" si="146"/>
        <v>42.34857998136755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2.8421709430404007E-14</v>
      </c>
      <c r="BZ192" s="13">
        <f>BY192*VLOOKUP('Données projet'!$B$12,Paramètres!$A$1:$I$89,3,0)*VLOOKUP('Données projet'!$B$12,Paramètres!$A$1:$I$89,5,0)</f>
        <v>2.7489477361086758E-14</v>
      </c>
      <c r="CA192" s="13">
        <f t="shared" si="170"/>
        <v>4.7995394886724981E-13</v>
      </c>
      <c r="CB192" s="20">
        <f t="shared" si="171"/>
        <v>8.8379730068101964E-13</v>
      </c>
      <c r="CC192" s="59">
        <f t="shared" si="119"/>
        <v>293.33333333333422</v>
      </c>
      <c r="CD192" s="59">
        <f ca="1">AVERAGE(OFFSET($CC$3,0,0,'Données projet'!$E$12+1,1))-AVERAGE(OFFSET($H$3,0,0,'Données projet'!$E$12+1,1))</f>
        <v>201.36664523637006</v>
      </c>
      <c r="CE192" s="59">
        <f t="shared" si="148"/>
        <v>79.394119001888555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2.6046160016327975</v>
      </c>
      <c r="CM192" s="21">
        <f>EXP(-LN(2)/2)*CM191+(1-EXP(-LN(2)/2))/(LN(2)/2)*CG192*CJ192*VLOOKUP('Données projet'!$B$12,Paramètres!$A$1:$I$89,3,0)*0.475*44/12</f>
        <v>4.6117915850740614E-22</v>
      </c>
      <c r="CN192" s="22">
        <f t="shared" si="172"/>
        <v>2.6046160016327975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1.1368683772161603E-13</v>
      </c>
      <c r="CU192" s="17">
        <f>CT192*VLOOKUP('Données projet'!$B$13,Paramètres!$A$1:$I$89,3,0)*VLOOKUP('Données projet'!$B$13,Paramètres!$A$1:$I$89,5,0)</f>
        <v>1.0286385077051818E-13</v>
      </c>
      <c r="CV192" s="13">
        <f t="shared" si="173"/>
        <v>1.5402366592183556E-12</v>
      </c>
      <c r="CW192" s="20">
        <f t="shared" si="174"/>
        <v>2.8617333882306215E-12</v>
      </c>
      <c r="CX192" s="59">
        <f t="shared" si="122"/>
        <v>293.33333333333616</v>
      </c>
      <c r="CY192" s="59">
        <f ca="1">AVERAGE(OFFSET($CX$3,0,0,'Données projet'!$E$13+1,1))-AVERAGE(OFFSET($H$3,0,0,'Données projet'!$E$13+1,1))</f>
        <v>282.08542131880455</v>
      </c>
      <c r="CZ192" s="59">
        <f t="shared" si="150"/>
        <v>174.27503468762325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29.070994754012183</v>
      </c>
      <c r="DG192" s="21">
        <f>EXP(-LN(2)/25)*DG191+(1-EXP(-LN(2)/25))/(LN(2)/25)*Calculateur!DB192*Calculateur!DD192*VLOOKUP('Données projet'!$B$13,Paramètres!$A$1:$I$89,3,0)*0.475*44/12</f>
        <v>10.39167270712492</v>
      </c>
      <c r="DH192" s="21">
        <f>EXP(-LN(2)/2)*DH191+(1-EXP(-LN(2)/2))/(LN(2)/2)*DB192*DE192*VLOOKUP('Données projet'!$B$13,Paramètres!$A$1:$I$89,3,0)*0.475*44/12</f>
        <v>6.8558731161474711E-22</v>
      </c>
      <c r="DI192" s="22">
        <f t="shared" si="175"/>
        <v>39.462667461137102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5.6843418860808015E-14</v>
      </c>
      <c r="DP192" s="17">
        <f>DO192*VLOOKUP('Données projet'!$B$14,Paramètres!$A$1:$I$89,3,0)*VLOOKUP('Données projet'!$B$14,Paramètres!$A$1:$I$89,5,0)</f>
        <v>4.6111381379887463E-14</v>
      </c>
      <c r="DQ192" s="13">
        <f t="shared" si="176"/>
        <v>7.5804141040779151E-13</v>
      </c>
      <c r="DR192" s="20">
        <f t="shared" si="177"/>
        <v>1.4005661123635408E-12</v>
      </c>
      <c r="DS192" s="59">
        <f t="shared" si="125"/>
        <v>293.33333333333474</v>
      </c>
      <c r="DT192" s="59">
        <f ca="1">AVERAGE(OFFSET($DS$3,0,0,'Données projet'!$E$14+1,1))-AVERAGE(OFFSET($H$3,0,0,'Données projet'!$E$14+1,1))</f>
        <v>235.31102883830971</v>
      </c>
      <c r="DU192" s="59">
        <f t="shared" si="152"/>
        <v>271.48630853790422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6.5475653117605379</v>
      </c>
      <c r="EB192" s="21">
        <f>EXP(-LN(2)/25)*EB191+(1-EXP(-LN(2)/25))/(LN(2)/25)*Calculateur!DW192*Calculateur!DY192*VLOOKUP('Données projet'!$B$14,Paramètres!$A$1:$I$89,3,0)*0.475*44/12</f>
        <v>3.8007283640731853</v>
      </c>
      <c r="EC192" s="21">
        <f>EXP(-LN(2)/2)*EC191+(1-EXP(-LN(2)/2))/(LN(2)/2)*DW192*DZ192*VLOOKUP('Données projet'!$B$14,Paramètres!$A$1:$I$89,3,0)*0.475*44/12</f>
        <v>8.273124330930449E-22</v>
      </c>
      <c r="ED192" s="22">
        <f t="shared" si="178"/>
        <v>10.348293675833723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-1.2505552149377763E-12</v>
      </c>
      <c r="O193" s="13">
        <f>N193*VLOOKUP('Données projet'!$B$9,Paramètres!$A$1:$I$89,3,0)*VLOOKUP('Données projet'!$B$9,Paramètres!$A$1:$I$89,5,0)</f>
        <v>-6.9906036515021697E-13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446.28010102877403</v>
      </c>
      <c r="T193" s="59">
        <f t="shared" si="142"/>
        <v>445.84011537290456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0.48031235948294493</v>
      </c>
      <c r="AA193" s="21">
        <f>EXP(-LN(2)/25)*AA192+(1-EXP(-LN(2)/25))/(LN(2)/25)*Calculateur!V193*Calculateur!X193*VLOOKUP('Données projet'!$B$9,Paramètres!$A$1:$I$89,3,0)*0.475*44/12</f>
        <v>0.45897093753471047</v>
      </c>
      <c r="AB193" s="21">
        <f>EXP(-LN(2)/2)*AB192+(1-EXP(-LN(2)/2))/(LN(2)/2)*V193*Y193*VLOOKUP('Données projet'!$B$9,Paramètres!$A$1:$I$89,3,0)*0.475*44/12</f>
        <v>3.0168841432024578E-23</v>
      </c>
      <c r="AC193" s="22">
        <f t="shared" si="163"/>
        <v>0.93928329701765545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-5.3205440053716299E-14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252.98248842635206</v>
      </c>
      <c r="AO193" s="59">
        <f t="shared" si="144"/>
        <v>207.11938580878308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0.13183856192850771</v>
      </c>
      <c r="AV193" s="21">
        <f>EXP(-LN(2)/25)*AV192+(1-EXP(-LN(2)/25))/(LN(2)/25)*Calculateur!AQ193*Calculateur!AS193*VLOOKUP('Données projet'!$B$10,Paramètres!$A$1:$I$89,3,0)*0.475*44/12</f>
        <v>9.3020761398276849E-2</v>
      </c>
      <c r="AW193" s="21">
        <f>EXP(-LN(2)/2)*AW192+(1-EXP(-LN(2)/2))/(LN(2)/2)*AQ193*AT193*VLOOKUP('Données projet'!$B$10,Paramètres!$A$1:$I$89,3,0)*0.475*44/12</f>
        <v>8.1329857637007102E-24</v>
      </c>
      <c r="AX193" s="21">
        <f t="shared" si="166"/>
        <v>0.22485932332678454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2.8421709430404007E-14</v>
      </c>
      <c r="BE193" s="13">
        <f>BD193*VLOOKUP('Données projet'!$B$11,Paramètres!$A$1:$I$89,3,0)*VLOOKUP('Données projet'!$B$11,Paramètres!$A$1:$I$89,5,0)</f>
        <v>1.8621904018800706E-14</v>
      </c>
      <c r="BF193" s="13">
        <f t="shared" si="167"/>
        <v>3.40208645124969E-13</v>
      </c>
      <c r="BG193" s="20">
        <f t="shared" si="168"/>
        <v>6.2496320642539887E-13</v>
      </c>
      <c r="BH193" s="59">
        <f t="shared" si="116"/>
        <v>293.33333333333394</v>
      </c>
      <c r="BI193" s="59">
        <f ca="1">AVERAGE(OFFSET($BH$3,0,0,'Données projet'!$E$11+1,1))-AVERAGE(OFFSET($H$3,0,0,'Données projet'!$E$11+1,1))</f>
        <v>114.23168847330004</v>
      </c>
      <c r="BJ193" s="59">
        <f t="shared" si="146"/>
        <v>42.34857998136755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2.8421709430404007E-14</v>
      </c>
      <c r="BZ193" s="13">
        <f>BY193*VLOOKUP('Données projet'!$B$12,Paramètres!$A$1:$I$89,3,0)*VLOOKUP('Données projet'!$B$12,Paramètres!$A$1:$I$89,5,0)</f>
        <v>2.7489477361086758E-14</v>
      </c>
      <c r="CA193" s="13">
        <f t="shared" si="170"/>
        <v>4.7995394886724981E-13</v>
      </c>
      <c r="CB193" s="20">
        <f t="shared" si="171"/>
        <v>8.8379730068101964E-13</v>
      </c>
      <c r="CC193" s="59">
        <f t="shared" si="119"/>
        <v>293.33333333333422</v>
      </c>
      <c r="CD193" s="59">
        <f ca="1">AVERAGE(OFFSET($CC$3,0,0,'Données projet'!$E$12+1,1))-AVERAGE(OFFSET($H$3,0,0,'Données projet'!$E$12+1,1))</f>
        <v>201.36664523637006</v>
      </c>
      <c r="CE193" s="59">
        <f t="shared" si="148"/>
        <v>79.394119001888555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2.5333926400973459</v>
      </c>
      <c r="CM193" s="21">
        <f>EXP(-LN(2)/2)*CM192+(1-EXP(-LN(2)/2))/(LN(2)/2)*CG193*CJ193*VLOOKUP('Données projet'!$B$12,Paramètres!$A$1:$I$89,3,0)*0.475*44/12</f>
        <v>3.2610291032249256E-22</v>
      </c>
      <c r="CN193" s="22">
        <f t="shared" si="172"/>
        <v>2.5333926400973459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1.1368683772161603E-13</v>
      </c>
      <c r="CU193" s="17">
        <f>CT193*VLOOKUP('Données projet'!$B$13,Paramètres!$A$1:$I$89,3,0)*VLOOKUP('Données projet'!$B$13,Paramètres!$A$1:$I$89,5,0)</f>
        <v>1.0286385077051818E-13</v>
      </c>
      <c r="CV193" s="13">
        <f t="shared" si="173"/>
        <v>1.5402366592183556E-12</v>
      </c>
      <c r="CW193" s="20">
        <f t="shared" si="174"/>
        <v>2.8617333882306215E-12</v>
      </c>
      <c r="CX193" s="59">
        <f t="shared" si="122"/>
        <v>293.33333333333616</v>
      </c>
      <c r="CY193" s="59">
        <f ca="1">AVERAGE(OFFSET($CX$3,0,0,'Données projet'!$E$13+1,1))-AVERAGE(OFFSET($H$3,0,0,'Données projet'!$E$13+1,1))</f>
        <v>282.08542131880455</v>
      </c>
      <c r="CZ193" s="59">
        <f t="shared" si="150"/>
        <v>174.27503468762325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28.50093027844196</v>
      </c>
      <c r="DG193" s="21">
        <f>EXP(-LN(2)/25)*DG192+(1-EXP(-LN(2)/25))/(LN(2)/25)*Calculateur!DB193*Calculateur!DD193*VLOOKUP('Données projet'!$B$13,Paramètres!$A$1:$I$89,3,0)*0.475*44/12</f>
        <v>10.107511870474273</v>
      </c>
      <c r="DH193" s="21">
        <f>EXP(-LN(2)/2)*DH192+(1-EXP(-LN(2)/2))/(LN(2)/2)*DB193*DE193*VLOOKUP('Données projet'!$B$13,Paramètres!$A$1:$I$89,3,0)*0.475*44/12</f>
        <v>4.8478343713824235E-22</v>
      </c>
      <c r="DI193" s="22">
        <f t="shared" si="175"/>
        <v>38.608442148916232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5.6843418860808015E-14</v>
      </c>
      <c r="DP193" s="17">
        <f>DO193*VLOOKUP('Données projet'!$B$14,Paramètres!$A$1:$I$89,3,0)*VLOOKUP('Données projet'!$B$14,Paramètres!$A$1:$I$89,5,0)</f>
        <v>4.6111381379887463E-14</v>
      </c>
      <c r="DQ193" s="13">
        <f t="shared" si="176"/>
        <v>7.5804141040779151E-13</v>
      </c>
      <c r="DR193" s="20">
        <f t="shared" si="177"/>
        <v>1.4005661123635408E-12</v>
      </c>
      <c r="DS193" s="59">
        <f t="shared" si="125"/>
        <v>293.33333333333474</v>
      </c>
      <c r="DT193" s="59">
        <f ca="1">AVERAGE(OFFSET($DS$3,0,0,'Données projet'!$E$14+1,1))-AVERAGE(OFFSET($H$3,0,0,'Données projet'!$E$14+1,1))</f>
        <v>235.31102883830971</v>
      </c>
      <c r="DU193" s="59">
        <f t="shared" si="152"/>
        <v>271.48630853790422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6.4191715496174169</v>
      </c>
      <c r="EB193" s="21">
        <f>EXP(-LN(2)/25)*EB192+(1-EXP(-LN(2)/25))/(LN(2)/25)*Calculateur!DW193*Calculateur!DY193*VLOOKUP('Données projet'!$B$14,Paramètres!$A$1:$I$89,3,0)*0.475*44/12</f>
        <v>3.696797247085986</v>
      </c>
      <c r="EC193" s="21">
        <f>EXP(-LN(2)/2)*EC192+(1-EXP(-LN(2)/2))/(LN(2)/2)*DW193*DZ193*VLOOKUP('Données projet'!$B$14,Paramètres!$A$1:$I$89,3,0)*0.475*44/12</f>
        <v>5.8499823160003401E-22</v>
      </c>
      <c r="ED193" s="22">
        <f t="shared" si="178"/>
        <v>10.115968796703402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-1.2505552149377763E-12</v>
      </c>
      <c r="O194" s="13">
        <f>N194*VLOOKUP('Données projet'!$B$9,Paramètres!$A$1:$I$89,3,0)*VLOOKUP('Données projet'!$B$9,Paramètres!$A$1:$I$89,5,0)</f>
        <v>-6.9906036515021697E-13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446.28010102877403</v>
      </c>
      <c r="T194" s="59">
        <f t="shared" si="142"/>
        <v>445.84011537290456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0.47089372707509608</v>
      </c>
      <c r="AA194" s="21">
        <f>EXP(-LN(2)/25)*AA193+(1-EXP(-LN(2)/25))/(LN(2)/25)*Calculateur!V194*Calculateur!X194*VLOOKUP('Données projet'!$B$9,Paramètres!$A$1:$I$89,3,0)*0.475*44/12</f>
        <v>0.44642035311159117</v>
      </c>
      <c r="AB194" s="21">
        <f>EXP(-LN(2)/2)*AB193+(1-EXP(-LN(2)/2))/(LN(2)/2)*V194*Y194*VLOOKUP('Données projet'!$B$9,Paramètres!$A$1:$I$89,3,0)*0.475*44/12</f>
        <v>2.1332592357126253E-23</v>
      </c>
      <c r="AC194" s="22">
        <f t="shared" si="163"/>
        <v>0.91731408018668725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-5.3205440053716299E-14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252.98248842635206</v>
      </c>
      <c r="AO194" s="59">
        <f t="shared" si="144"/>
        <v>207.11938580878308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0.12925328814267226</v>
      </c>
      <c r="AV194" s="21">
        <f>EXP(-LN(2)/25)*AV193+(1-EXP(-LN(2)/25))/(LN(2)/25)*Calculateur!AQ194*Calculateur!AS194*VLOOKUP('Données projet'!$B$10,Paramètres!$A$1:$I$89,3,0)*0.475*44/12</f>
        <v>9.0477103786091723E-2</v>
      </c>
      <c r="AW194" s="21">
        <f>EXP(-LN(2)/2)*AW193+(1-EXP(-LN(2)/2))/(LN(2)/2)*AQ194*AT194*VLOOKUP('Données projet'!$B$10,Paramètres!$A$1:$I$89,3,0)*0.475*44/12</f>
        <v>5.7508893848064243E-24</v>
      </c>
      <c r="AX194" s="21">
        <f t="shared" si="166"/>
        <v>0.21973039192876398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2.8421709430404007E-14</v>
      </c>
      <c r="BE194" s="13">
        <f>BD194*VLOOKUP('Données projet'!$B$11,Paramètres!$A$1:$I$89,3,0)*VLOOKUP('Données projet'!$B$11,Paramètres!$A$1:$I$89,5,0)</f>
        <v>1.8621904018800706E-14</v>
      </c>
      <c r="BF194" s="13">
        <f t="shared" si="167"/>
        <v>3.40208645124969E-13</v>
      </c>
      <c r="BG194" s="20">
        <f t="shared" si="168"/>
        <v>6.2496320642539887E-13</v>
      </c>
      <c r="BH194" s="59">
        <f t="shared" si="116"/>
        <v>293.33333333333394</v>
      </c>
      <c r="BI194" s="59">
        <f ca="1">AVERAGE(OFFSET($BH$3,0,0,'Données projet'!$E$11+1,1))-AVERAGE(OFFSET($H$3,0,0,'Données projet'!$E$11+1,1))</f>
        <v>114.23168847330004</v>
      </c>
      <c r="BJ194" s="59">
        <f t="shared" si="146"/>
        <v>42.34857998136755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2.8421709430404007E-14</v>
      </c>
      <c r="BZ194" s="13">
        <f>BY194*VLOOKUP('Données projet'!$B$12,Paramètres!$A$1:$I$89,3,0)*VLOOKUP('Données projet'!$B$12,Paramètres!$A$1:$I$89,5,0)</f>
        <v>2.7489477361086758E-14</v>
      </c>
      <c r="CA194" s="13">
        <f t="shared" si="170"/>
        <v>4.7995394886724981E-13</v>
      </c>
      <c r="CB194" s="20">
        <f t="shared" si="171"/>
        <v>8.8379730068101964E-13</v>
      </c>
      <c r="CC194" s="59">
        <f t="shared" si="119"/>
        <v>293.33333333333422</v>
      </c>
      <c r="CD194" s="59">
        <f ca="1">AVERAGE(OFFSET($CC$3,0,0,'Données projet'!$E$12+1,1))-AVERAGE(OFFSET($H$3,0,0,'Données projet'!$E$12+1,1))</f>
        <v>201.36664523637006</v>
      </c>
      <c r="CE194" s="59">
        <f t="shared" si="148"/>
        <v>79.394119001888555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2.4641168851285551</v>
      </c>
      <c r="CM194" s="21">
        <f>EXP(-LN(2)/2)*CM193+(1-EXP(-LN(2)/2))/(LN(2)/2)*CG194*CJ194*VLOOKUP('Données projet'!$B$12,Paramètres!$A$1:$I$89,3,0)*0.475*44/12</f>
        <v>2.3058957925370307E-22</v>
      </c>
      <c r="CN194" s="22">
        <f t="shared" si="172"/>
        <v>2.4641168851285551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1.1368683772161603E-13</v>
      </c>
      <c r="CU194" s="17">
        <f>CT194*VLOOKUP('Données projet'!$B$13,Paramètres!$A$1:$I$89,3,0)*VLOOKUP('Données projet'!$B$13,Paramètres!$A$1:$I$89,5,0)</f>
        <v>1.0286385077051818E-13</v>
      </c>
      <c r="CV194" s="13">
        <f t="shared" si="173"/>
        <v>1.5402366592183556E-12</v>
      </c>
      <c r="CW194" s="20">
        <f t="shared" si="174"/>
        <v>2.8617333882306215E-12</v>
      </c>
      <c r="CX194" s="59">
        <f t="shared" si="122"/>
        <v>293.33333333333616</v>
      </c>
      <c r="CY194" s="59">
        <f ca="1">AVERAGE(OFFSET($CX$3,0,0,'Données projet'!$E$13+1,1))-AVERAGE(OFFSET($H$3,0,0,'Données projet'!$E$13+1,1))</f>
        <v>282.08542131880455</v>
      </c>
      <c r="CZ194" s="59">
        <f t="shared" si="150"/>
        <v>174.27503468762325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27.942044419532671</v>
      </c>
      <c r="DG194" s="21">
        <f>EXP(-LN(2)/25)*DG193+(1-EXP(-LN(2)/25))/(LN(2)/25)*Calculateur!DB194*Calculateur!DD194*VLOOKUP('Données projet'!$B$13,Paramètres!$A$1:$I$89,3,0)*0.475*44/12</f>
        <v>9.8311214268452058</v>
      </c>
      <c r="DH194" s="21">
        <f>EXP(-LN(2)/2)*DH193+(1-EXP(-LN(2)/2))/(LN(2)/2)*DB194*DE194*VLOOKUP('Données projet'!$B$13,Paramètres!$A$1:$I$89,3,0)*0.475*44/12</f>
        <v>3.4279365580737355E-22</v>
      </c>
      <c r="DI194" s="22">
        <f t="shared" si="175"/>
        <v>37.773165846377879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5.6843418860808015E-14</v>
      </c>
      <c r="DP194" s="17">
        <f>DO194*VLOOKUP('Données projet'!$B$14,Paramètres!$A$1:$I$89,3,0)*VLOOKUP('Données projet'!$B$14,Paramètres!$A$1:$I$89,5,0)</f>
        <v>4.6111381379887463E-14</v>
      </c>
      <c r="DQ194" s="13">
        <f t="shared" si="176"/>
        <v>7.5804141040779151E-13</v>
      </c>
      <c r="DR194" s="20">
        <f t="shared" si="177"/>
        <v>1.4005661123635408E-12</v>
      </c>
      <c r="DS194" s="59">
        <f t="shared" si="125"/>
        <v>293.33333333333474</v>
      </c>
      <c r="DT194" s="59">
        <f ca="1">AVERAGE(OFFSET($DS$3,0,0,'Données projet'!$E$14+1,1))-AVERAGE(OFFSET($H$3,0,0,'Données projet'!$E$14+1,1))</f>
        <v>235.31102883830971</v>
      </c>
      <c r="DU194" s="59">
        <f t="shared" si="152"/>
        <v>271.48630853790422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6.29329551083746</v>
      </c>
      <c r="EB194" s="21">
        <f>EXP(-LN(2)/25)*EB193+(1-EXP(-LN(2)/25))/(LN(2)/25)*Calculateur!DW194*Calculateur!DY194*VLOOKUP('Données projet'!$B$14,Paramètres!$A$1:$I$89,3,0)*0.475*44/12</f>
        <v>3.5957081319583017</v>
      </c>
      <c r="EC194" s="21">
        <f>EXP(-LN(2)/2)*EC193+(1-EXP(-LN(2)/2))/(LN(2)/2)*DW194*DZ194*VLOOKUP('Données projet'!$B$14,Paramètres!$A$1:$I$89,3,0)*0.475*44/12</f>
        <v>4.1365621654652254E-22</v>
      </c>
      <c r="ED194" s="22">
        <f t="shared" si="178"/>
        <v>9.8890036427957622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-1.2505552149377763E-12</v>
      </c>
      <c r="O195" s="13">
        <f>N195*VLOOKUP('Données projet'!$B$9,Paramètres!$A$1:$I$89,3,0)*VLOOKUP('Données projet'!$B$9,Paramètres!$A$1:$I$89,5,0)</f>
        <v>-6.9906036515021697E-13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446.28010102877403</v>
      </c>
      <c r="T195" s="59">
        <f t="shared" si="142"/>
        <v>445.84011537290456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0.46165978830396665</v>
      </c>
      <c r="AA195" s="21">
        <f>EXP(-LN(2)/25)*AA194+(1-EXP(-LN(2)/25))/(LN(2)/25)*Calculateur!V195*Calculateur!X195*VLOOKUP('Données projet'!$B$9,Paramètres!$A$1:$I$89,3,0)*0.475*44/12</f>
        <v>0.43421296507952867</v>
      </c>
      <c r="AB195" s="21">
        <f>EXP(-LN(2)/2)*AB194+(1-EXP(-LN(2)/2))/(LN(2)/2)*V195*Y195*VLOOKUP('Données projet'!$B$9,Paramètres!$A$1:$I$89,3,0)*0.475*44/12</f>
        <v>1.5084420716012289E-23</v>
      </c>
      <c r="AC195" s="22">
        <f t="shared" si="163"/>
        <v>0.89587275338349537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-5.3205440053716299E-14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252.98248842635206</v>
      </c>
      <c r="AO195" s="59">
        <f t="shared" si="144"/>
        <v>207.11938580878308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0.12671870999891574</v>
      </c>
      <c r="AV195" s="21">
        <f>EXP(-LN(2)/25)*AV194+(1-EXP(-LN(2)/25))/(LN(2)/25)*Calculateur!AQ195*Calculateur!AS195*VLOOKUP('Données projet'!$B$10,Paramètres!$A$1:$I$89,3,0)*0.475*44/12</f>
        <v>8.8003002625076945E-2</v>
      </c>
      <c r="AW195" s="21">
        <f>EXP(-LN(2)/2)*AW194+(1-EXP(-LN(2)/2))/(LN(2)/2)*AQ195*AT195*VLOOKUP('Données projet'!$B$10,Paramètres!$A$1:$I$89,3,0)*0.475*44/12</f>
        <v>4.0664928818503551E-24</v>
      </c>
      <c r="AX195" s="21">
        <f t="shared" si="166"/>
        <v>0.2147217126239927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2.8421709430404007E-14</v>
      </c>
      <c r="BE195" s="13">
        <f>BD195*VLOOKUP('Données projet'!$B$11,Paramètres!$A$1:$I$89,3,0)*VLOOKUP('Données projet'!$B$11,Paramètres!$A$1:$I$89,5,0)</f>
        <v>1.8621904018800706E-14</v>
      </c>
      <c r="BF195" s="13">
        <f t="shared" si="167"/>
        <v>3.40208645124969E-13</v>
      </c>
      <c r="BG195" s="20">
        <f t="shared" si="168"/>
        <v>6.2496320642539887E-13</v>
      </c>
      <c r="BH195" s="59">
        <f t="shared" si="116"/>
        <v>293.33333333333394</v>
      </c>
      <c r="BI195" s="59">
        <f ca="1">AVERAGE(OFFSET($BH$3,0,0,'Données projet'!$E$11+1,1))-AVERAGE(OFFSET($H$3,0,0,'Données projet'!$E$11+1,1))</f>
        <v>114.23168847330004</v>
      </c>
      <c r="BJ195" s="59">
        <f t="shared" si="146"/>
        <v>42.34857998136755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2.8421709430404007E-14</v>
      </c>
      <c r="BZ195" s="13">
        <f>BY195*VLOOKUP('Données projet'!$B$12,Paramètres!$A$1:$I$89,3,0)*VLOOKUP('Données projet'!$B$12,Paramètres!$A$1:$I$89,5,0)</f>
        <v>2.7489477361086758E-14</v>
      </c>
      <c r="CA195" s="13">
        <f t="shared" si="170"/>
        <v>4.7995394886724981E-13</v>
      </c>
      <c r="CB195" s="20">
        <f t="shared" si="171"/>
        <v>8.8379730068101964E-13</v>
      </c>
      <c r="CC195" s="59">
        <f t="shared" si="119"/>
        <v>293.33333333333422</v>
      </c>
      <c r="CD195" s="59">
        <f ca="1">AVERAGE(OFFSET($CC$3,0,0,'Données projet'!$E$12+1,1))-AVERAGE(OFFSET($H$3,0,0,'Données projet'!$E$12+1,1))</f>
        <v>201.36664523637006</v>
      </c>
      <c r="CE195" s="59">
        <f t="shared" si="148"/>
        <v>79.394119001888555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2.3967354793224396</v>
      </c>
      <c r="CM195" s="21">
        <f>EXP(-LN(2)/2)*CM194+(1-EXP(-LN(2)/2))/(LN(2)/2)*CG195*CJ195*VLOOKUP('Données projet'!$B$12,Paramètres!$A$1:$I$89,3,0)*0.475*44/12</f>
        <v>1.6305145516124628E-22</v>
      </c>
      <c r="CN195" s="22">
        <f t="shared" si="172"/>
        <v>2.3967354793224396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1.1368683772161603E-13</v>
      </c>
      <c r="CU195" s="17">
        <f>CT195*VLOOKUP('Données projet'!$B$13,Paramètres!$A$1:$I$89,3,0)*VLOOKUP('Données projet'!$B$13,Paramètres!$A$1:$I$89,5,0)</f>
        <v>1.0286385077051818E-13</v>
      </c>
      <c r="CV195" s="13">
        <f t="shared" si="173"/>
        <v>1.5402366592183556E-12</v>
      </c>
      <c r="CW195" s="20">
        <f t="shared" si="174"/>
        <v>2.8617333882306215E-12</v>
      </c>
      <c r="CX195" s="59">
        <f t="shared" si="122"/>
        <v>293.33333333333616</v>
      </c>
      <c r="CY195" s="59">
        <f ca="1">AVERAGE(OFFSET($CX$3,0,0,'Données projet'!$E$13+1,1))-AVERAGE(OFFSET($H$3,0,0,'Données projet'!$E$13+1,1))</f>
        <v>282.08542131880455</v>
      </c>
      <c r="CZ195" s="59">
        <f t="shared" si="150"/>
        <v>174.27503468762325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27.394117971429878</v>
      </c>
      <c r="DG195" s="21">
        <f>EXP(-LN(2)/25)*DG194+(1-EXP(-LN(2)/25))/(LN(2)/25)*Calculateur!DB195*Calculateur!DD195*VLOOKUP('Données projet'!$B$13,Paramètres!$A$1:$I$89,3,0)*0.475*44/12</f>
        <v>9.5622888944319175</v>
      </c>
      <c r="DH195" s="21">
        <f>EXP(-LN(2)/2)*DH194+(1-EXP(-LN(2)/2))/(LN(2)/2)*DB195*DE195*VLOOKUP('Données projet'!$B$13,Paramètres!$A$1:$I$89,3,0)*0.475*44/12</f>
        <v>2.4239171856912117E-22</v>
      </c>
      <c r="DI195" s="22">
        <f t="shared" si="175"/>
        <v>36.956406865861794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5.6843418860808015E-14</v>
      </c>
      <c r="DP195" s="17">
        <f>DO195*VLOOKUP('Données projet'!$B$14,Paramètres!$A$1:$I$89,3,0)*VLOOKUP('Données projet'!$B$14,Paramètres!$A$1:$I$89,5,0)</f>
        <v>4.6111381379887463E-14</v>
      </c>
      <c r="DQ195" s="13">
        <f t="shared" si="176"/>
        <v>7.5804141040779151E-13</v>
      </c>
      <c r="DR195" s="20">
        <f t="shared" si="177"/>
        <v>1.4005661123635408E-12</v>
      </c>
      <c r="DS195" s="59">
        <f t="shared" si="125"/>
        <v>293.33333333333474</v>
      </c>
      <c r="DT195" s="59">
        <f ca="1">AVERAGE(OFFSET($DS$3,0,0,'Données projet'!$E$14+1,1))-AVERAGE(OFFSET($H$3,0,0,'Données projet'!$E$14+1,1))</f>
        <v>235.31102883830971</v>
      </c>
      <c r="DU195" s="59">
        <f t="shared" si="152"/>
        <v>271.48630853790422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6.1698878244011759</v>
      </c>
      <c r="EB195" s="21">
        <f>EXP(-LN(2)/25)*EB194+(1-EXP(-LN(2)/25))/(LN(2)/25)*Calculateur!DW195*Calculateur!DY195*VLOOKUP('Données projet'!$B$14,Paramètres!$A$1:$I$89,3,0)*0.475*44/12</f>
        <v>3.4973833039998294</v>
      </c>
      <c r="EC195" s="21">
        <f>EXP(-LN(2)/2)*EC194+(1-EXP(-LN(2)/2))/(LN(2)/2)*DW195*DZ195*VLOOKUP('Données projet'!$B$14,Paramètres!$A$1:$I$89,3,0)*0.475*44/12</f>
        <v>2.9249911580001705E-22</v>
      </c>
      <c r="ED195" s="22">
        <f t="shared" si="178"/>
        <v>9.6672711284010049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-1.2505552149377763E-12</v>
      </c>
      <c r="O196" s="13">
        <f>N196*VLOOKUP('Données projet'!$B$9,Paramètres!$A$1:$I$89,3,0)*VLOOKUP('Données projet'!$B$9,Paramètres!$A$1:$I$89,5,0)</f>
        <v>-6.9906036515021697E-13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446.28010102877403</v>
      </c>
      <c r="T196" s="59">
        <f t="shared" si="142"/>
        <v>445.84011537290456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0.45260692143999254</v>
      </c>
      <c r="AA196" s="21">
        <f>EXP(-LN(2)/25)*AA195+(1-EXP(-LN(2)/25))/(LN(2)/25)*Calculateur!V196*Calculateur!X196*VLOOKUP('Données projet'!$B$9,Paramètres!$A$1:$I$89,3,0)*0.475*44/12</f>
        <v>0.42233938871516152</v>
      </c>
      <c r="AB196" s="21">
        <f>EXP(-LN(2)/2)*AB195+(1-EXP(-LN(2)/2))/(LN(2)/2)*V196*Y196*VLOOKUP('Données projet'!$B$9,Paramètres!$A$1:$I$89,3,0)*0.475*44/12</f>
        <v>1.0666296178563126E-23</v>
      </c>
      <c r="AC196" s="22">
        <f t="shared" si="163"/>
        <v>0.87494631015515401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-5.3205440053716299E-14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252.98248842635206</v>
      </c>
      <c r="AO196" s="59">
        <f t="shared" si="144"/>
        <v>207.11938580878308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0.12423383338661827</v>
      </c>
      <c r="AV196" s="21">
        <f>EXP(-LN(2)/25)*AV195+(1-EXP(-LN(2)/25))/(LN(2)/25)*Calculateur!AQ196*Calculateur!AS196*VLOOKUP('Données projet'!$B$10,Paramètres!$A$1:$I$89,3,0)*0.475*44/12</f>
        <v>8.5596555890417439E-2</v>
      </c>
      <c r="AW196" s="21">
        <f>EXP(-LN(2)/2)*AW195+(1-EXP(-LN(2)/2))/(LN(2)/2)*AQ196*AT196*VLOOKUP('Données projet'!$B$10,Paramètres!$A$1:$I$89,3,0)*0.475*44/12</f>
        <v>2.8754446924032122E-24</v>
      </c>
      <c r="AX196" s="21">
        <f t="shared" si="166"/>
        <v>0.20983038927703571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2.8421709430404007E-14</v>
      </c>
      <c r="BE196" s="13">
        <f>BD196*VLOOKUP('Données projet'!$B$11,Paramètres!$A$1:$I$89,3,0)*VLOOKUP('Données projet'!$B$11,Paramètres!$A$1:$I$89,5,0)</f>
        <v>1.8621904018800706E-14</v>
      </c>
      <c r="BF196" s="13">
        <f t="shared" si="167"/>
        <v>3.40208645124969E-13</v>
      </c>
      <c r="BG196" s="20">
        <f t="shared" si="168"/>
        <v>6.2496320642539887E-13</v>
      </c>
      <c r="BH196" s="59">
        <f t="shared" ref="BH196:BH203" si="194">BG196+(AY196+AZ196)*44/12</f>
        <v>293.33333333333394</v>
      </c>
      <c r="BI196" s="59">
        <f ca="1">AVERAGE(OFFSET($BH$3,0,0,'Données projet'!$E$11+1,1))-AVERAGE(OFFSET($H$3,0,0,'Données projet'!$E$11+1,1))</f>
        <v>114.23168847330004</v>
      </c>
      <c r="BJ196" s="59">
        <f t="shared" si="146"/>
        <v>42.34857998136755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2.8421709430404007E-14</v>
      </c>
      <c r="BZ196" s="13">
        <f>BY196*VLOOKUP('Données projet'!$B$12,Paramètres!$A$1:$I$89,3,0)*VLOOKUP('Données projet'!$B$12,Paramètres!$A$1:$I$89,5,0)</f>
        <v>2.7489477361086758E-14</v>
      </c>
      <c r="CA196" s="13">
        <f t="shared" si="170"/>
        <v>4.7995394886724981E-13</v>
      </c>
      <c r="CB196" s="20">
        <f t="shared" si="171"/>
        <v>8.8379730068101964E-13</v>
      </c>
      <c r="CC196" s="59">
        <f t="shared" ref="CC196:CC203" si="195">CB196+(BT196+BU196)*44/12</f>
        <v>293.33333333333422</v>
      </c>
      <c r="CD196" s="59">
        <f ca="1">AVERAGE(OFFSET($CC$3,0,0,'Données projet'!$E$12+1,1))-AVERAGE(OFFSET($H$3,0,0,'Données projet'!$E$12+1,1))</f>
        <v>201.36664523637006</v>
      </c>
      <c r="CE196" s="59">
        <f t="shared" si="148"/>
        <v>79.394119001888555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2.3311966216015265</v>
      </c>
      <c r="CM196" s="21">
        <f>EXP(-LN(2)/2)*CM195+(1-EXP(-LN(2)/2))/(LN(2)/2)*CG196*CJ196*VLOOKUP('Données projet'!$B$12,Paramètres!$A$1:$I$89,3,0)*0.475*44/12</f>
        <v>1.1529478962685154E-22</v>
      </c>
      <c r="CN196" s="22">
        <f t="shared" si="172"/>
        <v>2.3311966216015265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1.1368683772161603E-13</v>
      </c>
      <c r="CU196" s="17">
        <f>CT196*VLOOKUP('Données projet'!$B$13,Paramètres!$A$1:$I$89,3,0)*VLOOKUP('Données projet'!$B$13,Paramètres!$A$1:$I$89,5,0)</f>
        <v>1.0286385077051818E-13</v>
      </c>
      <c r="CV196" s="13">
        <f t="shared" si="173"/>
        <v>1.5402366592183556E-12</v>
      </c>
      <c r="CW196" s="20">
        <f t="shared" si="174"/>
        <v>2.8617333882306215E-12</v>
      </c>
      <c r="CX196" s="59">
        <f t="shared" ref="CX196:CX203" si="196">CW196+(CO196+CP196)*44/12</f>
        <v>293.33333333333616</v>
      </c>
      <c r="CY196" s="59">
        <f ca="1">AVERAGE(OFFSET($CX$3,0,0,'Données projet'!$E$13+1,1))-AVERAGE(OFFSET($H$3,0,0,'Données projet'!$E$13+1,1))</f>
        <v>282.08542131880455</v>
      </c>
      <c r="CZ196" s="59">
        <f t="shared" si="150"/>
        <v>174.27503468762325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26.856936026772249</v>
      </c>
      <c r="DG196" s="21">
        <f>EXP(-LN(2)/25)*DG195+(1-EXP(-LN(2)/25))/(LN(2)/25)*Calculateur!DB196*Calculateur!DD196*VLOOKUP('Données projet'!$B$13,Paramètres!$A$1:$I$89,3,0)*0.475*44/12</f>
        <v>9.3008076017547587</v>
      </c>
      <c r="DH196" s="21">
        <f>EXP(-LN(2)/2)*DH195+(1-EXP(-LN(2)/2))/(LN(2)/2)*DB196*DE196*VLOOKUP('Données projet'!$B$13,Paramètres!$A$1:$I$89,3,0)*0.475*44/12</f>
        <v>1.7139682790368678E-22</v>
      </c>
      <c r="DI196" s="22">
        <f t="shared" si="175"/>
        <v>36.157743628527008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5.6843418860808015E-14</v>
      </c>
      <c r="DP196" s="17">
        <f>DO196*VLOOKUP('Données projet'!$B$14,Paramètres!$A$1:$I$89,3,0)*VLOOKUP('Données projet'!$B$14,Paramètres!$A$1:$I$89,5,0)</f>
        <v>4.6111381379887463E-14</v>
      </c>
      <c r="DQ196" s="13">
        <f t="shared" si="176"/>
        <v>7.5804141040779151E-13</v>
      </c>
      <c r="DR196" s="20">
        <f t="shared" si="177"/>
        <v>1.4005661123635408E-12</v>
      </c>
      <c r="DS196" s="59">
        <f t="shared" ref="DS196:DS203" si="197">DR196+(DJ196+DK196)*44/12</f>
        <v>293.33333333333474</v>
      </c>
      <c r="DT196" s="59">
        <f ca="1">AVERAGE(OFFSET($DS$3,0,0,'Données projet'!$E$14+1,1))-AVERAGE(OFFSET($H$3,0,0,'Données projet'!$E$14+1,1))</f>
        <v>235.31102883830971</v>
      </c>
      <c r="DU196" s="59">
        <f t="shared" si="152"/>
        <v>271.48630853790422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6.0489000874246504</v>
      </c>
      <c r="EB196" s="21">
        <f>EXP(-LN(2)/25)*EB195+(1-EXP(-LN(2)/25))/(LN(2)/25)*Calculateur!DW196*Calculateur!DY196*VLOOKUP('Données projet'!$B$14,Paramètres!$A$1:$I$89,3,0)*0.475*44/12</f>
        <v>3.4017471736325597</v>
      </c>
      <c r="EC196" s="21">
        <f>EXP(-LN(2)/2)*EC195+(1-EXP(-LN(2)/2))/(LN(2)/2)*DW196*DZ196*VLOOKUP('Données projet'!$B$14,Paramètres!$A$1:$I$89,3,0)*0.475*44/12</f>
        <v>2.0682810827326129E-22</v>
      </c>
      <c r="ED196" s="22">
        <f t="shared" si="178"/>
        <v>9.4506472610572096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-1.2505552149377763E-12</v>
      </c>
      <c r="O197" s="13">
        <f>N197*VLOOKUP('Données projet'!$B$9,Paramètres!$A$1:$I$89,3,0)*VLOOKUP('Données projet'!$B$9,Paramètres!$A$1:$I$89,5,0)</f>
        <v>-6.9906036515021697E-13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446.28010102877403</v>
      </c>
      <c r="T197" s="59">
        <f t="shared" ref="T197:T203" si="204">$T$3</f>
        <v>445.84011537290456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0.44373157577351741</v>
      </c>
      <c r="AA197" s="21">
        <f>EXP(-LN(2)/25)*AA196+(1-EXP(-LN(2)/25))/(LN(2)/25)*Calculateur!V197*Calculateur!X197*VLOOKUP('Données projet'!$B$9,Paramètres!$A$1:$I$89,3,0)*0.475*44/12</f>
        <v>0.41079049592088224</v>
      </c>
      <c r="AB197" s="21">
        <f>EXP(-LN(2)/2)*AB196+(1-EXP(-LN(2)/2))/(LN(2)/2)*V197*Y197*VLOOKUP('Données projet'!$B$9,Paramètres!$A$1:$I$89,3,0)*0.475*44/12</f>
        <v>7.5422103580061445E-24</v>
      </c>
      <c r="AC197" s="22">
        <f t="shared" si="163"/>
        <v>0.85452207169439964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-5.3205440053716299E-14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252.98248842635206</v>
      </c>
      <c r="AO197" s="59">
        <f t="shared" ref="AO197:AO203" si="205">$AO$3</f>
        <v>207.11938580878308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0.12179768368906288</v>
      </c>
      <c r="AV197" s="21">
        <f>EXP(-LN(2)/25)*AV196+(1-EXP(-LN(2)/25))/(LN(2)/25)*Calculateur!AQ197*Calculateur!AS197*VLOOKUP('Données projet'!$B$10,Paramètres!$A$1:$I$89,3,0)*0.475*44/12</f>
        <v>8.325591356826674E-2</v>
      </c>
      <c r="AW197" s="21">
        <f>EXP(-LN(2)/2)*AW196+(1-EXP(-LN(2)/2))/(LN(2)/2)*AQ197*AT197*VLOOKUP('Données projet'!$B$10,Paramètres!$A$1:$I$89,3,0)*0.475*44/12</f>
        <v>2.0332464409251776E-24</v>
      </c>
      <c r="AX197" s="21">
        <f t="shared" si="166"/>
        <v>0.20505359725732963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2.8421709430404007E-14</v>
      </c>
      <c r="BE197" s="13">
        <f>BD197*VLOOKUP('Données projet'!$B$11,Paramètres!$A$1:$I$89,3,0)*VLOOKUP('Données projet'!$B$11,Paramètres!$A$1:$I$89,5,0)</f>
        <v>1.8621904018800706E-14</v>
      </c>
      <c r="BF197" s="13">
        <f t="shared" si="167"/>
        <v>3.40208645124969E-13</v>
      </c>
      <c r="BG197" s="20">
        <f t="shared" si="168"/>
        <v>6.2496320642539887E-13</v>
      </c>
      <c r="BH197" s="59">
        <f t="shared" si="194"/>
        <v>293.33333333333394</v>
      </c>
      <c r="BI197" s="59">
        <f ca="1">AVERAGE(OFFSET($BH$3,0,0,'Données projet'!$E$11+1,1))-AVERAGE(OFFSET($H$3,0,0,'Données projet'!$E$11+1,1))</f>
        <v>114.23168847330004</v>
      </c>
      <c r="BJ197" s="59">
        <f t="shared" ref="BJ197:BJ203" si="206">$BJ$3</f>
        <v>42.34857998136755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2.8421709430404007E-14</v>
      </c>
      <c r="BZ197" s="13">
        <f>BY197*VLOOKUP('Données projet'!$B$12,Paramètres!$A$1:$I$89,3,0)*VLOOKUP('Données projet'!$B$12,Paramètres!$A$1:$I$89,5,0)</f>
        <v>2.7489477361086758E-14</v>
      </c>
      <c r="CA197" s="13">
        <f t="shared" si="170"/>
        <v>4.7995394886724981E-13</v>
      </c>
      <c r="CB197" s="20">
        <f t="shared" si="171"/>
        <v>8.8379730068101964E-13</v>
      </c>
      <c r="CC197" s="59">
        <f t="shared" si="195"/>
        <v>293.33333333333422</v>
      </c>
      <c r="CD197" s="59">
        <f ca="1">AVERAGE(OFFSET($CC$3,0,0,'Données projet'!$E$12+1,1))-AVERAGE(OFFSET($H$3,0,0,'Données projet'!$E$12+1,1))</f>
        <v>201.36664523637006</v>
      </c>
      <c r="CE197" s="59">
        <f t="shared" ref="CE197:CE203" si="207">$CE$3</f>
        <v>79.394119001888555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2.2674499273915303</v>
      </c>
      <c r="CM197" s="21">
        <f>EXP(-LN(2)/2)*CM196+(1-EXP(-LN(2)/2))/(LN(2)/2)*CG197*CJ197*VLOOKUP('Données projet'!$B$12,Paramètres!$A$1:$I$89,3,0)*0.475*44/12</f>
        <v>8.152572758062314E-23</v>
      </c>
      <c r="CN197" s="22">
        <f t="shared" si="172"/>
        <v>2.2674499273915303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1.1368683772161603E-13</v>
      </c>
      <c r="CU197" s="17">
        <f>CT197*VLOOKUP('Données projet'!$B$13,Paramètres!$A$1:$I$89,3,0)*VLOOKUP('Données projet'!$B$13,Paramètres!$A$1:$I$89,5,0)</f>
        <v>1.0286385077051818E-13</v>
      </c>
      <c r="CV197" s="13">
        <f t="shared" si="173"/>
        <v>1.5402366592183556E-12</v>
      </c>
      <c r="CW197" s="20">
        <f t="shared" si="174"/>
        <v>2.8617333882306215E-12</v>
      </c>
      <c r="CX197" s="59">
        <f t="shared" si="196"/>
        <v>293.33333333333616</v>
      </c>
      <c r="CY197" s="59">
        <f ca="1">AVERAGE(OFFSET($CX$3,0,0,'Données projet'!$E$13+1,1))-AVERAGE(OFFSET($H$3,0,0,'Données projet'!$E$13+1,1))</f>
        <v>282.08542131880455</v>
      </c>
      <c r="CZ197" s="59">
        <f t="shared" ref="CZ197:CZ203" si="208">$CZ$3</f>
        <v>174.27503468762325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26.330287892400722</v>
      </c>
      <c r="DG197" s="21">
        <f>EXP(-LN(2)/25)*DG196+(1-EXP(-LN(2)/25))/(LN(2)/25)*Calculateur!DB197*Calculateur!DD197*VLOOKUP('Données projet'!$B$13,Paramètres!$A$1:$I$89,3,0)*0.475*44/12</f>
        <v>9.0464765287765605</v>
      </c>
      <c r="DH197" s="21">
        <f>EXP(-LN(2)/2)*DH196+(1-EXP(-LN(2)/2))/(LN(2)/2)*DB197*DE197*VLOOKUP('Données projet'!$B$13,Paramètres!$A$1:$I$89,3,0)*0.475*44/12</f>
        <v>1.2119585928456059E-22</v>
      </c>
      <c r="DI197" s="22">
        <f t="shared" si="175"/>
        <v>35.376764421177285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5.6843418860808015E-14</v>
      </c>
      <c r="DP197" s="17">
        <f>DO197*VLOOKUP('Données projet'!$B$14,Paramètres!$A$1:$I$89,3,0)*VLOOKUP('Données projet'!$B$14,Paramètres!$A$1:$I$89,5,0)</f>
        <v>4.6111381379887463E-14</v>
      </c>
      <c r="DQ197" s="13">
        <f t="shared" si="176"/>
        <v>7.5804141040779151E-13</v>
      </c>
      <c r="DR197" s="20">
        <f t="shared" si="177"/>
        <v>1.4005661123635408E-12</v>
      </c>
      <c r="DS197" s="59">
        <f t="shared" si="197"/>
        <v>293.33333333333474</v>
      </c>
      <c r="DT197" s="59">
        <f ca="1">AVERAGE(OFFSET($DS$3,0,0,'Données projet'!$E$14+1,1))-AVERAGE(OFFSET($H$3,0,0,'Données projet'!$E$14+1,1))</f>
        <v>235.31102883830971</v>
      </c>
      <c r="DU197" s="59">
        <f t="shared" ref="DU197:DU203" si="209">$DU$3</f>
        <v>271.48630853790422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5.9302848461750015</v>
      </c>
      <c r="EB197" s="21">
        <f>EXP(-LN(2)/25)*EB196+(1-EXP(-LN(2)/25))/(LN(2)/25)*Calculateur!DW197*Calculateur!DY197*VLOOKUP('Données projet'!$B$14,Paramètres!$A$1:$I$89,3,0)*0.475*44/12</f>
        <v>3.3087262182794683</v>
      </c>
      <c r="EC197" s="21">
        <f>EXP(-LN(2)/2)*EC196+(1-EXP(-LN(2)/2))/(LN(2)/2)*DW197*DZ197*VLOOKUP('Données projet'!$B$14,Paramètres!$A$1:$I$89,3,0)*0.475*44/12</f>
        <v>1.4624955790000855E-22</v>
      </c>
      <c r="ED197" s="22">
        <f t="shared" si="178"/>
        <v>9.2390110644544698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-1.2505552149377763E-12</v>
      </c>
      <c r="O198" s="13">
        <f>N198*VLOOKUP('Données projet'!$B$9,Paramètres!$A$1:$I$89,3,0)*VLOOKUP('Données projet'!$B$9,Paramètres!$A$1:$I$89,5,0)</f>
        <v>-6.9906036515021697E-13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446.28010102877403</v>
      </c>
      <c r="T198" s="59">
        <f t="shared" si="204"/>
        <v>445.84011537290456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0.43503027022213553</v>
      </c>
      <c r="AA198" s="21">
        <f>EXP(-LN(2)/25)*AA197+(1-EXP(-LN(2)/25))/(LN(2)/25)*Calculateur!V198*Calculateur!X198*VLOOKUP('Données projet'!$B$9,Paramètres!$A$1:$I$89,3,0)*0.475*44/12</f>
        <v>0.39955740820739238</v>
      </c>
      <c r="AB198" s="21">
        <f>EXP(-LN(2)/2)*AB197+(1-EXP(-LN(2)/2))/(LN(2)/2)*V198*Y198*VLOOKUP('Données projet'!$B$9,Paramètres!$A$1:$I$89,3,0)*0.475*44/12</f>
        <v>5.3331480892815631E-24</v>
      </c>
      <c r="AC198" s="22">
        <f t="shared" si="163"/>
        <v>0.83458767842952786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-5.3205440053716299E-14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252.98248842635206</v>
      </c>
      <c r="AO198" s="59">
        <f t="shared" si="205"/>
        <v>207.11938580878308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0.11940930540117195</v>
      </c>
      <c r="AV198" s="21">
        <f>EXP(-LN(2)/25)*AV197+(1-EXP(-LN(2)/25))/(LN(2)/25)*Calculateur!AQ198*Calculateur!AS198*VLOOKUP('Données projet'!$B$10,Paramètres!$A$1:$I$89,3,0)*0.475*44/12</f>
        <v>8.0979276233504274E-2</v>
      </c>
      <c r="AW198" s="21">
        <f>EXP(-LN(2)/2)*AW197+(1-EXP(-LN(2)/2))/(LN(2)/2)*AQ198*AT198*VLOOKUP('Données projet'!$B$10,Paramètres!$A$1:$I$89,3,0)*0.475*44/12</f>
        <v>1.4377223462016061E-24</v>
      </c>
      <c r="AX198" s="21">
        <f t="shared" si="166"/>
        <v>0.20038858163467621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2.8421709430404007E-14</v>
      </c>
      <c r="BE198" s="13">
        <f>BD198*VLOOKUP('Données projet'!$B$11,Paramètres!$A$1:$I$89,3,0)*VLOOKUP('Données projet'!$B$11,Paramètres!$A$1:$I$89,5,0)</f>
        <v>1.8621904018800706E-14</v>
      </c>
      <c r="BF198" s="13">
        <f t="shared" si="167"/>
        <v>3.40208645124969E-13</v>
      </c>
      <c r="BG198" s="20">
        <f t="shared" si="168"/>
        <v>6.2496320642539887E-13</v>
      </c>
      <c r="BH198" s="59">
        <f t="shared" si="194"/>
        <v>293.33333333333394</v>
      </c>
      <c r="BI198" s="59">
        <f ca="1">AVERAGE(OFFSET($BH$3,0,0,'Données projet'!$E$11+1,1))-AVERAGE(OFFSET($H$3,0,0,'Données projet'!$E$11+1,1))</f>
        <v>114.23168847330004</v>
      </c>
      <c r="BJ198" s="59">
        <f t="shared" si="206"/>
        <v>42.34857998136755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2.8421709430404007E-14</v>
      </c>
      <c r="BZ198" s="13">
        <f>BY198*VLOOKUP('Données projet'!$B$12,Paramètres!$A$1:$I$89,3,0)*VLOOKUP('Données projet'!$B$12,Paramètres!$A$1:$I$89,5,0)</f>
        <v>2.7489477361086758E-14</v>
      </c>
      <c r="CA198" s="13">
        <f t="shared" si="170"/>
        <v>4.7995394886724981E-13</v>
      </c>
      <c r="CB198" s="20">
        <f t="shared" si="171"/>
        <v>8.8379730068101964E-13</v>
      </c>
      <c r="CC198" s="59">
        <f t="shared" si="195"/>
        <v>293.33333333333422</v>
      </c>
      <c r="CD198" s="59">
        <f ca="1">AVERAGE(OFFSET($CC$3,0,0,'Données projet'!$E$12+1,1))-AVERAGE(OFFSET($H$3,0,0,'Données projet'!$E$12+1,1))</f>
        <v>201.36664523637006</v>
      </c>
      <c r="CE198" s="59">
        <f t="shared" si="207"/>
        <v>79.394119001888555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2.2054463898869994</v>
      </c>
      <c r="CM198" s="21">
        <f>EXP(-LN(2)/2)*CM197+(1-EXP(-LN(2)/2))/(LN(2)/2)*CG198*CJ198*VLOOKUP('Données projet'!$B$12,Paramètres!$A$1:$I$89,3,0)*0.475*44/12</f>
        <v>5.7647394813425768E-23</v>
      </c>
      <c r="CN198" s="22">
        <f t="shared" si="172"/>
        <v>2.2054463898869994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1.1368683772161603E-13</v>
      </c>
      <c r="CU198" s="17">
        <f>CT198*VLOOKUP('Données projet'!$B$13,Paramètres!$A$1:$I$89,3,0)*VLOOKUP('Données projet'!$B$13,Paramètres!$A$1:$I$89,5,0)</f>
        <v>1.0286385077051818E-13</v>
      </c>
      <c r="CV198" s="13">
        <f t="shared" si="173"/>
        <v>1.5402366592183556E-12</v>
      </c>
      <c r="CW198" s="20">
        <f t="shared" si="174"/>
        <v>2.8617333882306215E-12</v>
      </c>
      <c r="CX198" s="59">
        <f t="shared" si="196"/>
        <v>293.33333333333616</v>
      </c>
      <c r="CY198" s="59">
        <f ca="1">AVERAGE(OFFSET($CX$3,0,0,'Données projet'!$E$13+1,1))-AVERAGE(OFFSET($H$3,0,0,'Données projet'!$E$13+1,1))</f>
        <v>282.08542131880455</v>
      </c>
      <c r="CZ198" s="59">
        <f t="shared" si="208"/>
        <v>174.27503468762325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25.813967006720578</v>
      </c>
      <c r="DG198" s="21">
        <f>EXP(-LN(2)/25)*DG197+(1-EXP(-LN(2)/25))/(LN(2)/25)*Calculateur!DB198*Calculateur!DD198*VLOOKUP('Données projet'!$B$13,Paramètres!$A$1:$I$89,3,0)*0.475*44/12</f>
        <v>8.799100152363641</v>
      </c>
      <c r="DH198" s="21">
        <f>EXP(-LN(2)/2)*DH197+(1-EXP(-LN(2)/2))/(LN(2)/2)*DB198*DE198*VLOOKUP('Données projet'!$B$13,Paramètres!$A$1:$I$89,3,0)*0.475*44/12</f>
        <v>8.5698413951843389E-23</v>
      </c>
      <c r="DI198" s="22">
        <f t="shared" si="175"/>
        <v>34.613067159084217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5.6843418860808015E-14</v>
      </c>
      <c r="DP198" s="17">
        <f>DO198*VLOOKUP('Données projet'!$B$14,Paramètres!$A$1:$I$89,3,0)*VLOOKUP('Données projet'!$B$14,Paramètres!$A$1:$I$89,5,0)</f>
        <v>4.6111381379887463E-14</v>
      </c>
      <c r="DQ198" s="13">
        <f t="shared" si="176"/>
        <v>7.5804141040779151E-13</v>
      </c>
      <c r="DR198" s="20">
        <f t="shared" si="177"/>
        <v>1.4005661123635408E-12</v>
      </c>
      <c r="DS198" s="59">
        <f t="shared" si="197"/>
        <v>293.33333333333474</v>
      </c>
      <c r="DT198" s="59">
        <f ca="1">AVERAGE(OFFSET($DS$3,0,0,'Données projet'!$E$14+1,1))-AVERAGE(OFFSET($H$3,0,0,'Données projet'!$E$14+1,1))</f>
        <v>235.31102883830971</v>
      </c>
      <c r="DU198" s="59">
        <f t="shared" si="209"/>
        <v>271.48630853790422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5.8139955774581056</v>
      </c>
      <c r="EB198" s="21">
        <f>EXP(-LN(2)/25)*EB197+(1-EXP(-LN(2)/25))/(LN(2)/25)*Calculateur!DW198*Calculateur!DY198*VLOOKUP('Données projet'!$B$14,Paramètres!$A$1:$I$89,3,0)*0.475*44/12</f>
        <v>3.2182489258422668</v>
      </c>
      <c r="EC198" s="21">
        <f>EXP(-LN(2)/2)*EC197+(1-EXP(-LN(2)/2))/(LN(2)/2)*DW198*DZ198*VLOOKUP('Données projet'!$B$14,Paramètres!$A$1:$I$89,3,0)*0.475*44/12</f>
        <v>1.0341405413663067E-22</v>
      </c>
      <c r="ED198" s="22">
        <f t="shared" si="178"/>
        <v>9.0322445033003724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-1.2505552149377763E-12</v>
      </c>
      <c r="O199" s="13">
        <f>N199*VLOOKUP('Données projet'!$B$9,Paramètres!$A$1:$I$89,3,0)*VLOOKUP('Données projet'!$B$9,Paramètres!$A$1:$I$89,5,0)</f>
        <v>-6.9906036515021697E-13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446.28010102877403</v>
      </c>
      <c r="T199" s="59">
        <f t="shared" si="204"/>
        <v>445.84011537290456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0.42649959196534393</v>
      </c>
      <c r="AA199" s="21">
        <f>EXP(-LN(2)/25)*AA198+(1-EXP(-LN(2)/25))/(LN(2)/25)*Calculateur!V199*Calculateur!X199*VLOOKUP('Données projet'!$B$9,Paramètres!$A$1:$I$89,3,0)*0.475*44/12</f>
        <v>0.38863148986815033</v>
      </c>
      <c r="AB199" s="21">
        <f>EXP(-LN(2)/2)*AB198+(1-EXP(-LN(2)/2))/(LN(2)/2)*V199*Y199*VLOOKUP('Données projet'!$B$9,Paramètres!$A$1:$I$89,3,0)*0.475*44/12</f>
        <v>3.7711051790030722E-24</v>
      </c>
      <c r="AC199" s="22">
        <f t="shared" si="163"/>
        <v>0.81513108183349425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-5.3205440053716299E-14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252.98248842635206</v>
      </c>
      <c r="AO199" s="59">
        <f t="shared" si="205"/>
        <v>207.11938580878308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0.11706776175473965</v>
      </c>
      <c r="AV199" s="21">
        <f>EXP(-LN(2)/25)*AV198+(1-EXP(-LN(2)/25))/(LN(2)/25)*Calculateur!AQ199*Calculateur!AS199*VLOOKUP('Données projet'!$B$10,Paramètres!$A$1:$I$89,3,0)*0.475*44/12</f>
        <v>7.8764893666384048E-2</v>
      </c>
      <c r="AW199" s="21">
        <f>EXP(-LN(2)/2)*AW198+(1-EXP(-LN(2)/2))/(LN(2)/2)*AQ199*AT199*VLOOKUP('Données projet'!$B$10,Paramètres!$A$1:$I$89,3,0)*0.475*44/12</f>
        <v>1.0166232204625888E-24</v>
      </c>
      <c r="AX199" s="21">
        <f t="shared" si="166"/>
        <v>0.19583265542112371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2.8421709430404007E-14</v>
      </c>
      <c r="BE199" s="13">
        <f>BD199*VLOOKUP('Données projet'!$B$11,Paramètres!$A$1:$I$89,3,0)*VLOOKUP('Données projet'!$B$11,Paramètres!$A$1:$I$89,5,0)</f>
        <v>1.8621904018800706E-14</v>
      </c>
      <c r="BF199" s="13">
        <f t="shared" si="167"/>
        <v>3.40208645124969E-13</v>
      </c>
      <c r="BG199" s="20">
        <f t="shared" si="168"/>
        <v>6.2496320642539887E-13</v>
      </c>
      <c r="BH199" s="59">
        <f t="shared" si="194"/>
        <v>293.33333333333394</v>
      </c>
      <c r="BI199" s="59">
        <f ca="1">AVERAGE(OFFSET($BH$3,0,0,'Données projet'!$E$11+1,1))-AVERAGE(OFFSET($H$3,0,0,'Données projet'!$E$11+1,1))</f>
        <v>114.23168847330004</v>
      </c>
      <c r="BJ199" s="59">
        <f t="shared" si="206"/>
        <v>42.34857998136755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2.8421709430404007E-14</v>
      </c>
      <c r="BZ199" s="13">
        <f>BY199*VLOOKUP('Données projet'!$B$12,Paramètres!$A$1:$I$89,3,0)*VLOOKUP('Données projet'!$B$12,Paramètres!$A$1:$I$89,5,0)</f>
        <v>2.7489477361086758E-14</v>
      </c>
      <c r="CA199" s="13">
        <f t="shared" si="170"/>
        <v>4.7995394886724981E-13</v>
      </c>
      <c r="CB199" s="20">
        <f t="shared" si="171"/>
        <v>8.8379730068101964E-13</v>
      </c>
      <c r="CC199" s="59">
        <f t="shared" si="195"/>
        <v>293.33333333333422</v>
      </c>
      <c r="CD199" s="59">
        <f ca="1">AVERAGE(OFFSET($CC$3,0,0,'Données projet'!$E$12+1,1))-AVERAGE(OFFSET($H$3,0,0,'Données projet'!$E$12+1,1))</f>
        <v>201.36664523637006</v>
      </c>
      <c r="CE199" s="59">
        <f t="shared" si="207"/>
        <v>79.394119001888555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2.1451383423761543</v>
      </c>
      <c r="CM199" s="21">
        <f>EXP(-LN(2)/2)*CM198+(1-EXP(-LN(2)/2))/(LN(2)/2)*CG199*CJ199*VLOOKUP('Données projet'!$B$12,Paramètres!$A$1:$I$89,3,0)*0.475*44/12</f>
        <v>4.076286379031157E-23</v>
      </c>
      <c r="CN199" s="22">
        <f t="shared" si="172"/>
        <v>2.1451383423761543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1.1368683772161603E-13</v>
      </c>
      <c r="CU199" s="17">
        <f>CT199*VLOOKUP('Données projet'!$B$13,Paramètres!$A$1:$I$89,3,0)*VLOOKUP('Données projet'!$B$13,Paramètres!$A$1:$I$89,5,0)</f>
        <v>1.0286385077051818E-13</v>
      </c>
      <c r="CV199" s="13">
        <f t="shared" si="173"/>
        <v>1.5402366592183556E-12</v>
      </c>
      <c r="CW199" s="20">
        <f t="shared" si="174"/>
        <v>2.8617333882306215E-12</v>
      </c>
      <c r="CX199" s="59">
        <f t="shared" si="196"/>
        <v>293.33333333333616</v>
      </c>
      <c r="CY199" s="59">
        <f ca="1">AVERAGE(OFFSET($CX$3,0,0,'Données projet'!$E$13+1,1))-AVERAGE(OFFSET($H$3,0,0,'Données projet'!$E$13+1,1))</f>
        <v>282.08542131880455</v>
      </c>
      <c r="CZ199" s="59">
        <f t="shared" si="208"/>
        <v>174.27503468762325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25.307770858683977</v>
      </c>
      <c r="DG199" s="21">
        <f>EXP(-LN(2)/25)*DG198+(1-EXP(-LN(2)/25))/(LN(2)/25)*Calculateur!DB199*Calculateur!DD199*VLOOKUP('Données projet'!$B$13,Paramètres!$A$1:$I$89,3,0)*0.475*44/12</f>
        <v>8.5584882959726905</v>
      </c>
      <c r="DH199" s="21">
        <f>EXP(-LN(2)/2)*DH198+(1-EXP(-LN(2)/2))/(LN(2)/2)*DB199*DE199*VLOOKUP('Données projet'!$B$13,Paramètres!$A$1:$I$89,3,0)*0.475*44/12</f>
        <v>6.0597929642280293E-23</v>
      </c>
      <c r="DI199" s="22">
        <f t="shared" si="175"/>
        <v>33.866259154656667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5.6843418860808015E-14</v>
      </c>
      <c r="DP199" s="17">
        <f>DO199*VLOOKUP('Données projet'!$B$14,Paramètres!$A$1:$I$89,3,0)*VLOOKUP('Données projet'!$B$14,Paramètres!$A$1:$I$89,5,0)</f>
        <v>4.6111381379887463E-14</v>
      </c>
      <c r="DQ199" s="13">
        <f t="shared" si="176"/>
        <v>7.5804141040779151E-13</v>
      </c>
      <c r="DR199" s="20">
        <f t="shared" si="177"/>
        <v>1.4005661123635408E-12</v>
      </c>
      <c r="DS199" s="59">
        <f t="shared" si="197"/>
        <v>293.33333333333474</v>
      </c>
      <c r="DT199" s="59">
        <f ca="1">AVERAGE(OFFSET($DS$3,0,0,'Données projet'!$E$14+1,1))-AVERAGE(OFFSET($H$3,0,0,'Données projet'!$E$14+1,1))</f>
        <v>235.31102883830971</v>
      </c>
      <c r="DU199" s="59">
        <f t="shared" si="209"/>
        <v>271.48630853790422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5.6999866703712971</v>
      </c>
      <c r="EB199" s="21">
        <f>EXP(-LN(2)/25)*EB198+(1-EXP(-LN(2)/25))/(LN(2)/25)*Calculateur!DW199*Calculateur!DY199*VLOOKUP('Données projet'!$B$14,Paramètres!$A$1:$I$89,3,0)*0.475*44/12</f>
        <v>3.1302457397247543</v>
      </c>
      <c r="EC199" s="21">
        <f>EXP(-LN(2)/2)*EC198+(1-EXP(-LN(2)/2))/(LN(2)/2)*DW199*DZ199*VLOOKUP('Données projet'!$B$14,Paramètres!$A$1:$I$89,3,0)*0.475*44/12</f>
        <v>7.3124778950004287E-23</v>
      </c>
      <c r="ED199" s="22">
        <f t="shared" si="178"/>
        <v>8.8302324100960519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-1.2505552149377763E-12</v>
      </c>
      <c r="O200" s="13">
        <f>N200*VLOOKUP('Données projet'!$B$9,Paramètres!$A$1:$I$89,3,0)*VLOOKUP('Données projet'!$B$9,Paramètres!$A$1:$I$89,5,0)</f>
        <v>-6.9906036515021697E-13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446.28010102877403</v>
      </c>
      <c r="T200" s="59">
        <f t="shared" si="204"/>
        <v>445.84011537290456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0.41813619510596806</v>
      </c>
      <c r="AA200" s="21">
        <f>EXP(-LN(2)/25)*AA199+(1-EXP(-LN(2)/25))/(LN(2)/25)*Calculateur!V200*Calculateur!X200*VLOOKUP('Données projet'!$B$9,Paramètres!$A$1:$I$89,3,0)*0.475*44/12</f>
        <v>0.37800434134046396</v>
      </c>
      <c r="AB200" s="21">
        <f>EXP(-LN(2)/2)*AB199+(1-EXP(-LN(2)/2))/(LN(2)/2)*V200*Y200*VLOOKUP('Données projet'!$B$9,Paramètres!$A$1:$I$89,3,0)*0.475*44/12</f>
        <v>2.6665740446407816E-24</v>
      </c>
      <c r="AC200" s="22">
        <f t="shared" si="163"/>
        <v>0.79614053644643201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-5.3205440053716299E-14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252.98248842635206</v>
      </c>
      <c r="AO200" s="59">
        <f t="shared" si="205"/>
        <v>207.11938580878308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0.11477213435101329</v>
      </c>
      <c r="AV200" s="21">
        <f>EXP(-LN(2)/25)*AV199+(1-EXP(-LN(2)/25))/(LN(2)/25)*Calculateur!AQ200*Calculateur!AS200*VLOOKUP('Données projet'!$B$10,Paramètres!$A$1:$I$89,3,0)*0.475*44/12</f>
        <v>7.6611063507011037E-2</v>
      </c>
      <c r="AW200" s="21">
        <f>EXP(-LN(2)/2)*AW199+(1-EXP(-LN(2)/2))/(LN(2)/2)*AQ200*AT200*VLOOKUP('Données projet'!$B$10,Paramètres!$A$1:$I$89,3,0)*0.475*44/12</f>
        <v>7.1886117310080304E-25</v>
      </c>
      <c r="AX200" s="21">
        <f t="shared" si="166"/>
        <v>0.19138319785802432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2.8421709430404007E-14</v>
      </c>
      <c r="BE200" s="13">
        <f>BD200*VLOOKUP('Données projet'!$B$11,Paramètres!$A$1:$I$89,3,0)*VLOOKUP('Données projet'!$B$11,Paramètres!$A$1:$I$89,5,0)</f>
        <v>1.8621904018800706E-14</v>
      </c>
      <c r="BF200" s="13">
        <f t="shared" si="167"/>
        <v>3.40208645124969E-13</v>
      </c>
      <c r="BG200" s="20">
        <f t="shared" si="168"/>
        <v>6.2496320642539887E-13</v>
      </c>
      <c r="BH200" s="59">
        <f t="shared" si="194"/>
        <v>293.33333333333394</v>
      </c>
      <c r="BI200" s="59">
        <f ca="1">AVERAGE(OFFSET($BH$3,0,0,'Données projet'!$E$11+1,1))-AVERAGE(OFFSET($H$3,0,0,'Données projet'!$E$11+1,1))</f>
        <v>114.23168847330004</v>
      </c>
      <c r="BJ200" s="59">
        <f t="shared" si="206"/>
        <v>42.34857998136755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2.8421709430404007E-14</v>
      </c>
      <c r="BZ200" s="13">
        <f>BY200*VLOOKUP('Données projet'!$B$12,Paramètres!$A$1:$I$89,3,0)*VLOOKUP('Données projet'!$B$12,Paramètres!$A$1:$I$89,5,0)</f>
        <v>2.7489477361086758E-14</v>
      </c>
      <c r="CA200" s="13">
        <f t="shared" si="170"/>
        <v>4.7995394886724981E-13</v>
      </c>
      <c r="CB200" s="20">
        <f t="shared" si="171"/>
        <v>8.8379730068101964E-13</v>
      </c>
      <c r="CC200" s="59">
        <f t="shared" si="195"/>
        <v>293.33333333333422</v>
      </c>
      <c r="CD200" s="59">
        <f ca="1">AVERAGE(OFFSET($CC$3,0,0,'Données projet'!$E$12+1,1))-AVERAGE(OFFSET($H$3,0,0,'Données projet'!$E$12+1,1))</f>
        <v>201.36664523637006</v>
      </c>
      <c r="CE200" s="59">
        <f t="shared" si="207"/>
        <v>79.394119001888555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2.0864794215959557</v>
      </c>
      <c r="CM200" s="21">
        <f>EXP(-LN(2)/2)*CM199+(1-EXP(-LN(2)/2))/(LN(2)/2)*CG200*CJ200*VLOOKUP('Données projet'!$B$12,Paramètres!$A$1:$I$89,3,0)*0.475*44/12</f>
        <v>2.8823697406712884E-23</v>
      </c>
      <c r="CN200" s="22">
        <f t="shared" si="172"/>
        <v>2.0864794215959557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1.1368683772161603E-13</v>
      </c>
      <c r="CU200" s="17">
        <f>CT200*VLOOKUP('Données projet'!$B$13,Paramètres!$A$1:$I$89,3,0)*VLOOKUP('Données projet'!$B$13,Paramètres!$A$1:$I$89,5,0)</f>
        <v>1.0286385077051818E-13</v>
      </c>
      <c r="CV200" s="13">
        <f t="shared" si="173"/>
        <v>1.5402366592183556E-12</v>
      </c>
      <c r="CW200" s="20">
        <f t="shared" si="174"/>
        <v>2.8617333882306215E-12</v>
      </c>
      <c r="CX200" s="59">
        <f t="shared" si="196"/>
        <v>293.33333333333616</v>
      </c>
      <c r="CY200" s="59">
        <f ca="1">AVERAGE(OFFSET($CX$3,0,0,'Données projet'!$E$13+1,1))-AVERAGE(OFFSET($H$3,0,0,'Données projet'!$E$13+1,1))</f>
        <v>282.08542131880455</v>
      </c>
      <c r="CZ200" s="59">
        <f t="shared" si="208"/>
        <v>174.27503468762325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24.811500908361207</v>
      </c>
      <c r="DG200" s="21">
        <f>EXP(-LN(2)/25)*DG199+(1-EXP(-LN(2)/25))/(LN(2)/25)*Calculateur!DB200*Calculateur!DD200*VLOOKUP('Données projet'!$B$13,Paramètres!$A$1:$I$89,3,0)*0.475*44/12</f>
        <v>8.3244559834479777</v>
      </c>
      <c r="DH200" s="21">
        <f>EXP(-LN(2)/2)*DH199+(1-EXP(-LN(2)/2))/(LN(2)/2)*DB200*DE200*VLOOKUP('Données projet'!$B$13,Paramètres!$A$1:$I$89,3,0)*0.475*44/12</f>
        <v>4.2849206975921694E-23</v>
      </c>
      <c r="DI200" s="22">
        <f t="shared" si="175"/>
        <v>33.135956891809187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5.6843418860808015E-14</v>
      </c>
      <c r="DP200" s="17">
        <f>DO200*VLOOKUP('Données projet'!$B$14,Paramètres!$A$1:$I$89,3,0)*VLOOKUP('Données projet'!$B$14,Paramètres!$A$1:$I$89,5,0)</f>
        <v>4.6111381379887463E-14</v>
      </c>
      <c r="DQ200" s="13">
        <f t="shared" si="176"/>
        <v>7.5804141040779151E-13</v>
      </c>
      <c r="DR200" s="20">
        <f t="shared" si="177"/>
        <v>1.4005661123635408E-12</v>
      </c>
      <c r="DS200" s="59">
        <f t="shared" si="197"/>
        <v>293.33333333333474</v>
      </c>
      <c r="DT200" s="59">
        <f ca="1">AVERAGE(OFFSET($DS$3,0,0,'Données projet'!$E$14+1,1))-AVERAGE(OFFSET($H$3,0,0,'Données projet'!$E$14+1,1))</f>
        <v>235.31102883830971</v>
      </c>
      <c r="DU200" s="59">
        <f t="shared" si="209"/>
        <v>271.48630853790422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5.5882134084138944</v>
      </c>
      <c r="EB200" s="21">
        <f>EXP(-LN(2)/25)*EB199+(1-EXP(-LN(2)/25))/(LN(2)/25)*Calculateur!DW200*Calculateur!DY200*VLOOKUP('Données projet'!$B$14,Paramètres!$A$1:$I$89,3,0)*0.475*44/12</f>
        <v>3.0446490053595117</v>
      </c>
      <c r="EC200" s="21">
        <f>EXP(-LN(2)/2)*EC199+(1-EXP(-LN(2)/2))/(LN(2)/2)*DW200*DZ200*VLOOKUP('Données projet'!$B$14,Paramètres!$A$1:$I$89,3,0)*0.475*44/12</f>
        <v>5.1707027068315341E-23</v>
      </c>
      <c r="ED200" s="22">
        <f t="shared" si="178"/>
        <v>8.632862413773406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-1.2505552149377763E-12</v>
      </c>
      <c r="O201" s="13">
        <f>N201*VLOOKUP('Données projet'!$B$9,Paramètres!$A$1:$I$89,3,0)*VLOOKUP('Données projet'!$B$9,Paramètres!$A$1:$I$89,5,0)</f>
        <v>-6.9906036515021697E-13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446.28010102877403</v>
      </c>
      <c r="T201" s="59">
        <f t="shared" si="204"/>
        <v>445.84011537290456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0.40993679935783611</v>
      </c>
      <c r="AA201" s="21">
        <f>EXP(-LN(2)/25)*AA200+(1-EXP(-LN(2)/25))/(LN(2)/25)*Calculateur!V201*Calculateur!X201*VLOOKUP('Données projet'!$B$9,Paramètres!$A$1:$I$89,3,0)*0.475*44/12</f>
        <v>0.36766779274812461</v>
      </c>
      <c r="AB201" s="21">
        <f>EXP(-LN(2)/2)*AB200+(1-EXP(-LN(2)/2))/(LN(2)/2)*V201*Y201*VLOOKUP('Données projet'!$B$9,Paramètres!$A$1:$I$89,3,0)*0.475*44/12</f>
        <v>1.8855525895015361E-24</v>
      </c>
      <c r="AC201" s="22">
        <f t="shared" si="163"/>
        <v>0.77760459210596067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-5.3205440053716299E-14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252.98248842635206</v>
      </c>
      <c r="AO201" s="59">
        <f t="shared" si="205"/>
        <v>207.11938580878308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0.11252152280047954</v>
      </c>
      <c r="AV201" s="21">
        <f>EXP(-LN(2)/25)*AV200+(1-EXP(-LN(2)/25))/(LN(2)/25)*Calculateur!AQ201*Calculateur!AS201*VLOOKUP('Données projet'!$B$10,Paramètres!$A$1:$I$89,3,0)*0.475*44/12</f>
        <v>7.4516129946611082E-2</v>
      </c>
      <c r="AW201" s="21">
        <f>EXP(-LN(2)/2)*AW200+(1-EXP(-LN(2)/2))/(LN(2)/2)*AQ201*AT201*VLOOKUP('Données projet'!$B$10,Paramètres!$A$1:$I$89,3,0)*0.475*44/12</f>
        <v>5.0831161023129439E-25</v>
      </c>
      <c r="AX201" s="21">
        <f t="shared" si="166"/>
        <v>0.18703765274709061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2.8421709430404007E-14</v>
      </c>
      <c r="BE201" s="13">
        <f>BD201*VLOOKUP('Données projet'!$B$11,Paramètres!$A$1:$I$89,3,0)*VLOOKUP('Données projet'!$B$11,Paramètres!$A$1:$I$89,5,0)</f>
        <v>1.8621904018800706E-14</v>
      </c>
      <c r="BF201" s="13">
        <f t="shared" si="167"/>
        <v>3.40208645124969E-13</v>
      </c>
      <c r="BG201" s="20">
        <f t="shared" si="168"/>
        <v>6.2496320642539887E-13</v>
      </c>
      <c r="BH201" s="59">
        <f t="shared" si="194"/>
        <v>293.33333333333394</v>
      </c>
      <c r="BI201" s="59">
        <f ca="1">AVERAGE(OFFSET($BH$3,0,0,'Données projet'!$E$11+1,1))-AVERAGE(OFFSET($H$3,0,0,'Données projet'!$E$11+1,1))</f>
        <v>114.23168847330004</v>
      </c>
      <c r="BJ201" s="59">
        <f t="shared" si="206"/>
        <v>42.34857998136755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2.8421709430404007E-14</v>
      </c>
      <c r="BZ201" s="13">
        <f>BY201*VLOOKUP('Données projet'!$B$12,Paramètres!$A$1:$I$89,3,0)*VLOOKUP('Données projet'!$B$12,Paramètres!$A$1:$I$89,5,0)</f>
        <v>2.7489477361086758E-14</v>
      </c>
      <c r="CA201" s="13">
        <f t="shared" si="170"/>
        <v>4.7995394886724981E-13</v>
      </c>
      <c r="CB201" s="20">
        <f t="shared" si="171"/>
        <v>8.8379730068101964E-13</v>
      </c>
      <c r="CC201" s="59">
        <f t="shared" si="195"/>
        <v>293.33333333333422</v>
      </c>
      <c r="CD201" s="59">
        <f ca="1">AVERAGE(OFFSET($CC$3,0,0,'Données projet'!$E$12+1,1))-AVERAGE(OFFSET($H$3,0,0,'Données projet'!$E$12+1,1))</f>
        <v>201.36664523637006</v>
      </c>
      <c r="CE201" s="59">
        <f t="shared" si="207"/>
        <v>79.394119001888555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2.0294245320892301</v>
      </c>
      <c r="CM201" s="21">
        <f>EXP(-LN(2)/2)*CM200+(1-EXP(-LN(2)/2))/(LN(2)/2)*CG201*CJ201*VLOOKUP('Données projet'!$B$12,Paramètres!$A$1:$I$89,3,0)*0.475*44/12</f>
        <v>2.0381431895155785E-23</v>
      </c>
      <c r="CN201" s="22">
        <f t="shared" si="172"/>
        <v>2.0294245320892301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1.1368683772161603E-13</v>
      </c>
      <c r="CU201" s="17">
        <f>CT201*VLOOKUP('Données projet'!$B$13,Paramètres!$A$1:$I$89,3,0)*VLOOKUP('Données projet'!$B$13,Paramètres!$A$1:$I$89,5,0)</f>
        <v>1.0286385077051818E-13</v>
      </c>
      <c r="CV201" s="13">
        <f t="shared" si="173"/>
        <v>1.5402366592183556E-12</v>
      </c>
      <c r="CW201" s="20">
        <f t="shared" si="174"/>
        <v>2.8617333882306215E-12</v>
      </c>
      <c r="CX201" s="59">
        <f t="shared" si="196"/>
        <v>293.33333333333616</v>
      </c>
      <c r="CY201" s="59">
        <f ca="1">AVERAGE(OFFSET($CX$3,0,0,'Données projet'!$E$13+1,1))-AVERAGE(OFFSET($H$3,0,0,'Données projet'!$E$13+1,1))</f>
        <v>282.08542131880455</v>
      </c>
      <c r="CZ201" s="59">
        <f t="shared" si="208"/>
        <v>174.27503468762325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24.324962509069486</v>
      </c>
      <c r="DG201" s="21">
        <f>EXP(-LN(2)/25)*DG200+(1-EXP(-LN(2)/25))/(LN(2)/25)*Calculateur!DB201*Calculateur!DD201*VLOOKUP('Données projet'!$B$13,Paramètres!$A$1:$I$89,3,0)*0.475*44/12</f>
        <v>8.0968232968164777</v>
      </c>
      <c r="DH201" s="21">
        <f>EXP(-LN(2)/2)*DH200+(1-EXP(-LN(2)/2))/(LN(2)/2)*DB201*DE201*VLOOKUP('Données projet'!$B$13,Paramètres!$A$1:$I$89,3,0)*0.475*44/12</f>
        <v>3.0298964821140147E-23</v>
      </c>
      <c r="DI201" s="22">
        <f t="shared" si="175"/>
        <v>32.42178580588596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5.6843418860808015E-14</v>
      </c>
      <c r="DP201" s="17">
        <f>DO201*VLOOKUP('Données projet'!$B$14,Paramètres!$A$1:$I$89,3,0)*VLOOKUP('Données projet'!$B$14,Paramètres!$A$1:$I$89,5,0)</f>
        <v>4.6111381379887463E-14</v>
      </c>
      <c r="DQ201" s="13">
        <f t="shared" si="176"/>
        <v>7.5804141040779151E-13</v>
      </c>
      <c r="DR201" s="20">
        <f t="shared" si="177"/>
        <v>1.4005661123635408E-12</v>
      </c>
      <c r="DS201" s="59">
        <f t="shared" si="197"/>
        <v>293.33333333333474</v>
      </c>
      <c r="DT201" s="59">
        <f ca="1">AVERAGE(OFFSET($DS$3,0,0,'Données projet'!$E$14+1,1))-AVERAGE(OFFSET($H$3,0,0,'Données projet'!$E$14+1,1))</f>
        <v>235.31102883830971</v>
      </c>
      <c r="DU201" s="59">
        <f t="shared" si="209"/>
        <v>271.48630853790422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5.4786319519485183</v>
      </c>
      <c r="EB201" s="21">
        <f>EXP(-LN(2)/25)*EB200+(1-EXP(-LN(2)/25))/(LN(2)/25)*Calculateur!DW201*Calculateur!DY201*VLOOKUP('Données projet'!$B$14,Paramètres!$A$1:$I$89,3,0)*0.475*44/12</f>
        <v>2.961392918196823</v>
      </c>
      <c r="EC201" s="21">
        <f>EXP(-LN(2)/2)*EC200+(1-EXP(-LN(2)/2))/(LN(2)/2)*DW201*DZ201*VLOOKUP('Données projet'!$B$14,Paramètres!$A$1:$I$89,3,0)*0.475*44/12</f>
        <v>3.6562389475002149E-23</v>
      </c>
      <c r="ED201" s="22">
        <f t="shared" si="178"/>
        <v>8.4400248701453418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-1.2505552149377763E-12</v>
      </c>
      <c r="O202" s="13">
        <f>N202*VLOOKUP('Données projet'!$B$9,Paramètres!$A$1:$I$89,3,0)*VLOOKUP('Données projet'!$B$9,Paramètres!$A$1:$I$89,5,0)</f>
        <v>-6.9906036515021697E-13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446.28010102877403</v>
      </c>
      <c r="T202" s="59">
        <f t="shared" si="204"/>
        <v>445.84011537290456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0.40189818875918748</v>
      </c>
      <c r="AA202" s="21">
        <f>EXP(-LN(2)/25)*AA201+(1-EXP(-LN(2)/25))/(LN(2)/25)*Calculateur!V202*Calculateur!X202*VLOOKUP('Données projet'!$B$9,Paramètres!$A$1:$I$89,3,0)*0.475*44/12</f>
        <v>0.35761389762061824</v>
      </c>
      <c r="AB202" s="21">
        <f>EXP(-LN(2)/2)*AB201+(1-EXP(-LN(2)/2))/(LN(2)/2)*V202*Y202*VLOOKUP('Données projet'!$B$9,Paramètres!$A$1:$I$89,3,0)*0.475*44/12</f>
        <v>1.3332870223203908E-24</v>
      </c>
      <c r="AC202" s="22">
        <f t="shared" si="163"/>
        <v>0.75951208637980572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-5.3205440053716299E-14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252.98248842635206</v>
      </c>
      <c r="AO202" s="59">
        <f t="shared" si="205"/>
        <v>207.11938580878308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0.11031504436971426</v>
      </c>
      <c r="AV202" s="21">
        <f>EXP(-LN(2)/25)*AV201+(1-EXP(-LN(2)/25))/(LN(2)/25)*Calculateur!AQ202*Calculateur!AS202*VLOOKUP('Données projet'!$B$10,Paramètres!$A$1:$I$89,3,0)*0.475*44/12</f>
        <v>7.2478482454588031E-2</v>
      </c>
      <c r="AW202" s="21">
        <f>EXP(-LN(2)/2)*AW201+(1-EXP(-LN(2)/2))/(LN(2)/2)*AQ202*AT202*VLOOKUP('Données projet'!$B$10,Paramètres!$A$1:$I$89,3,0)*0.475*44/12</f>
        <v>3.5943058655040152E-25</v>
      </c>
      <c r="AX202" s="21">
        <f t="shared" si="166"/>
        <v>0.18279352682430228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2.8421709430404007E-14</v>
      </c>
      <c r="BE202" s="13">
        <f>BD202*VLOOKUP('Données projet'!$B$11,Paramètres!$A$1:$I$89,3,0)*VLOOKUP('Données projet'!$B$11,Paramètres!$A$1:$I$89,5,0)</f>
        <v>1.8621904018800706E-14</v>
      </c>
      <c r="BF202" s="13">
        <f t="shared" si="167"/>
        <v>3.40208645124969E-13</v>
      </c>
      <c r="BG202" s="20">
        <f t="shared" si="168"/>
        <v>6.2496320642539887E-13</v>
      </c>
      <c r="BH202" s="59">
        <f t="shared" si="194"/>
        <v>293.33333333333394</v>
      </c>
      <c r="BI202" s="59">
        <f ca="1">AVERAGE(OFFSET($BH$3,0,0,'Données projet'!$E$11+1,1))-AVERAGE(OFFSET($H$3,0,0,'Données projet'!$E$11+1,1))</f>
        <v>114.23168847330004</v>
      </c>
      <c r="BJ202" s="59">
        <f t="shared" si="206"/>
        <v>42.34857998136755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2.8421709430404007E-14</v>
      </c>
      <c r="BZ202" s="13">
        <f>BY202*VLOOKUP('Données projet'!$B$12,Paramètres!$A$1:$I$89,3,0)*VLOOKUP('Données projet'!$B$12,Paramètres!$A$1:$I$89,5,0)</f>
        <v>2.7489477361086758E-14</v>
      </c>
      <c r="CA202" s="13">
        <f t="shared" si="170"/>
        <v>4.7995394886724981E-13</v>
      </c>
      <c r="CB202" s="20">
        <f t="shared" si="171"/>
        <v>8.8379730068101964E-13</v>
      </c>
      <c r="CC202" s="59">
        <f t="shared" si="195"/>
        <v>293.33333333333422</v>
      </c>
      <c r="CD202" s="59">
        <f ca="1">AVERAGE(OFFSET($CC$3,0,0,'Données projet'!$E$12+1,1))-AVERAGE(OFFSET($H$3,0,0,'Données projet'!$E$12+1,1))</f>
        <v>201.36664523637006</v>
      </c>
      <c r="CE202" s="59">
        <f t="shared" si="207"/>
        <v>79.394119001888555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1.9739298115364523</v>
      </c>
      <c r="CM202" s="21">
        <f>EXP(-LN(2)/2)*CM201+(1-EXP(-LN(2)/2))/(LN(2)/2)*CG202*CJ202*VLOOKUP('Données projet'!$B$12,Paramètres!$A$1:$I$89,3,0)*0.475*44/12</f>
        <v>1.4411848703356442E-23</v>
      </c>
      <c r="CN202" s="22">
        <f t="shared" si="172"/>
        <v>1.9739298115364523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1.1368683772161603E-13</v>
      </c>
      <c r="CU202" s="17">
        <f>CT202*VLOOKUP('Données projet'!$B$13,Paramètres!$A$1:$I$89,3,0)*VLOOKUP('Données projet'!$B$13,Paramètres!$A$1:$I$89,5,0)</f>
        <v>1.0286385077051818E-13</v>
      </c>
      <c r="CV202" s="13">
        <f t="shared" si="173"/>
        <v>1.5402366592183556E-12</v>
      </c>
      <c r="CW202" s="20">
        <f t="shared" si="174"/>
        <v>2.8617333882306215E-12</v>
      </c>
      <c r="CX202" s="59">
        <f t="shared" si="196"/>
        <v>293.33333333333616</v>
      </c>
      <c r="CY202" s="59">
        <f ca="1">AVERAGE(OFFSET($CX$3,0,0,'Données projet'!$E$13+1,1))-AVERAGE(OFFSET($H$3,0,0,'Données projet'!$E$13+1,1))</f>
        <v>282.08542131880455</v>
      </c>
      <c r="CZ202" s="59">
        <f t="shared" si="208"/>
        <v>174.27503468762325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23.847964831028754</v>
      </c>
      <c r="DG202" s="21">
        <f>EXP(-LN(2)/25)*DG201+(1-EXP(-LN(2)/25))/(LN(2)/25)*Calculateur!DB202*Calculateur!DD202*VLOOKUP('Données projet'!$B$13,Paramètres!$A$1:$I$89,3,0)*0.475*44/12</f>
        <v>7.8754152379715991</v>
      </c>
      <c r="DH202" s="21">
        <f>EXP(-LN(2)/2)*DH201+(1-EXP(-LN(2)/2))/(LN(2)/2)*DB202*DE202*VLOOKUP('Données projet'!$B$13,Paramètres!$A$1:$I$89,3,0)*0.475*44/12</f>
        <v>2.1424603487960847E-23</v>
      </c>
      <c r="DI202" s="22">
        <f t="shared" si="175"/>
        <v>31.723380069000353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5.6843418860808015E-14</v>
      </c>
      <c r="DP202" s="17">
        <f>DO202*VLOOKUP('Données projet'!$B$14,Paramètres!$A$1:$I$89,3,0)*VLOOKUP('Données projet'!$B$14,Paramètres!$A$1:$I$89,5,0)</f>
        <v>4.6111381379887463E-14</v>
      </c>
      <c r="DQ202" s="13">
        <f t="shared" si="176"/>
        <v>7.5804141040779151E-13</v>
      </c>
      <c r="DR202" s="20">
        <f t="shared" si="177"/>
        <v>1.4005661123635408E-12</v>
      </c>
      <c r="DS202" s="59">
        <f t="shared" si="197"/>
        <v>293.33333333333474</v>
      </c>
      <c r="DT202" s="59">
        <f ca="1">AVERAGE(OFFSET($DS$3,0,0,'Données projet'!$E$14+1,1))-AVERAGE(OFFSET($H$3,0,0,'Données projet'!$E$14+1,1))</f>
        <v>235.31102883830971</v>
      </c>
      <c r="DU202" s="59">
        <f t="shared" si="209"/>
        <v>271.48630853790422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5.3711993210063396</v>
      </c>
      <c r="EB202" s="21">
        <f>EXP(-LN(2)/25)*EB201+(1-EXP(-LN(2)/25))/(LN(2)/25)*Calculateur!DW202*Calculateur!DY202*VLOOKUP('Données projet'!$B$14,Paramètres!$A$1:$I$89,3,0)*0.475*44/12</f>
        <v>2.8804134731158455</v>
      </c>
      <c r="EC202" s="21">
        <f>EXP(-LN(2)/2)*EC201+(1-EXP(-LN(2)/2))/(LN(2)/2)*DW202*DZ202*VLOOKUP('Données projet'!$B$14,Paramètres!$A$1:$I$89,3,0)*0.475*44/12</f>
        <v>2.5853513534157674E-23</v>
      </c>
      <c r="ED202" s="22">
        <f t="shared" si="178"/>
        <v>8.2516127941221846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-1.2505552149377763E-12</v>
      </c>
      <c r="O203" s="13">
        <f>N203*VLOOKUP('Données projet'!$B$9,Paramètres!$A$1:$I$89,3,0)*VLOOKUP('Données projet'!$B$9,Paramètres!$A$1:$I$89,5,0)</f>
        <v>-6.9906036515021697E-13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446.28010102877403</v>
      </c>
      <c r="T203" s="59">
        <f t="shared" si="204"/>
        <v>445.84011537290456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0.39401721041130999</v>
      </c>
      <c r="AA203" s="21">
        <f>EXP(-LN(2)/25)*AA202+(1-EXP(-LN(2)/25))/(LN(2)/25)*Calculateur!V203*Calculateur!X203*VLOOKUP('Données projet'!$B$9,Paramètres!$A$1:$I$89,3,0)*0.475*44/12</f>
        <v>0.3478349267840849</v>
      </c>
      <c r="AB203" s="21">
        <f>EXP(-LN(2)/2)*AB202+(1-EXP(-LN(2)/2))/(LN(2)/2)*V203*Y203*VLOOKUP('Données projet'!$B$9,Paramètres!$A$1:$I$89,3,0)*0.475*44/12</f>
        <v>9.4277629475076806E-25</v>
      </c>
      <c r="AC203" s="22">
        <f t="shared" si="163"/>
        <v>0.74185213719539489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-5.3205440053716299E-14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252.98248842635206</v>
      </c>
      <c r="AO203" s="59">
        <f t="shared" si="205"/>
        <v>207.11938580878308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0.10815183363515733</v>
      </c>
      <c r="AV203" s="21">
        <f>EXP(-LN(2)/25)*AV202+(1-EXP(-LN(2)/25))/(LN(2)/25)*Calculateur!AQ203*Calculateur!AS203*VLOOKUP('Données projet'!$B$10,Paramètres!$A$1:$I$89,3,0)*0.475*44/12</f>
        <v>7.0496554540389583E-2</v>
      </c>
      <c r="AW203" s="21">
        <f>EXP(-LN(2)/2)*AW202+(1-EXP(-LN(2)/2))/(LN(2)/2)*AQ203*AT203*VLOOKUP('Données projet'!$B$10,Paramètres!$A$1:$I$89,3,0)*0.475*44/12</f>
        <v>2.5415580511564719E-25</v>
      </c>
      <c r="AX203" s="21">
        <f t="shared" si="166"/>
        <v>0.1786483881755469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2.8421709430404007E-14</v>
      </c>
      <c r="BE203" s="13">
        <f>BD203*VLOOKUP('Données projet'!$B$11,Paramètres!$A$1:$I$89,3,0)*VLOOKUP('Données projet'!$B$11,Paramètres!$A$1:$I$89,5,0)</f>
        <v>1.8621904018800706E-14</v>
      </c>
      <c r="BF203" s="13">
        <f t="shared" si="167"/>
        <v>3.40208645124969E-13</v>
      </c>
      <c r="BG203" s="20">
        <f t="shared" si="168"/>
        <v>6.2496320642539887E-13</v>
      </c>
      <c r="BH203" s="59">
        <f t="shared" si="194"/>
        <v>293.33333333333394</v>
      </c>
      <c r="BI203" s="59">
        <f ca="1">AVERAGE(OFFSET($BH$3,0,0,'Données projet'!$E$11+1,1))-AVERAGE(OFFSET($H$3,0,0,'Données projet'!$E$11+1,1))</f>
        <v>114.23168847330004</v>
      </c>
      <c r="BJ203" s="59">
        <f t="shared" si="206"/>
        <v>42.34857998136755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2.8421709430404007E-14</v>
      </c>
      <c r="BZ203" s="13">
        <f>BY203*VLOOKUP('Données projet'!$B$12,Paramètres!$A$1:$I$89,3,0)*VLOOKUP('Données projet'!$B$12,Paramètres!$A$1:$I$89,5,0)</f>
        <v>2.7489477361086758E-14</v>
      </c>
      <c r="CA203" s="13">
        <f t="shared" si="170"/>
        <v>4.7995394886724981E-13</v>
      </c>
      <c r="CB203" s="20">
        <f t="shared" si="171"/>
        <v>8.8379730068101964E-13</v>
      </c>
      <c r="CC203" s="59">
        <f t="shared" si="195"/>
        <v>293.33333333333422</v>
      </c>
      <c r="CD203" s="59">
        <f ca="1">AVERAGE(OFFSET($CC$3,0,0,'Données projet'!$E$12+1,1))-AVERAGE(OFFSET($H$3,0,0,'Données projet'!$E$12+1,1))</f>
        <v>201.36664523637006</v>
      </c>
      <c r="CE203" s="59">
        <f t="shared" si="207"/>
        <v>79.394119001888555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1.9199525970355307</v>
      </c>
      <c r="CM203" s="21">
        <f>EXP(-LN(2)/2)*CM202+(1-EXP(-LN(2)/2))/(LN(2)/2)*CG203*CJ203*VLOOKUP('Données projet'!$B$12,Paramètres!$A$1:$I$89,3,0)*0.475*44/12</f>
        <v>1.0190715947577892E-23</v>
      </c>
      <c r="CN203" s="22">
        <f t="shared" si="172"/>
        <v>1.9199525970355307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1.1368683772161603E-13</v>
      </c>
      <c r="CU203" s="17">
        <f>CT203*VLOOKUP('Données projet'!$B$13,Paramètres!$A$1:$I$89,3,0)*VLOOKUP('Données projet'!$B$13,Paramètres!$A$1:$I$89,5,0)</f>
        <v>1.0286385077051818E-13</v>
      </c>
      <c r="CV203" s="13">
        <f t="shared" si="173"/>
        <v>1.5402366592183556E-12</v>
      </c>
      <c r="CW203" s="20">
        <f t="shared" si="174"/>
        <v>2.8617333882306215E-12</v>
      </c>
      <c r="CX203" s="59">
        <f t="shared" si="196"/>
        <v>293.33333333333616</v>
      </c>
      <c r="CY203" s="59">
        <f ca="1">AVERAGE(OFFSET($CX$3,0,0,'Données projet'!$E$13+1,1))-AVERAGE(OFFSET($H$3,0,0,'Données projet'!$E$13+1,1))</f>
        <v>282.08542131880455</v>
      </c>
      <c r="CZ203" s="59">
        <f t="shared" si="208"/>
        <v>174.27503468762325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23.380320786514545</v>
      </c>
      <c r="DG203" s="21">
        <f>EXP(-LN(2)/25)*DG202+(1-EXP(-LN(2)/25))/(LN(2)/25)*Calculateur!DB203*Calculateur!DD203*VLOOKUP('Données projet'!$B$13,Paramètres!$A$1:$I$89,3,0)*0.475*44/12</f>
        <v>7.6600615941391776</v>
      </c>
      <c r="DH203" s="21">
        <f>EXP(-LN(2)/2)*DH202+(1-EXP(-LN(2)/2))/(LN(2)/2)*DB203*DE203*VLOOKUP('Données projet'!$B$13,Paramètres!$A$1:$I$89,3,0)*0.475*44/12</f>
        <v>1.5149482410570073E-23</v>
      </c>
      <c r="DI203" s="22">
        <f t="shared" si="175"/>
        <v>31.040382380653725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5.6843418860808015E-14</v>
      </c>
      <c r="DP203" s="17">
        <f>DO203*VLOOKUP('Données projet'!$B$14,Paramètres!$A$1:$I$89,3,0)*VLOOKUP('Données projet'!$B$14,Paramètres!$A$1:$I$89,5,0)</f>
        <v>4.6111381379887463E-14</v>
      </c>
      <c r="DQ203" s="13">
        <f t="shared" si="176"/>
        <v>7.5804141040779151E-13</v>
      </c>
      <c r="DR203" s="20">
        <f t="shared" si="177"/>
        <v>1.4005661123635408E-12</v>
      </c>
      <c r="DS203" s="59">
        <f t="shared" si="197"/>
        <v>293.33333333333474</v>
      </c>
      <c r="DT203" s="59">
        <f ca="1">AVERAGE(OFFSET($DS$3,0,0,'Données projet'!$E$14+1,1))-AVERAGE(OFFSET($H$3,0,0,'Données projet'!$E$14+1,1))</f>
        <v>235.31102883830971</v>
      </c>
      <c r="DU203" s="59">
        <f t="shared" si="209"/>
        <v>271.48630853790422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5.265873378429502</v>
      </c>
      <c r="EB203" s="21">
        <f>EXP(-LN(2)/25)*EB202+(1-EXP(-LN(2)/25))/(LN(2)/25)*Calculateur!DW203*Calculateur!DY203*VLOOKUP('Données projet'!$B$14,Paramètres!$A$1:$I$89,3,0)*0.475*44/12</f>
        <v>2.8016484152191312</v>
      </c>
      <c r="EC203" s="21">
        <f>EXP(-LN(2)/2)*EC202+(1-EXP(-LN(2)/2))/(LN(2)/2)*DW203*DZ203*VLOOKUP('Données projet'!$B$14,Paramètres!$A$1:$I$89,3,0)*0.475*44/12</f>
        <v>1.8281194737501078E-23</v>
      </c>
      <c r="ED203" s="22">
        <f t="shared" si="178"/>
        <v>8.0675217936486341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1.3903891703159093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1.2880503926580862</v>
      </c>
      <c r="BA205" s="82">
        <f>EXP(LN('Données projet'!B88)/'Données projet'!A88)</f>
        <v>1.1457367676485573</v>
      </c>
      <c r="BV205" s="82">
        <f>EXP(LN('Données projet'!B114)/'Données projet'!A114)</f>
        <v>1.1457367676485573</v>
      </c>
      <c r="CQ205" s="82">
        <f>EXP(LN('Données projet'!B140)/'Données projet'!A140)</f>
        <v>1.2054868146447177</v>
      </c>
      <c r="DL205" s="82">
        <f>EXP(LN('Données projet'!B166)/'Données projet'!A166)</f>
        <v>1.2557008269631629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D1" zoomScale="90" zoomScaleNormal="90" workbookViewId="0">
      <selection activeCell="I12" sqref="I1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6.5325707150964831</v>
      </c>
      <c r="C6" s="147">
        <f ca="1">IF(OR('Données projet'!B9="",'Données projet'!C9="",'Données projet'!C9=0%),0,Calculateur!S3)</f>
        <v>446.28010102877403</v>
      </c>
      <c r="D6" s="147">
        <f>IF(OR('Données projet'!B9="",'Données projet'!C9="",'Données projet'!C9=0%),0,Calculateur!T3)</f>
        <v>445.84011537290456</v>
      </c>
      <c r="E6" s="147">
        <f ca="1">MIN(C6,D6)</f>
        <v>445.84011537290456</v>
      </c>
      <c r="F6" s="147">
        <f ca="1">E6*B6</f>
        <v>2912.4820813002739</v>
      </c>
      <c r="G6" s="147">
        <f ca="1">F6*(100%-'Données projet'!$C$24)*(100%-'Données projet'!$C$25)*(100%-'Données projet'!$C$26)*(100%-'Données projet'!$C$27)</f>
        <v>2490.1721795117342</v>
      </c>
      <c r="H6" s="148">
        <f>IF(OR('Données projet'!B9="",'Données projet'!C9="",'Données projet'!C9=0%),0,AVERAGE(Calculateur!$AC$3:$AC$33)*B6)</f>
        <v>80.617935630449054</v>
      </c>
      <c r="I6" s="149">
        <f>H6*(100%-'Données projet'!$C$24)*(100%-'Données projet'!$C$25)*(100%-'Données projet'!$C$26)*(100%-'Données projet'!$C$27)</f>
        <v>68.928334964033937</v>
      </c>
      <c r="J6" s="150">
        <f>IF(OR('Données projet'!B9="",'Données projet'!C9="",'Données projet'!C9=0%),0,SUM(Calculateur!$V$3:$V$33)*VLOOKUP('Données projet'!$B$9,Paramètres!$A$1:$I$89,9,0)*B6)</f>
        <v>685.39731942792298</v>
      </c>
      <c r="K6" s="151">
        <f>J6*(100%-'Données projet'!$C$24)*(100%-'Données projet'!$C$25)*(100%-'Données projet'!$C$26)*(100%-'Données projet'!$C$27)</f>
        <v>586.01470811087415</v>
      </c>
      <c r="L6" s="152">
        <f ca="1">G6+I6+K6</f>
        <v>3145.1152225866426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Cèdre de l'Atlas</v>
      </c>
      <c r="B7" s="154">
        <f>'Données projet'!D10</f>
        <v>19.677442300416196</v>
      </c>
      <c r="C7" s="147">
        <f ca="1">IF(OR('Données projet'!B10="",'Données projet'!C10="",'Données projet'!C10=0%),0,Calculateur!AN3)</f>
        <v>252.98248842635206</v>
      </c>
      <c r="D7" s="147">
        <f>IF(OR('Données projet'!B10="",'Données projet'!C10="",'Données projet'!C10=0%),0,Calculateur!AO3)</f>
        <v>207.11938580878308</v>
      </c>
      <c r="E7" s="147">
        <f t="shared" ref="E7:E15" ca="1" si="0">MIN(C7,D7)</f>
        <v>207.11938580878308</v>
      </c>
      <c r="F7" s="147">
        <f t="shared" ref="F7:F15" ca="1" si="1">E7*B7</f>
        <v>4075.5797635499703</v>
      </c>
      <c r="G7" s="147">
        <f ca="1">F7*(100%-'Données projet'!$C$24)*(100%-'Données projet'!$C$25)*(100%-'Données projet'!$C$26)*(100%-'Données projet'!$C$27)</f>
        <v>3484.6206978352247</v>
      </c>
      <c r="H7" s="155">
        <f>IF(OR('Données projet'!B10="",'Données projet'!C10="",'Données projet'!C10=0%),0,AVERAGE(Calculateur!$AX$3:$AX$33)*B7)</f>
        <v>32.118180623847294</v>
      </c>
      <c r="I7" s="149">
        <f>H7*(100%-'Données projet'!$C$24)*(100%-'Données projet'!$C$25)*(100%-'Données projet'!$C$26)*(100%-'Données projet'!$C$27)</f>
        <v>27.461044433389436</v>
      </c>
      <c r="J7" s="150">
        <f>IF(OR('Données projet'!B10="",'Données projet'!C10="",'Données projet'!C10=0%),0,SUM(Calculateur!$AQ$3:$AQ$33)*VLOOKUP('Données projet'!$B$10,Paramètres!$A$1:$I$89,9,0)*B7)</f>
        <v>494.13993104805149</v>
      </c>
      <c r="K7" s="151">
        <f>J7*(100%-'Données projet'!$C$24)*(100%-'Données projet'!$C$25)*(100%-'Données projet'!$C$26)*(100%-'Données projet'!$C$27)</f>
        <v>422.48964104608405</v>
      </c>
      <c r="L7" s="152">
        <f t="shared" ref="L7:L15" ca="1" si="2">G7+I7+K7</f>
        <v>3934.5713833146983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Aulne glutineux</v>
      </c>
      <c r="B8" s="154">
        <f>'Données projet'!D11</f>
        <v>3.7016E-2</v>
      </c>
      <c r="C8" s="147">
        <f ca="1">IF(OR('Données projet'!B11="",'Données projet'!C11="",'Données projet'!C11=0%),0,Calculateur!BI3)</f>
        <v>114.23168847330004</v>
      </c>
      <c r="D8" s="147">
        <f>IF(OR('Données projet'!B11="",'Données projet'!C11="",'Données projet'!C11=0%),0,Calculateur!BJ3)</f>
        <v>42.34857998136755</v>
      </c>
      <c r="E8" s="147">
        <f t="shared" ca="1" si="0"/>
        <v>42.34857998136755</v>
      </c>
      <c r="F8" s="147">
        <f t="shared" ca="1" si="1"/>
        <v>1.5675750365903012</v>
      </c>
      <c r="G8" s="147">
        <f ca="1">F8*(100%-'Données projet'!$C$24)*(100%-'Données projet'!$C$25)*(100%-'Données projet'!$C$26)*(100%-'Données projet'!$C$27)</f>
        <v>1.3402766562847075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1.3402766562847075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Alisier torminal</v>
      </c>
      <c r="B9" s="154">
        <f>'Données projet'!D12</f>
        <v>7.6675999999999994E-2</v>
      </c>
      <c r="C9" s="147">
        <f ca="1">IF(OR('Données projet'!B12="",'Données projet'!C12="",'Données projet'!C12=0%),0,Calculateur!CD3)</f>
        <v>201.36664523637006</v>
      </c>
      <c r="D9" s="147">
        <f>IF(OR('Données projet'!B12="",'Données projet'!C12="",'Données projet'!C12=0%),0,Calculateur!CE3)</f>
        <v>79.394119001888555</v>
      </c>
      <c r="E9" s="147">
        <f t="shared" ca="1" si="0"/>
        <v>79.394119001888555</v>
      </c>
      <c r="F9" s="147">
        <f t="shared" ca="1" si="1"/>
        <v>6.0876234685888067</v>
      </c>
      <c r="G9" s="147">
        <f ca="1">F9*(100%-'Données projet'!$C$24)*(100%-'Données projet'!$C$25)*(100%-'Données projet'!$C$26)*(100%-'Données projet'!$C$27)</f>
        <v>5.2049180656434295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5.2049180656434295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Chêne sessile</v>
      </c>
      <c r="B10" s="154">
        <f>'Données projet'!D13</f>
        <v>7.6675999999999994E-2</v>
      </c>
      <c r="C10" s="147">
        <f ca="1">IF(OR('Données projet'!B13="",'Données projet'!C13="",'Données projet'!C13=0%),0,Calculateur!CY3)</f>
        <v>282.08542131880455</v>
      </c>
      <c r="D10" s="147">
        <f>IF(OR('Données projet'!B13="",'Données projet'!C13="",'Données projet'!C13=0%),0,Calculateur!CZ3)</f>
        <v>174.27503468762325</v>
      </c>
      <c r="E10" s="147">
        <f t="shared" ca="1" si="0"/>
        <v>174.27503468762325</v>
      </c>
      <c r="F10" s="147">
        <f t="shared" ca="1" si="1"/>
        <v>13.3627125597082</v>
      </c>
      <c r="G10" s="147">
        <f ca="1">F10*(100%-'Données projet'!$C$24)*(100%-'Données projet'!$C$25)*(100%-'Données projet'!$C$26)*(100%-'Données projet'!$C$27)</f>
        <v>11.425119238550511</v>
      </c>
      <c r="H10" s="155">
        <f>IF(OR('Données projet'!B13="",'Données projet'!C13="",'Données projet'!C13=0%),0,AVERAGE(Calculateur!$DI$3:$DI$33)*B10)</f>
        <v>4.598228073548323E-2</v>
      </c>
      <c r="I10" s="149">
        <f>H10*(100%-'Données projet'!$C$24)*(100%-'Données projet'!$C$25)*(100%-'Données projet'!$C$26)*(100%-'Données projet'!$C$27)</f>
        <v>3.9314850028838159E-2</v>
      </c>
      <c r="J10" s="150">
        <f>IF(OR('Données projet'!B13="",'Données projet'!C13="",'Données projet'!C13=0%),0,SUM(Calculateur!$DB$3:$DB$33)*VLOOKUP('Données projet'!$B$13,Paramètres!$A$1:$I$89,9,0)*B10)</f>
        <v>0.55590099999999998</v>
      </c>
      <c r="K10" s="151">
        <f>J10*(100%-'Données projet'!$C$24)*(100%-'Données projet'!$C$25)*(100%-'Données projet'!$C$26)*(100%-'Données projet'!$C$27)</f>
        <v>0.47529535499999997</v>
      </c>
      <c r="L10" s="152">
        <f t="shared" ca="1" si="2"/>
        <v>11.939729443579349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Bouleau verruqueux</v>
      </c>
      <c r="B11" s="154">
        <f>'Données projet'!D14</f>
        <v>3.7016E-2</v>
      </c>
      <c r="C11" s="147">
        <f ca="1">IF(OR('Données projet'!B14="",'Données projet'!C14="",'Données projet'!C14=0%),0,Calculateur!DT3)</f>
        <v>235.31102883830971</v>
      </c>
      <c r="D11" s="147">
        <f>IF(OR('Données projet'!B14="",'Données projet'!C14="",'Données projet'!C14=0%),0,Calculateur!DU3)</f>
        <v>271.48630853790422</v>
      </c>
      <c r="E11" s="147">
        <f t="shared" ca="1" si="0"/>
        <v>235.31102883830971</v>
      </c>
      <c r="F11" s="147">
        <f t="shared" ca="1" si="1"/>
        <v>8.7102730434788729</v>
      </c>
      <c r="G11" s="147">
        <f ca="1">F11*(100%-'Données projet'!$C$24)*(100%-'Données projet'!$C$25)*(100%-'Données projet'!$C$26)*(100%-'Données projet'!$C$27)</f>
        <v>7.4472834521744362</v>
      </c>
      <c r="H11" s="155">
        <f>IF(OR('Données projet'!B14="",'Données projet'!C14="",'Données projet'!C14=0%),0,AVERAGE(Calculateur!$ED$3:$ED$33)*B11)</f>
        <v>3.8431375231132492E-2</v>
      </c>
      <c r="I11" s="149">
        <f>H11*(100%-'Données projet'!$C$24)*(100%-'Données projet'!$C$25)*(100%-'Données projet'!$C$26)*(100%-'Données projet'!$C$27)</f>
        <v>3.285882582261828E-2</v>
      </c>
      <c r="J11" s="150">
        <f>IF(OR('Données projet'!B14="",'Données projet'!C14="",'Données projet'!C14=0%),0,SUM(Calculateur!$DW$3:$DW$33)*VLOOKUP('Données projet'!$B$14,Paramètres!$A$1:$I$89,9,0)*B11)</f>
        <v>0.91614600000000002</v>
      </c>
      <c r="K11" s="151">
        <f>J11*(100%-'Données projet'!$C$24)*(100%-'Données projet'!$C$25)*(100%-'Données projet'!$C$26)*(100%-'Données projet'!$C$27)</f>
        <v>0.78330482999999995</v>
      </c>
      <c r="L11" s="152">
        <f t="shared" ca="1" si="2"/>
        <v>8.2634471079970542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7017.7900289586105</v>
      </c>
      <c r="G16" s="166">
        <f t="shared" ca="1" si="3"/>
        <v>6000.2104747596131</v>
      </c>
      <c r="H16" s="167">
        <f t="shared" si="3"/>
        <v>112.82052991026296</v>
      </c>
      <c r="I16" s="167">
        <f t="shared" si="3"/>
        <v>96.461553073274828</v>
      </c>
      <c r="J16" s="168">
        <f t="shared" si="3"/>
        <v>1181.0092974759743</v>
      </c>
      <c r="K16" s="168">
        <f t="shared" si="3"/>
        <v>1009.7629493419581</v>
      </c>
      <c r="L16" s="169">
        <f t="shared" ca="1" si="3"/>
        <v>7106.4349771748457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Aulne glutineux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Alisier torminal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Chêne sessile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Bouleau verruqueux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4" zoomScale="80" zoomScaleNormal="80" workbookViewId="0">
      <selection activeCell="L26" sqref="L26:P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5534.6158163397613</v>
      </c>
      <c r="U10" s="178">
        <f>'Données projet'!D9</f>
        <v>6.5325707150964831</v>
      </c>
      <c r="V10" s="177">
        <f>U10*T10</f>
        <v>36155.269201130941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2049.4776442944822</v>
      </c>
      <c r="U11" s="178">
        <f>'Données projet'!D10</f>
        <v>19.677442300416196</v>
      </c>
      <c r="V11" s="177">
        <f t="shared" ref="V11" si="0">U11*T11</f>
        <v>40328.478091597579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Aulne glutineux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279.33399787855967</v>
      </c>
      <c r="U12" s="178">
        <f>'Données projet'!D11</f>
        <v>3.7016E-2</v>
      </c>
      <c r="V12" s="177">
        <f t="shared" ref="V12:V19" si="1">U12*T12</f>
        <v>10.339827265472765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Alisier torminal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256.21042394836422</v>
      </c>
      <c r="U13" s="178">
        <f>'Données projet'!D12</f>
        <v>7.6675999999999994E-2</v>
      </c>
      <c r="V13" s="177">
        <f t="shared" si="1"/>
        <v>19.645190466664772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sessile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586.26046130798227</v>
      </c>
      <c r="U14" s="178">
        <f>'Données projet'!D13</f>
        <v>7.6675999999999994E-2</v>
      </c>
      <c r="V14" s="177">
        <f t="shared" si="1"/>
        <v>44.952107131250848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Bouleau verruqueux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695.45752352916452</v>
      </c>
      <c r="U15" s="178">
        <f>'Données projet'!D14</f>
        <v>3.7016E-2</v>
      </c>
      <c r="V15" s="177">
        <f t="shared" si="1"/>
        <v>25.743055690955554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60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59.999999999999957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10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599.99999999999955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4595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350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350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10</v>
      </c>
      <c r="B23" s="181">
        <f>'Données projet'!D36</f>
        <v>0</v>
      </c>
      <c r="C23" s="193">
        <v>8</v>
      </c>
      <c r="D23" s="182">
        <f>B23*C23</f>
        <v>0</v>
      </c>
      <c r="E23" s="193"/>
      <c r="F23" s="230"/>
      <c r="H23" s="190">
        <v>4</v>
      </c>
      <c r="I23" s="191">
        <v>350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-71445.010621100868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104</v>
      </c>
      <c r="C24" s="193">
        <v>20</v>
      </c>
      <c r="D24" s="182">
        <f t="shared" ref="D24:D42" si="2">B24*C24</f>
        <v>2080</v>
      </c>
      <c r="E24" s="193"/>
      <c r="F24" s="233"/>
      <c r="H24" s="190">
        <v>5</v>
      </c>
      <c r="I24" s="191">
        <v>350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1130.9288273656562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140</v>
      </c>
      <c r="C25" s="193">
        <v>30</v>
      </c>
      <c r="D25" s="182">
        <f t="shared" si="2"/>
        <v>4200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-72575.939448466524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140</v>
      </c>
      <c r="C26" s="193">
        <v>40</v>
      </c>
      <c r="D26" s="182">
        <f t="shared" si="2"/>
        <v>5600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50</v>
      </c>
      <c r="B27" s="181">
        <f>'Données projet'!D40</f>
        <v>129</v>
      </c>
      <c r="C27" s="193">
        <v>45</v>
      </c>
      <c r="D27" s="182">
        <f t="shared" si="2"/>
        <v>5805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60</v>
      </c>
      <c r="B28" s="181">
        <f>'Données projet'!D41</f>
        <v>96</v>
      </c>
      <c r="C28" s="193">
        <v>50</v>
      </c>
      <c r="D28" s="182">
        <f t="shared" si="2"/>
        <v>4800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70</v>
      </c>
      <c r="B29" s="181">
        <f>'Données projet'!D42</f>
        <v>80</v>
      </c>
      <c r="C29" s="193">
        <v>55</v>
      </c>
      <c r="D29" s="182">
        <f t="shared" si="2"/>
        <v>4400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80</v>
      </c>
      <c r="B30" s="181">
        <f>'Données projet'!D43</f>
        <v>790</v>
      </c>
      <c r="C30" s="193">
        <v>60</v>
      </c>
      <c r="D30" s="182">
        <f t="shared" si="2"/>
        <v>47400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12.5</v>
      </c>
      <c r="C54" s="191">
        <v>8</v>
      </c>
      <c r="D54" s="179">
        <f>B54*C54</f>
        <v>100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45.9</v>
      </c>
      <c r="C55" s="191">
        <v>20</v>
      </c>
      <c r="D55" s="179">
        <f t="shared" ref="D55:D73" si="4">B55*C55</f>
        <v>918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83.4</v>
      </c>
      <c r="C56" s="191">
        <v>30</v>
      </c>
      <c r="D56" s="179">
        <f t="shared" si="4"/>
        <v>2502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83.4</v>
      </c>
      <c r="C57" s="191">
        <v>40</v>
      </c>
      <c r="D57" s="179">
        <f t="shared" si="4"/>
        <v>3336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83.4</v>
      </c>
      <c r="C58" s="191">
        <v>45</v>
      </c>
      <c r="D58" s="179">
        <f t="shared" si="4"/>
        <v>3753.0000000000005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83.4</v>
      </c>
      <c r="C59" s="191">
        <v>50</v>
      </c>
      <c r="D59" s="179">
        <f t="shared" si="4"/>
        <v>4170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83.4</v>
      </c>
      <c r="C60" s="191">
        <v>52</v>
      </c>
      <c r="D60" s="179">
        <f t="shared" si="4"/>
        <v>4336.8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83.4</v>
      </c>
      <c r="C61" s="191">
        <v>55</v>
      </c>
      <c r="D61" s="179">
        <f t="shared" si="4"/>
        <v>4587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100</v>
      </c>
      <c r="B62" s="181">
        <f>'Données projet'!D70</f>
        <v>726.2</v>
      </c>
      <c r="C62" s="191">
        <v>60</v>
      </c>
      <c r="D62" s="179">
        <f t="shared" si="4"/>
        <v>43572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Aulne glutineux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25</v>
      </c>
      <c r="B85" s="181">
        <f>'Données projet'!D88</f>
        <v>0</v>
      </c>
      <c r="C85" s="191">
        <v>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0</v>
      </c>
      <c r="C86" s="191">
        <v>8</v>
      </c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27</v>
      </c>
      <c r="C87" s="191">
        <v>12</v>
      </c>
      <c r="D87" s="179">
        <f t="shared" si="6"/>
        <v>324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28</v>
      </c>
      <c r="C88" s="191">
        <v>15</v>
      </c>
      <c r="D88" s="179">
        <f t="shared" si="6"/>
        <v>420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28</v>
      </c>
      <c r="C89" s="191">
        <v>20</v>
      </c>
      <c r="D89" s="179">
        <f t="shared" si="6"/>
        <v>560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28</v>
      </c>
      <c r="C90" s="191">
        <v>25</v>
      </c>
      <c r="D90" s="179">
        <f t="shared" si="6"/>
        <v>700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28</v>
      </c>
      <c r="C91" s="191">
        <v>30</v>
      </c>
      <c r="D91" s="179">
        <f t="shared" si="6"/>
        <v>840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90</v>
      </c>
      <c r="B92" s="181">
        <f>'Données projet'!D95</f>
        <v>28</v>
      </c>
      <c r="C92" s="191">
        <v>30</v>
      </c>
      <c r="D92" s="179">
        <f t="shared" si="6"/>
        <v>840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100</v>
      </c>
      <c r="B93" s="181">
        <f>'Données projet'!D96</f>
        <v>28</v>
      </c>
      <c r="C93" s="191">
        <v>30</v>
      </c>
      <c r="D93" s="179">
        <f t="shared" si="6"/>
        <v>840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110</v>
      </c>
      <c r="B94" s="181">
        <f>'Données projet'!D97</f>
        <v>27</v>
      </c>
      <c r="C94" s="191">
        <v>30</v>
      </c>
      <c r="D94" s="179">
        <f t="shared" si="6"/>
        <v>810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120</v>
      </c>
      <c r="B95" s="181">
        <f>'Données projet'!D98</f>
        <v>234</v>
      </c>
      <c r="C95" s="191">
        <v>40</v>
      </c>
      <c r="D95" s="179">
        <f t="shared" si="6"/>
        <v>9360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Alisier torminal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25</v>
      </c>
      <c r="B116" s="181">
        <f>'Données projet'!D114</f>
        <v>0</v>
      </c>
      <c r="C116" s="191">
        <v>0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0</v>
      </c>
      <c r="C117" s="191">
        <v>8</v>
      </c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27</v>
      </c>
      <c r="C118" s="191">
        <v>12</v>
      </c>
      <c r="D118" s="179">
        <f t="shared" si="8"/>
        <v>324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28</v>
      </c>
      <c r="C119" s="191">
        <v>15</v>
      </c>
      <c r="D119" s="179">
        <f t="shared" si="8"/>
        <v>420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28</v>
      </c>
      <c r="C120" s="191">
        <v>20</v>
      </c>
      <c r="D120" s="179">
        <f t="shared" si="8"/>
        <v>560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28</v>
      </c>
      <c r="C121" s="191">
        <v>25</v>
      </c>
      <c r="D121" s="179">
        <f t="shared" si="8"/>
        <v>700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28</v>
      </c>
      <c r="C122" s="191">
        <v>30</v>
      </c>
      <c r="D122" s="179">
        <f t="shared" si="8"/>
        <v>840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28</v>
      </c>
      <c r="C123" s="191">
        <v>35</v>
      </c>
      <c r="D123" s="179">
        <f t="shared" si="8"/>
        <v>980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100</v>
      </c>
      <c r="B124" s="181">
        <f>'Données projet'!D122</f>
        <v>28</v>
      </c>
      <c r="C124" s="191">
        <v>50</v>
      </c>
      <c r="D124" s="179">
        <f t="shared" si="8"/>
        <v>1400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110</v>
      </c>
      <c r="B125" s="181">
        <f>'Données projet'!D123</f>
        <v>27</v>
      </c>
      <c r="C125" s="191">
        <v>100</v>
      </c>
      <c r="D125" s="179">
        <f t="shared" si="8"/>
        <v>2700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120</v>
      </c>
      <c r="B126" s="181">
        <f>'Données projet'!D124</f>
        <v>234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Chêne sessile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20</v>
      </c>
      <c r="B147" s="175">
        <f>'Données projet'!D140</f>
        <v>0</v>
      </c>
      <c r="C147" s="191">
        <v>0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29</v>
      </c>
      <c r="C148" s="191">
        <v>8</v>
      </c>
      <c r="D148" s="182">
        <f t="shared" ref="D148:D166" si="10">B148*C148</f>
        <v>232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42</v>
      </c>
      <c r="C149" s="191">
        <v>12</v>
      </c>
      <c r="D149" s="182">
        <f t="shared" si="10"/>
        <v>504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42</v>
      </c>
      <c r="C150" s="191">
        <v>15</v>
      </c>
      <c r="D150" s="182">
        <f t="shared" si="10"/>
        <v>630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42</v>
      </c>
      <c r="C151" s="191">
        <v>20</v>
      </c>
      <c r="D151" s="182">
        <f t="shared" si="10"/>
        <v>840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42</v>
      </c>
      <c r="C152" s="191">
        <v>25</v>
      </c>
      <c r="D152" s="182">
        <f t="shared" si="10"/>
        <v>1050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42</v>
      </c>
      <c r="C153" s="191">
        <v>30</v>
      </c>
      <c r="D153" s="182">
        <f t="shared" si="10"/>
        <v>1260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90</v>
      </c>
      <c r="B154" s="175">
        <f>'Données projet'!D147</f>
        <v>42</v>
      </c>
      <c r="C154" s="191">
        <v>35</v>
      </c>
      <c r="D154" s="182">
        <f t="shared" si="10"/>
        <v>1470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100</v>
      </c>
      <c r="B155" s="175">
        <f>'Données projet'!D148</f>
        <v>42</v>
      </c>
      <c r="C155" s="191">
        <v>50</v>
      </c>
      <c r="D155" s="182">
        <f t="shared" si="10"/>
        <v>2100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110</v>
      </c>
      <c r="B156" s="175">
        <f>'Données projet'!D149</f>
        <v>39</v>
      </c>
      <c r="C156" s="191">
        <v>50</v>
      </c>
      <c r="D156" s="182">
        <f t="shared" si="10"/>
        <v>1950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120</v>
      </c>
      <c r="B157" s="175">
        <f>'Données projet'!D150</f>
        <v>302</v>
      </c>
      <c r="C157" s="191">
        <v>100</v>
      </c>
      <c r="D157" s="182">
        <f t="shared" si="10"/>
        <v>30200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Bouleau verruqueux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20</v>
      </c>
      <c r="B178" s="181">
        <f>'Données projet'!D166</f>
        <v>43</v>
      </c>
      <c r="C178" s="193">
        <v>0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30</v>
      </c>
      <c r="B179" s="181">
        <f>'Données projet'!D167</f>
        <v>56</v>
      </c>
      <c r="C179" s="193">
        <v>8</v>
      </c>
      <c r="D179" s="179">
        <f t="shared" ref="D179:D197" si="11">B179*C179</f>
        <v>448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40</v>
      </c>
      <c r="B180" s="181">
        <f>'Données projet'!D168</f>
        <v>56</v>
      </c>
      <c r="C180" s="193">
        <v>12</v>
      </c>
      <c r="D180" s="179">
        <f t="shared" si="11"/>
        <v>672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50</v>
      </c>
      <c r="B181" s="181">
        <f>'Données projet'!D169</f>
        <v>39</v>
      </c>
      <c r="C181" s="193">
        <v>15</v>
      </c>
      <c r="D181" s="179">
        <f t="shared" si="11"/>
        <v>585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60</v>
      </c>
      <c r="B182" s="181">
        <f>'Données projet'!D170</f>
        <v>25</v>
      </c>
      <c r="C182" s="193">
        <v>20</v>
      </c>
      <c r="D182" s="179">
        <f t="shared" si="11"/>
        <v>500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70</v>
      </c>
      <c r="B183" s="181">
        <f>'Données projet'!D171</f>
        <v>21</v>
      </c>
      <c r="C183" s="193">
        <v>25</v>
      </c>
      <c r="D183" s="179">
        <f t="shared" si="11"/>
        <v>525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80</v>
      </c>
      <c r="B184" s="181">
        <f>'Données projet'!D172</f>
        <v>284</v>
      </c>
      <c r="C184" s="193">
        <v>40</v>
      </c>
      <c r="D184" s="179">
        <f t="shared" si="11"/>
        <v>11360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Kevin BRICE</cp:lastModifiedBy>
  <dcterms:created xsi:type="dcterms:W3CDTF">2021-02-01T08:22:39Z</dcterms:created>
  <dcterms:modified xsi:type="dcterms:W3CDTF">2023-11-09T14:11:43Z</dcterms:modified>
</cp:coreProperties>
</file>