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_Dossiers clos\Reboisement Dezecache_Plateau d'Hauteville (01)\Dossier d_instruction\"/>
    </mc:Choice>
  </mc:AlternateContent>
  <xr:revisionPtr revIDLastSave="0" documentId="13_ncr:1_{1712E20C-DAF0-462A-9CE2-563C9EDD54AC}" xr6:coauthVersionLast="47" xr6:coauthVersionMax="47" xr10:uidLastSave="{00000000-0000-0000-0000-000000000000}"/>
  <bookViews>
    <workbookView xWindow="-108" yWindow="-108" windowWidth="23256" windowHeight="1257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B140" i="2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HJ154" i="2" s="1"/>
  <c r="AB154" i="2"/>
  <c r="EB154" i="2"/>
  <c r="EX154" i="2"/>
  <c r="AA154" i="2"/>
  <c r="EV154" i="2"/>
  <c r="EY154" i="2" s="1"/>
  <c r="EC154" i="2"/>
  <c r="ED154" i="2" s="1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D161" i="2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Y162" i="2"/>
  <c r="HH163" i="2"/>
  <c r="EV163" i="2"/>
  <c r="EB163" i="2"/>
  <c r="HG163" i="2"/>
  <c r="HI163" i="2"/>
  <c r="EA163" i="2"/>
  <c r="ED163" i="2" s="1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EY163" i="2"/>
  <c r="DH164" i="2"/>
  <c r="DI163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HJ166" i="2"/>
  <c r="EX167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Y171" i="2"/>
  <c r="EV172" i="2"/>
  <c r="EW172" i="2"/>
  <c r="HG172" i="2"/>
  <c r="HI172" i="2"/>
  <c r="EA172" i="2"/>
  <c r="EB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D172" i="2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Y179" i="2"/>
  <c r="HI180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Y186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EY189" i="2" s="1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HJ189" i="2"/>
  <c r="HH190" i="2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EY191" i="2" s="1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Y192" i="2"/>
  <c r="HI193" i="2"/>
  <c r="FQ193" i="2"/>
  <c r="DI192" i="2"/>
  <c r="EB193" i="2"/>
  <c r="EA193" i="2"/>
  <c r="ED193" i="2" s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B194" i="2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HG195" i="2"/>
  <c r="FQ195" i="2"/>
  <c r="EY194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HH197" i="2"/>
  <c r="EY196" i="2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Y198" i="2" s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W199" i="2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HJ199" i="2" l="1"/>
  <c r="EX200" i="2"/>
  <c r="EW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DI200" i="2"/>
  <c r="EY200" i="2"/>
  <c r="HJ200" i="2"/>
  <c r="HG201" i="2"/>
  <c r="FS201" i="2"/>
  <c r="HH201" i="2"/>
  <c r="EA201" i="2"/>
  <c r="ED201" i="2" s="1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FZ6" i="2"/>
  <c r="HI202" i="2"/>
  <c r="EW202" i="2"/>
  <c r="HG202" i="2"/>
  <c r="FR202" i="2"/>
  <c r="HH202" i="2"/>
  <c r="HJ202" i="2" s="1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59" i="2" a="1"/>
  <c r="FD59" i="2" s="1"/>
  <c r="GT115" i="2" a="1"/>
  <c r="GT115" i="2" s="1"/>
  <c r="GT51" i="2" a="1"/>
  <c r="GT51" i="2" s="1"/>
  <c r="GT33" i="2" a="1"/>
  <c r="GT33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24" i="2" a="1"/>
  <c r="DN124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AH163" i="2" a="1"/>
  <c r="AH163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DN63" i="2" a="1"/>
  <c r="DN63" i="2" s="1"/>
  <c r="GT189" i="2" a="1"/>
  <c r="GT189" i="2" s="1"/>
  <c r="GT38" i="2" a="1"/>
  <c r="GT38" i="2" s="1"/>
  <c r="GT107" i="2" a="1"/>
  <c r="GT107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EY202" i="2"/>
  <c r="AX200" i="2"/>
  <c r="CS105" i="2" l="1" a="1"/>
  <c r="CS105" i="2" s="1"/>
  <c r="CS134" i="2" a="1"/>
  <c r="CS134" i="2" s="1"/>
  <c r="CS116" i="2" a="1"/>
  <c r="CS116" i="2" s="1"/>
  <c r="CS129" i="2" a="1"/>
  <c r="CS129" i="2" s="1"/>
  <c r="CS24" i="2" a="1"/>
  <c r="CS24" i="2" s="1"/>
  <c r="CS114" i="2" a="1"/>
  <c r="CS114" i="2" s="1"/>
  <c r="CS137" i="2" a="1"/>
  <c r="CS137" i="2" s="1"/>
  <c r="CS52" i="2" a="1"/>
  <c r="CS52" i="2" s="1"/>
  <c r="CS185" i="2" a="1"/>
  <c r="CS185" i="2" s="1"/>
  <c r="CS161" i="2" a="1"/>
  <c r="CS161" i="2" s="1"/>
  <c r="CS72" i="2" a="1"/>
  <c r="CS72" i="2" s="1"/>
  <c r="CS56" i="2" a="1"/>
  <c r="CS56" i="2" s="1"/>
  <c r="CS120" i="2" a="1"/>
  <c r="CS120" i="2" s="1"/>
  <c r="CS38" i="2" a="1"/>
  <c r="CS38" i="2" s="1"/>
  <c r="CS77" i="2" a="1"/>
  <c r="CS77" i="2" s="1"/>
  <c r="AH62" i="2" a="1"/>
  <c r="AH62" i="2" s="1"/>
  <c r="AH19" i="2" a="1"/>
  <c r="AH19" i="2" s="1"/>
  <c r="BC32" i="2" a="1"/>
  <c r="BC32" i="2" s="1"/>
  <c r="DN56" i="2" a="1"/>
  <c r="DN56" i="2" s="1"/>
  <c r="DN137" i="2" a="1"/>
  <c r="DN137" i="2" s="1"/>
  <c r="DN155" i="2" a="1"/>
  <c r="DN155" i="2" s="1"/>
  <c r="FY90" i="2" a="1"/>
  <c r="FY90" i="2" s="1"/>
  <c r="FY109" i="2" a="1"/>
  <c r="FY109" i="2" s="1"/>
  <c r="FY79" i="2" a="1"/>
  <c r="FY79" i="2" s="1"/>
  <c r="GT198" i="2" a="1"/>
  <c r="GT198" i="2" s="1"/>
  <c r="GT102" i="2" a="1"/>
  <c r="GT102" i="2" s="1"/>
  <c r="GT133" i="2" a="1"/>
  <c r="GT133" i="2" s="1"/>
  <c r="GT68" i="2" a="1"/>
  <c r="GT68" i="2" s="1"/>
  <c r="GT174" i="2" a="1"/>
  <c r="GT174" i="2" s="1"/>
  <c r="GT15" i="2" a="1"/>
  <c r="GT15" i="2" s="1"/>
  <c r="GT190" i="2" a="1"/>
  <c r="GT190" i="2" s="1"/>
  <c r="GT74" i="2" a="1"/>
  <c r="GT74" i="2" s="1"/>
  <c r="GT21" i="2" a="1"/>
  <c r="GT21" i="2" s="1"/>
  <c r="GT147" i="2" a="1"/>
  <c r="GT147" i="2" s="1"/>
  <c r="GT121" i="2" a="1"/>
  <c r="GT121" i="2" s="1"/>
  <c r="GT181" i="2" a="1"/>
  <c r="GT181" i="2" s="1"/>
  <c r="HH203" i="2"/>
  <c r="GT126" i="2" a="1"/>
  <c r="GT126" i="2" s="1"/>
  <c r="GT138" i="2" a="1"/>
  <c r="GT138" i="2" s="1"/>
  <c r="GT191" i="2" a="1"/>
  <c r="GT191" i="2" s="1"/>
  <c r="GT178" i="2" a="1"/>
  <c r="GT178" i="2" s="1"/>
  <c r="GT12" i="2" a="1"/>
  <c r="GT12" i="2" s="1"/>
  <c r="GT152" i="2" a="1"/>
  <c r="GT152" i="2" s="1"/>
  <c r="GT122" i="2" a="1"/>
  <c r="GT122" i="2" s="1"/>
  <c r="GT184" i="2" a="1"/>
  <c r="GT184" i="2" s="1"/>
  <c r="FD144" i="2" a="1"/>
  <c r="FD144" i="2" s="1"/>
  <c r="FD21" i="2" a="1"/>
  <c r="FD21" i="2" s="1"/>
  <c r="CS66" i="2" a="1"/>
  <c r="CS66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ED203" i="2" s="1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Z116" i="2" l="1"/>
  <c r="GZ166" i="2"/>
  <c r="GZ178" i="2"/>
  <c r="GZ32" i="2"/>
  <c r="GZ159" i="2"/>
  <c r="GZ153" i="2"/>
  <c r="GZ7" i="2"/>
  <c r="GZ84" i="2"/>
  <c r="GZ152" i="2"/>
  <c r="GZ191" i="2"/>
  <c r="GZ177" i="2"/>
  <c r="GZ168" i="2"/>
  <c r="GZ161" i="2"/>
  <c r="GZ182" i="2"/>
  <c r="GZ44" i="2"/>
  <c r="GZ103" i="2"/>
  <c r="GZ93" i="2"/>
  <c r="GZ187" i="2"/>
  <c r="GZ88" i="2"/>
  <c r="GZ4" i="2"/>
  <c r="GZ68" i="2"/>
  <c r="GZ137" i="2"/>
  <c r="GZ188" i="2"/>
  <c r="GZ58" i="2"/>
  <c r="GZ157" i="2"/>
  <c r="GZ186" i="2"/>
  <c r="GZ142" i="2"/>
  <c r="GZ49" i="2"/>
  <c r="GZ111" i="2"/>
  <c r="GZ21" i="2"/>
  <c r="GZ54" i="2"/>
  <c r="GZ5" i="2"/>
  <c r="GZ70" i="2"/>
  <c r="GZ138" i="2"/>
  <c r="GZ189" i="2"/>
  <c r="GZ35" i="2"/>
  <c r="GZ180" i="2"/>
  <c r="GZ65" i="2"/>
  <c r="GZ66" i="2"/>
  <c r="GZ127" i="2"/>
  <c r="GZ195" i="2"/>
  <c r="GZ109" i="2"/>
  <c r="GZ107" i="2"/>
  <c r="GZ45" i="2"/>
  <c r="GZ155" i="2"/>
  <c r="GZ25" i="2"/>
  <c r="GZ151" i="2"/>
  <c r="GZ120" i="2"/>
  <c r="GZ12" i="2"/>
  <c r="GZ80" i="2"/>
  <c r="GZ197" i="2"/>
  <c r="GZ119" i="2"/>
  <c r="GZ52" i="2"/>
  <c r="GZ199" i="2"/>
  <c r="GZ74" i="2"/>
  <c r="GZ46" i="2"/>
  <c r="GZ51" i="2"/>
  <c r="GZ31" i="2"/>
  <c r="GZ105" i="2"/>
  <c r="GZ73" i="2"/>
  <c r="GZ16" i="2"/>
  <c r="GZ115" i="2"/>
  <c r="GZ171" i="2"/>
  <c r="GZ200" i="2"/>
  <c r="GZ19" i="2"/>
  <c r="GZ91" i="2"/>
  <c r="GZ20" i="2"/>
  <c r="GZ183" i="2"/>
  <c r="GZ163" i="2"/>
  <c r="GZ112" i="2"/>
  <c r="GZ165" i="2"/>
  <c r="GZ26" i="2"/>
  <c r="GZ17" i="2"/>
  <c r="GZ18" i="2"/>
  <c r="GZ132" i="2"/>
  <c r="GZ201" i="2"/>
  <c r="GZ117" i="2"/>
  <c r="GZ100" i="2"/>
  <c r="GZ22" i="2"/>
  <c r="GZ192" i="2"/>
  <c r="GZ85" i="2"/>
  <c r="GZ113" i="2"/>
  <c r="GZ33" i="2"/>
  <c r="GZ99" i="2"/>
  <c r="GZ6" i="2"/>
  <c r="GZ81" i="2"/>
  <c r="GZ198" i="2"/>
  <c r="GZ190" i="2"/>
  <c r="GZ89" i="2"/>
  <c r="GZ86" i="2"/>
  <c r="GZ53" i="2"/>
  <c r="GZ181" i="2"/>
  <c r="GZ139" i="2"/>
  <c r="GZ102" i="2"/>
  <c r="GZ94" i="2"/>
  <c r="GZ164" i="2"/>
  <c r="GZ162" i="2"/>
  <c r="GZ24" i="2"/>
  <c r="GZ147" i="2"/>
  <c r="GZ62" i="2"/>
  <c r="GZ179" i="2"/>
  <c r="GZ124" i="2"/>
  <c r="GZ193" i="2"/>
  <c r="GZ23" i="2"/>
  <c r="GZ133" i="2"/>
  <c r="GZ173" i="2"/>
  <c r="GZ75" i="2"/>
  <c r="GZ176" i="2"/>
  <c r="GZ29" i="2"/>
  <c r="GZ143" i="2"/>
  <c r="GZ13" i="2"/>
  <c r="GZ11" i="2"/>
  <c r="GZ30" i="2"/>
  <c r="GZ128" i="2"/>
  <c r="GZ90" i="2"/>
  <c r="GZ95" i="2"/>
  <c r="GZ154" i="2"/>
  <c r="GZ47" i="2"/>
  <c r="GZ108" i="2"/>
  <c r="GZ40" i="2"/>
  <c r="GZ98" i="2"/>
  <c r="GZ72" i="2"/>
  <c r="GZ14" i="2"/>
  <c r="GZ172" i="2"/>
  <c r="GZ60" i="2"/>
  <c r="GZ129" i="2"/>
  <c r="GZ28" i="2"/>
  <c r="GZ169" i="2"/>
  <c r="GZ148" i="2"/>
  <c r="GZ56" i="2"/>
  <c r="GZ110" i="2"/>
  <c r="GZ41" i="2"/>
  <c r="GZ92" i="2"/>
  <c r="GZ146" i="2"/>
  <c r="GZ131" i="2"/>
  <c r="GZ69" i="2"/>
  <c r="GZ118" i="2"/>
  <c r="GZ158" i="2"/>
  <c r="GZ114" i="2"/>
  <c r="GZ97" i="2"/>
  <c r="GZ170" i="2"/>
  <c r="GZ145" i="2"/>
  <c r="GZ79" i="2"/>
  <c r="GZ67" i="2"/>
  <c r="GZ83" i="2"/>
  <c r="GZ136" i="2"/>
  <c r="GZ8" i="2"/>
  <c r="GZ106" i="2"/>
  <c r="GZ149" i="2"/>
  <c r="GZ185" i="2"/>
  <c r="GZ196" i="2"/>
  <c r="GZ48" i="2"/>
  <c r="GZ101" i="2"/>
  <c r="GZ150" i="2"/>
  <c r="GZ55" i="2"/>
  <c r="GZ76" i="2"/>
  <c r="GZ71" i="2"/>
  <c r="GZ167" i="2"/>
  <c r="GZ125" i="2"/>
  <c r="GZ194" i="2"/>
  <c r="GZ140" i="2"/>
  <c r="GZ144" i="2"/>
  <c r="GZ174" i="2"/>
  <c r="GZ36" i="2"/>
  <c r="GZ122" i="2"/>
  <c r="GZ27" i="2"/>
  <c r="GZ9" i="2"/>
  <c r="GZ77" i="2"/>
  <c r="GZ34" i="2"/>
  <c r="GZ64" i="2"/>
  <c r="GZ126" i="2"/>
  <c r="GZ123" i="2"/>
  <c r="GZ96" i="2"/>
  <c r="GZ160" i="2"/>
  <c r="GZ175" i="2"/>
  <c r="GZ37" i="2"/>
  <c r="GZ38" i="2"/>
  <c r="GZ43" i="2"/>
  <c r="GZ15" i="2"/>
  <c r="GZ82" i="2"/>
  <c r="GZ61" i="2"/>
  <c r="GZ130" i="2"/>
  <c r="GZ10" i="2"/>
  <c r="GZ59" i="2"/>
  <c r="GZ156" i="2"/>
  <c r="GZ57" i="2"/>
  <c r="GZ141" i="2"/>
  <c r="GZ42" i="2"/>
  <c r="GZ203" i="2"/>
  <c r="GZ135" i="2"/>
  <c r="GZ50" i="2"/>
  <c r="GZ63" i="2"/>
  <c r="GZ78" i="2"/>
  <c r="GZ87" i="2"/>
  <c r="GZ121" i="2"/>
  <c r="GZ104" i="2"/>
  <c r="GZ184" i="2"/>
  <c r="GZ39" i="2"/>
  <c r="GZ202" i="2"/>
  <c r="GZ134" i="2"/>
  <c r="GZ3" i="2"/>
  <c r="C15" i="4" s="1"/>
  <c r="E15" i="4" s="1"/>
  <c r="F15" i="4" s="1"/>
  <c r="G15" i="4" s="1"/>
  <c r="L15" i="4" s="1"/>
  <c r="GE11" i="2"/>
  <c r="GE42" i="2"/>
  <c r="GE189" i="2"/>
  <c r="GE193" i="2"/>
  <c r="GE200" i="2"/>
  <c r="GE72" i="2"/>
  <c r="GE171" i="2"/>
  <c r="GE28" i="2"/>
  <c r="GE16" i="2"/>
  <c r="GE82" i="2"/>
  <c r="GE24" i="2"/>
  <c r="GE4" i="2"/>
  <c r="GE89" i="2"/>
  <c r="GE107" i="2"/>
  <c r="GE34" i="2"/>
  <c r="GE123" i="2"/>
  <c r="GE95" i="2"/>
  <c r="GE51" i="2"/>
  <c r="GE185" i="2"/>
  <c r="GE33" i="2"/>
  <c r="GE84" i="2"/>
  <c r="GE61" i="2"/>
  <c r="GE112" i="2"/>
  <c r="GE53" i="2"/>
  <c r="GE12" i="2"/>
  <c r="GE6" i="2"/>
  <c r="GE83" i="2"/>
  <c r="GE160" i="2"/>
  <c r="GE74" i="2"/>
  <c r="GE130" i="2"/>
  <c r="GE119" i="2"/>
  <c r="GE187" i="2"/>
  <c r="GE67" i="2"/>
  <c r="GE154" i="2"/>
  <c r="GE125" i="2"/>
  <c r="GE131" i="2"/>
  <c r="GE180" i="2"/>
  <c r="GE158" i="2"/>
  <c r="GE115" i="2"/>
  <c r="GE65" i="2"/>
  <c r="GE35" i="2"/>
  <c r="GE198" i="2"/>
  <c r="GE47" i="2"/>
  <c r="GE177" i="2"/>
  <c r="GE94" i="2"/>
  <c r="GE46" i="2"/>
  <c r="GE36" i="2"/>
  <c r="GE176" i="2"/>
  <c r="GE109" i="2"/>
  <c r="GE86" i="2"/>
  <c r="GE196" i="2"/>
  <c r="GE69" i="2"/>
  <c r="GE127" i="2"/>
  <c r="GE15" i="2"/>
  <c r="GE152" i="2"/>
  <c r="GE124" i="2"/>
  <c r="GE199" i="2"/>
  <c r="GE161" i="2"/>
  <c r="GE166" i="2"/>
  <c r="GE30" i="2"/>
  <c r="GE190" i="2"/>
  <c r="GE68" i="2"/>
  <c r="GE175" i="2"/>
  <c r="GE58" i="2"/>
  <c r="GE31" i="2"/>
  <c r="GE150" i="2"/>
  <c r="GE191" i="2"/>
  <c r="GE23" i="2"/>
  <c r="GE56" i="2"/>
  <c r="GE159" i="2"/>
  <c r="GE188" i="2"/>
  <c r="GE87" i="2"/>
  <c r="GE151" i="2"/>
  <c r="GE79" i="2"/>
  <c r="GE92" i="2"/>
  <c r="GE37" i="2"/>
  <c r="GE192" i="2"/>
  <c r="GE81" i="2"/>
  <c r="GE48" i="2"/>
  <c r="GE146" i="2"/>
  <c r="GE157" i="2"/>
  <c r="GE117" i="2"/>
  <c r="GE39" i="2"/>
  <c r="GE129" i="2"/>
  <c r="GE55" i="2"/>
  <c r="GE179" i="2"/>
  <c r="GE195" i="2"/>
  <c r="GE102" i="2"/>
  <c r="GE78" i="2"/>
  <c r="GE135" i="2"/>
  <c r="GE71" i="2"/>
  <c r="GE50" i="2"/>
  <c r="GE80" i="2"/>
  <c r="GE9" i="2"/>
  <c r="GE38" i="2"/>
  <c r="GE54" i="2"/>
  <c r="GE70" i="2"/>
  <c r="GE138" i="2"/>
  <c r="GE186" i="2"/>
  <c r="GE97" i="2"/>
  <c r="GE136" i="2"/>
  <c r="GE77" i="2"/>
  <c r="GE21" i="2"/>
  <c r="GE134" i="2"/>
  <c r="GE101" i="2"/>
  <c r="GE163" i="2"/>
  <c r="GE93" i="2"/>
  <c r="GE148" i="2"/>
  <c r="GE137" i="2"/>
  <c r="GE174" i="2"/>
  <c r="GE57" i="2"/>
  <c r="GE143" i="2"/>
  <c r="GE40" i="2"/>
  <c r="GE167" i="2"/>
  <c r="GE100" i="2"/>
  <c r="GE41" i="2"/>
  <c r="GE178" i="2"/>
  <c r="GE173" i="2"/>
  <c r="GE203" i="2"/>
  <c r="GE25" i="2"/>
  <c r="GE142" i="2"/>
  <c r="GE132" i="2"/>
  <c r="GE141" i="2"/>
  <c r="GE19" i="2"/>
  <c r="GE172" i="2"/>
  <c r="GE169" i="2"/>
  <c r="GE144" i="2"/>
  <c r="GE116" i="2"/>
  <c r="GE139" i="2"/>
  <c r="GE22" i="2"/>
  <c r="GE201" i="2"/>
  <c r="GE149" i="2"/>
  <c r="GE26" i="2"/>
  <c r="GE59" i="2"/>
  <c r="GE10" i="2"/>
  <c r="GE91" i="2"/>
  <c r="GE63" i="2"/>
  <c r="GE120" i="2"/>
  <c r="GE140" i="2"/>
  <c r="GE165" i="2"/>
  <c r="GE14" i="2"/>
  <c r="GE99" i="2"/>
  <c r="GE62" i="2"/>
  <c r="GE76" i="2"/>
  <c r="GE85" i="2"/>
  <c r="GE49" i="2"/>
  <c r="GE104" i="2"/>
  <c r="GE64" i="2"/>
  <c r="GE43" i="2"/>
  <c r="GE88" i="2"/>
  <c r="GE164" i="2"/>
  <c r="GE103" i="2"/>
  <c r="GE113" i="2"/>
  <c r="GE170" i="2"/>
  <c r="GE128" i="2"/>
  <c r="GE194" i="2"/>
  <c r="GE110" i="2"/>
  <c r="GE98" i="2"/>
  <c r="GE29" i="2"/>
  <c r="GE52" i="2"/>
  <c r="GE162" i="2"/>
  <c r="GE106" i="2"/>
  <c r="GE118" i="2"/>
  <c r="GE105" i="2"/>
  <c r="GE182" i="2"/>
  <c r="GE122" i="2"/>
  <c r="GE73" i="2"/>
  <c r="GE20" i="2"/>
  <c r="GE3" i="2"/>
  <c r="C14" i="4" s="1"/>
  <c r="E14" i="4" s="1"/>
  <c r="F14" i="4" s="1"/>
  <c r="G14" i="4" s="1"/>
  <c r="L14" i="4" s="1"/>
  <c r="GE114" i="2"/>
  <c r="GE45" i="2"/>
  <c r="GE168" i="2"/>
  <c r="GE202" i="2"/>
  <c r="GE17" i="2"/>
  <c r="GE111" i="2"/>
  <c r="GE18" i="2"/>
  <c r="GE108" i="2"/>
  <c r="GE133" i="2"/>
  <c r="GE121" i="2"/>
  <c r="GE13" i="2"/>
  <c r="GE60" i="2"/>
  <c r="GE184" i="2"/>
  <c r="GE66" i="2"/>
  <c r="GE197" i="2"/>
  <c r="GE155" i="2"/>
  <c r="GE181" i="2"/>
  <c r="GE27" i="2"/>
  <c r="GE126" i="2"/>
  <c r="GE156" i="2"/>
  <c r="GE153" i="2"/>
  <c r="GE147" i="2"/>
  <c r="GE183" i="2"/>
  <c r="GE96" i="2"/>
  <c r="GE75" i="2"/>
  <c r="GE44" i="2"/>
  <c r="GE7" i="2"/>
  <c r="GE5" i="2"/>
  <c r="GE32" i="2"/>
  <c r="GE145" i="2"/>
  <c r="GE8" i="2"/>
  <c r="GE90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FJ125" i="2" l="1"/>
  <c r="FJ171" i="2"/>
  <c r="FJ156" i="2"/>
  <c r="FJ153" i="2"/>
  <c r="FJ167" i="2"/>
  <c r="FJ69" i="2"/>
  <c r="FJ68" i="2"/>
  <c r="FJ60" i="2"/>
  <c r="FJ41" i="2"/>
  <c r="FJ13" i="2"/>
  <c r="FJ191" i="2"/>
  <c r="FJ193" i="2"/>
  <c r="FJ133" i="2"/>
  <c r="FJ127" i="2"/>
  <c r="FJ134" i="2"/>
  <c r="FJ188" i="2"/>
  <c r="FJ169" i="2"/>
  <c r="FJ157" i="2"/>
  <c r="FJ14" i="2"/>
  <c r="FJ202" i="2"/>
  <c r="FJ74" i="2"/>
  <c r="FJ184" i="2"/>
  <c r="FJ155" i="2"/>
  <c r="FJ59" i="2"/>
  <c r="FJ113" i="2"/>
  <c r="FJ203" i="2"/>
  <c r="FJ112" i="2"/>
  <c r="FJ196" i="2"/>
  <c r="FJ185" i="2"/>
  <c r="FJ91" i="2"/>
  <c r="FJ55" i="2"/>
  <c r="FJ165" i="2"/>
  <c r="FJ38" i="2"/>
  <c r="FJ18" i="2"/>
  <c r="FJ56" i="2"/>
  <c r="FJ65" i="2"/>
  <c r="FJ198" i="2"/>
  <c r="FJ77" i="2"/>
  <c r="FJ130" i="2"/>
  <c r="FJ53" i="2"/>
  <c r="FJ84" i="2"/>
  <c r="FJ34" i="2"/>
  <c r="FJ6" i="2"/>
  <c r="FJ99" i="2"/>
  <c r="FJ106" i="2"/>
  <c r="FJ71" i="2"/>
  <c r="FJ126" i="2"/>
  <c r="FJ110" i="2"/>
  <c r="FJ173" i="2"/>
  <c r="FJ58" i="2"/>
  <c r="FJ111" i="2"/>
  <c r="FJ90" i="2"/>
  <c r="FJ186" i="2"/>
  <c r="FJ86" i="2"/>
  <c r="FJ76" i="2"/>
  <c r="FJ190" i="2"/>
  <c r="FJ96" i="2"/>
  <c r="FJ180" i="2"/>
  <c r="FJ115" i="2"/>
  <c r="FJ32" i="2"/>
  <c r="FJ137" i="2"/>
  <c r="FJ47" i="2"/>
  <c r="FJ177" i="2"/>
  <c r="FJ123" i="2"/>
  <c r="FJ93" i="2"/>
  <c r="FJ174" i="2"/>
  <c r="FJ24" i="2"/>
  <c r="FJ150" i="2"/>
  <c r="FJ116" i="2"/>
  <c r="FJ124" i="2"/>
  <c r="FJ37" i="2"/>
  <c r="FJ10" i="2"/>
  <c r="FJ12" i="2"/>
  <c r="FJ114" i="2"/>
  <c r="FJ178" i="2"/>
  <c r="FJ17" i="2"/>
  <c r="FJ36" i="2"/>
  <c r="FJ25" i="2"/>
  <c r="FJ30" i="2"/>
  <c r="FJ197" i="2"/>
  <c r="FJ108" i="2"/>
  <c r="FJ199" i="2"/>
  <c r="FJ121" i="2"/>
  <c r="FJ181" i="2"/>
  <c r="FJ147" i="2"/>
  <c r="FJ19" i="2"/>
  <c r="FJ136" i="2"/>
  <c r="FJ83" i="2"/>
  <c r="FJ75" i="2"/>
  <c r="FJ172" i="2"/>
  <c r="FJ54" i="2"/>
  <c r="FJ79" i="2"/>
  <c r="FJ29" i="2"/>
  <c r="FJ66" i="2"/>
  <c r="FJ92" i="2"/>
  <c r="FJ170" i="2"/>
  <c r="FJ189" i="2"/>
  <c r="FJ164" i="2"/>
  <c r="FJ144" i="2"/>
  <c r="FJ179" i="2"/>
  <c r="FJ100" i="2"/>
  <c r="FJ88" i="2"/>
  <c r="FJ176" i="2"/>
  <c r="FJ102" i="2"/>
  <c r="FJ43" i="2"/>
  <c r="FJ63" i="2"/>
  <c r="FJ109" i="2"/>
  <c r="FJ21" i="2"/>
  <c r="FJ128" i="2"/>
  <c r="FJ27" i="2"/>
  <c r="FJ135" i="2"/>
  <c r="FJ160" i="2"/>
  <c r="FJ118" i="2"/>
  <c r="FJ51" i="2"/>
  <c r="FJ73" i="2"/>
  <c r="FJ161" i="2"/>
  <c r="FJ104" i="2"/>
  <c r="FJ70" i="2"/>
  <c r="FJ98" i="2"/>
  <c r="FJ183" i="2"/>
  <c r="FJ35" i="2"/>
  <c r="FJ182" i="2"/>
  <c r="FJ8" i="2"/>
  <c r="FJ26" i="2"/>
  <c r="FJ22" i="2"/>
  <c r="FJ154" i="2"/>
  <c r="FJ105" i="2"/>
  <c r="FJ95" i="2"/>
  <c r="FJ4" i="2"/>
  <c r="FJ50" i="2"/>
  <c r="FJ42" i="2"/>
  <c r="FJ87" i="2"/>
  <c r="FJ16" i="2"/>
  <c r="FJ31" i="2"/>
  <c r="FJ33" i="2"/>
  <c r="FJ80" i="2"/>
  <c r="FJ101" i="2"/>
  <c r="FJ103" i="2"/>
  <c r="FJ143" i="2"/>
  <c r="FJ78" i="2"/>
  <c r="FJ62" i="2"/>
  <c r="FJ145" i="2"/>
  <c r="FJ141" i="2"/>
  <c r="FJ158" i="2"/>
  <c r="FJ81" i="2"/>
  <c r="FJ131" i="2"/>
  <c r="FJ97" i="2"/>
  <c r="FJ28" i="2"/>
  <c r="FJ44" i="2"/>
  <c r="FJ117" i="2"/>
  <c r="FJ195" i="2"/>
  <c r="FJ11" i="2"/>
  <c r="FJ152" i="2"/>
  <c r="FJ82" i="2"/>
  <c r="FJ7" i="2"/>
  <c r="FJ122" i="2"/>
  <c r="FJ138" i="2"/>
  <c r="FJ46" i="2"/>
  <c r="FJ61" i="2"/>
  <c r="FJ67" i="2"/>
  <c r="FJ194" i="2"/>
  <c r="FJ119" i="2"/>
  <c r="FJ187" i="2"/>
  <c r="FJ120" i="2"/>
  <c r="FJ201" i="2"/>
  <c r="FJ168" i="2"/>
  <c r="FJ39" i="2"/>
  <c r="FJ146" i="2"/>
  <c r="FJ5" i="2"/>
  <c r="FJ166" i="2"/>
  <c r="FJ94" i="2"/>
  <c r="FJ40" i="2"/>
  <c r="FJ163" i="2"/>
  <c r="FJ151" i="2"/>
  <c r="FJ148" i="2"/>
  <c r="FJ142" i="2"/>
  <c r="FJ89" i="2"/>
  <c r="FJ139" i="2"/>
  <c r="FJ162" i="2"/>
  <c r="FJ200" i="2"/>
  <c r="FJ20" i="2"/>
  <c r="FJ149" i="2"/>
  <c r="FJ45" i="2"/>
  <c r="FJ52" i="2"/>
  <c r="FJ9" i="2"/>
  <c r="FJ192" i="2"/>
  <c r="FJ64" i="2"/>
  <c r="FJ49" i="2"/>
  <c r="FJ140" i="2"/>
  <c r="FJ85" i="2"/>
  <c r="FJ107" i="2"/>
  <c r="FJ3" i="2"/>
  <c r="C13" i="4" s="1"/>
  <c r="E13" i="4" s="1"/>
  <c r="F13" i="4" s="1"/>
  <c r="G13" i="4" s="1"/>
  <c r="L13" i="4" s="1"/>
  <c r="FJ57" i="2"/>
  <c r="FJ129" i="2"/>
  <c r="FJ48" i="2"/>
  <c r="FJ23" i="2"/>
  <c r="FJ159" i="2"/>
  <c r="FJ132" i="2"/>
  <c r="FJ175" i="2"/>
  <c r="FJ72" i="2"/>
  <c r="FJ15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<sst xmlns="http://schemas.openxmlformats.org/spreadsheetml/2006/main" count="1175" uniqueCount="324">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</sst>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9" fontId="35" fillId="21" borderId="54" xfId="0" applyNumberFormat="1" applyFont="1" applyFill="1" applyBorder="1" applyAlignment="1" applyProtection="1">
      <alignment horizontal="center" vertical="center"/>
      <protection locked="0"/>
    </xf>
    <xf numFmtId="9" fontId="35" fillId="14" borderId="1" xfId="1" applyFont="1" applyFill="1" applyBorder="1" applyAlignment="1" applyProtection="1">
      <alignment horizontal="center" vertic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2.3434489087347408</c:v>
                </c:pt>
                <c:pt idx="2">
                  <c:v>3.4000497694030201</c:v>
                </c:pt>
                <c:pt idx="3">
                  <c:v>4.93516998481409</c:v>
                </c:pt>
                <c:pt idx="4">
                  <c:v>7.1664278733973825</c:v>
                </c:pt>
                <c:pt idx="5">
                  <c:v>10.410791617490402</c:v>
                </c:pt>
                <c:pt idx="6">
                  <c:v>15.130097046784146</c:v>
                </c:pt>
                <c:pt idx="7">
                  <c:v>21.997487446391844</c:v>
                </c:pt>
                <c:pt idx="8">
                  <c:v>31.994420451966377</c:v>
                </c:pt>
                <c:pt idx="9">
                  <c:v>46.552345301455006</c:v>
                </c:pt>
                <c:pt idx="10">
                  <c:v>67.759677543529421</c:v>
                </c:pt>
                <c:pt idx="11">
                  <c:v>98.664246863659471</c:v>
                </c:pt>
                <c:pt idx="12">
                  <c:v>143.71537226328297</c:v>
                </c:pt>
                <c:pt idx="13">
                  <c:v>150.5085198437738</c:v>
                </c:pt>
                <c:pt idx="14">
                  <c:v>181.66813736078151</c:v>
                </c:pt>
                <c:pt idx="15">
                  <c:v>212.70239804910193</c:v>
                </c:pt>
                <c:pt idx="16">
                  <c:v>243.63219153359822</c:v>
                </c:pt>
                <c:pt idx="17">
                  <c:v>274.47265011228387</c:v>
                </c:pt>
                <c:pt idx="18">
                  <c:v>305.23522033866374</c:v>
                </c:pt>
                <c:pt idx="19">
                  <c:v>217.97633317853592</c:v>
                </c:pt>
                <c:pt idx="20">
                  <c:v>243.81122169703403</c:v>
                </c:pt>
                <c:pt idx="21">
                  <c:v>269.58386372150011</c:v>
                </c:pt>
                <c:pt idx="22">
                  <c:v>295.30104458450194</c:v>
                </c:pt>
                <c:pt idx="23">
                  <c:v>320.9682705782111</c:v>
                </c:pt>
                <c:pt idx="24">
                  <c:v>346.59009528166484</c:v>
                </c:pt>
                <c:pt idx="25">
                  <c:v>270.34298331048649</c:v>
                </c:pt>
                <c:pt idx="26">
                  <c:v>292.58233627164475</c:v>
                </c:pt>
                <c:pt idx="27">
                  <c:v>314.78395443038511</c:v>
                </c:pt>
                <c:pt idx="28">
                  <c:v>336.95087205446197</c:v>
                </c:pt>
                <c:pt idx="29">
                  <c:v>359.08569164809904</c:v>
                </c:pt>
                <c:pt idx="30">
                  <c:v>381.19066877305704</c:v>
                </c:pt>
                <c:pt idx="31">
                  <c:v>317.25355162035788</c:v>
                </c:pt>
                <c:pt idx="32">
                  <c:v>336.72869926538851</c:v>
                </c:pt>
                <c:pt idx="33">
                  <c:v>356.17905353680152</c:v>
                </c:pt>
                <c:pt idx="34">
                  <c:v>375.60615822359978</c:v>
                </c:pt>
                <c:pt idx="35">
                  <c:v>395.01138443660466</c:v>
                </c:pt>
                <c:pt idx="36">
                  <c:v>414.39595763230847</c:v>
                </c:pt>
                <c:pt idx="37">
                  <c:v>355.24704452320003</c:v>
                </c:pt>
                <c:pt idx="38">
                  <c:v>373.74425409046029</c:v>
                </c:pt>
                <c:pt idx="39">
                  <c:v>392.22152076799495</c:v>
                </c:pt>
                <c:pt idx="40">
                  <c:v>410.6799158393672</c:v>
                </c:pt>
                <c:pt idx="41">
                  <c:v>429.12040646848072</c:v>
                </c:pt>
                <c:pt idx="42">
                  <c:v>447.54386995067097</c:v>
                </c:pt>
                <c:pt idx="43">
                  <c:v>392.26580767185396</c:v>
                </c:pt>
                <c:pt idx="44">
                  <c:v>409.44107422908195</c:v>
                </c:pt>
                <c:pt idx="45">
                  <c:v>426.60078727178939</c:v>
                </c:pt>
                <c:pt idx="46">
                  <c:v>443.74566024874019</c:v>
                </c:pt>
                <c:pt idx="47">
                  <c:v>460.87634700218206</c:v>
                </c:pt>
                <c:pt idx="48">
                  <c:v>477.99344882393416</c:v>
                </c:pt>
                <c:pt idx="49">
                  <c:v>429.42981141856944</c:v>
                </c:pt>
                <c:pt idx="50">
                  <c:v>444.71736133815199</c:v>
                </c:pt>
                <c:pt idx="51">
                  <c:v>459.99365893934191</c:v>
                </c:pt>
                <c:pt idx="52">
                  <c:v>475.25913042471711</c:v>
                </c:pt>
                <c:pt idx="53">
                  <c:v>490.51417239279317</c:v>
                </c:pt>
                <c:pt idx="54">
                  <c:v>505.75915477017446</c:v>
                </c:pt>
                <c:pt idx="55">
                  <c:v>460.01572658133705</c:v>
                </c:pt>
                <c:pt idx="56">
                  <c:v>476.31761585408549</c:v>
                </c:pt>
                <c:pt idx="57">
                  <c:v>492.60764062836614</c:v>
                </c:pt>
                <c:pt idx="58">
                  <c:v>508.88624832362757</c:v>
                </c:pt>
                <c:pt idx="59">
                  <c:v>525.15385541340027</c:v>
                </c:pt>
                <c:pt idx="60">
                  <c:v>541.41085047775289</c:v>
                </c:pt>
                <c:pt idx="61">
                  <c:v>541.41085047775289</c:v>
                </c:pt>
                <c:pt idx="62">
                  <c:v>541.41085047775289</c:v>
                </c:pt>
                <c:pt idx="63">
                  <c:v>541.41085047775289</c:v>
                </c:pt>
                <c:pt idx="64">
                  <c:v>541.41085047775289</c:v>
                </c:pt>
                <c:pt idx="65">
                  <c:v>541.41085047775289</c:v>
                </c:pt>
                <c:pt idx="66">
                  <c:v>541.41085047775289</c:v>
                </c:pt>
                <c:pt idx="67">
                  <c:v>541.41085047775289</c:v>
                </c:pt>
                <c:pt idx="68">
                  <c:v>541.41085047775289</c:v>
                </c:pt>
                <c:pt idx="69">
                  <c:v>541.41085047775289</c:v>
                </c:pt>
                <c:pt idx="70">
                  <c:v>541.41085047775289</c:v>
                </c:pt>
                <c:pt idx="71">
                  <c:v>541.41085047775289</c:v>
                </c:pt>
                <c:pt idx="72">
                  <c:v>541.41085047775289</c:v>
                </c:pt>
                <c:pt idx="73">
                  <c:v>541.41085047775289</c:v>
                </c:pt>
                <c:pt idx="74">
                  <c:v>541.41085047775289</c:v>
                </c:pt>
                <c:pt idx="75">
                  <c:v>541.41085047775289</c:v>
                </c:pt>
                <c:pt idx="76">
                  <c:v>541.41085047775289</c:v>
                </c:pt>
                <c:pt idx="77">
                  <c:v>541.41085047775289</c:v>
                </c:pt>
                <c:pt idx="78">
                  <c:v>541.41085047775289</c:v>
                </c:pt>
                <c:pt idx="79">
                  <c:v>541.41085047775289</c:v>
                </c:pt>
                <c:pt idx="80">
                  <c:v>541.41085047775289</c:v>
                </c:pt>
                <c:pt idx="81">
                  <c:v>541.41085047775289</c:v>
                </c:pt>
                <c:pt idx="82">
                  <c:v>541.41085047775289</c:v>
                </c:pt>
                <c:pt idx="83">
                  <c:v>541.41085047775289</c:v>
                </c:pt>
                <c:pt idx="84">
                  <c:v>541.41085047775289</c:v>
                </c:pt>
                <c:pt idx="85">
                  <c:v>541.41085047775289</c:v>
                </c:pt>
                <c:pt idx="86">
                  <c:v>541.41085047775289</c:v>
                </c:pt>
                <c:pt idx="87">
                  <c:v>541.41085047775289</c:v>
                </c:pt>
                <c:pt idx="88">
                  <c:v>541.41085047775289</c:v>
                </c:pt>
                <c:pt idx="89">
                  <c:v>541.41085047775289</c:v>
                </c:pt>
                <c:pt idx="90">
                  <c:v>541.41085047775289</c:v>
                </c:pt>
                <c:pt idx="91">
                  <c:v>541.41085047775289</c:v>
                </c:pt>
                <c:pt idx="92">
                  <c:v>541.41085047775289</c:v>
                </c:pt>
                <c:pt idx="93">
                  <c:v>541.41085047775289</c:v>
                </c:pt>
                <c:pt idx="94">
                  <c:v>541.41085047775289</c:v>
                </c:pt>
                <c:pt idx="95">
                  <c:v>541.41085047775289</c:v>
                </c:pt>
                <c:pt idx="96">
                  <c:v>541.41085047775289</c:v>
                </c:pt>
                <c:pt idx="97">
                  <c:v>541.41085047775289</c:v>
                </c:pt>
                <c:pt idx="98">
                  <c:v>541.41085047775289</c:v>
                </c:pt>
                <c:pt idx="99">
                  <c:v>541.41085047775289</c:v>
                </c:pt>
                <c:pt idx="100">
                  <c:v>541.41085047775289</c:v>
                </c:pt>
                <c:pt idx="101">
                  <c:v>541.41085047775289</c:v>
                </c:pt>
                <c:pt idx="102">
                  <c:v>541.41085047775289</c:v>
                </c:pt>
                <c:pt idx="103">
                  <c:v>541.41085047775289</c:v>
                </c:pt>
                <c:pt idx="104">
                  <c:v>541.41085047775289</c:v>
                </c:pt>
                <c:pt idx="105">
                  <c:v>541.41085047775289</c:v>
                </c:pt>
                <c:pt idx="106">
                  <c:v>541.41085047775289</c:v>
                </c:pt>
                <c:pt idx="107">
                  <c:v>541.41085047775289</c:v>
                </c:pt>
                <c:pt idx="108">
                  <c:v>541.41085047775289</c:v>
                </c:pt>
                <c:pt idx="109">
                  <c:v>541.41085047775289</c:v>
                </c:pt>
                <c:pt idx="110">
                  <c:v>541.41085047775289</c:v>
                </c:pt>
                <c:pt idx="111">
                  <c:v>541.41085047775289</c:v>
                </c:pt>
                <c:pt idx="112">
                  <c:v>541.41085047775289</c:v>
                </c:pt>
                <c:pt idx="113">
                  <c:v>541.41085047775289</c:v>
                </c:pt>
                <c:pt idx="114">
                  <c:v>541.41085047775289</c:v>
                </c:pt>
                <c:pt idx="115">
                  <c:v>541.41085047775289</c:v>
                </c:pt>
                <c:pt idx="116">
                  <c:v>541.41085047775289</c:v>
                </c:pt>
                <c:pt idx="117">
                  <c:v>541.41085047775289</c:v>
                </c:pt>
                <c:pt idx="118">
                  <c:v>541.41085047775289</c:v>
                </c:pt>
                <c:pt idx="119">
                  <c:v>541.41085047775289</c:v>
                </c:pt>
                <c:pt idx="120">
                  <c:v>541.41085047775289</c:v>
                </c:pt>
                <c:pt idx="121">
                  <c:v>541.41085047775289</c:v>
                </c:pt>
                <c:pt idx="122">
                  <c:v>541.41085047775289</c:v>
                </c:pt>
                <c:pt idx="123">
                  <c:v>541.41085047775289</c:v>
                </c:pt>
                <c:pt idx="124">
                  <c:v>541.41085047775289</c:v>
                </c:pt>
                <c:pt idx="125">
                  <c:v>541.41085047775289</c:v>
                </c:pt>
                <c:pt idx="126">
                  <c:v>541.41085047775289</c:v>
                </c:pt>
                <c:pt idx="127">
                  <c:v>541.41085047775289</c:v>
                </c:pt>
                <c:pt idx="128">
                  <c:v>541.41085047775289</c:v>
                </c:pt>
                <c:pt idx="129">
                  <c:v>541.41085047775289</c:v>
                </c:pt>
                <c:pt idx="130">
                  <c:v>541.41085047775289</c:v>
                </c:pt>
                <c:pt idx="131">
                  <c:v>541.41085047775289</c:v>
                </c:pt>
                <c:pt idx="132">
                  <c:v>541.41085047775289</c:v>
                </c:pt>
                <c:pt idx="133">
                  <c:v>541.41085047775289</c:v>
                </c:pt>
                <c:pt idx="134">
                  <c:v>541.41085047775289</c:v>
                </c:pt>
                <c:pt idx="135">
                  <c:v>541.41085047775289</c:v>
                </c:pt>
                <c:pt idx="136">
                  <c:v>541.41085047775289</c:v>
                </c:pt>
                <c:pt idx="137">
                  <c:v>541.41085047775289</c:v>
                </c:pt>
                <c:pt idx="138">
                  <c:v>541.41085047775289</c:v>
                </c:pt>
                <c:pt idx="139">
                  <c:v>541.41085047775289</c:v>
                </c:pt>
                <c:pt idx="140">
                  <c:v>541.41085047775289</c:v>
                </c:pt>
                <c:pt idx="141">
                  <c:v>541.41085047775289</c:v>
                </c:pt>
                <c:pt idx="142">
                  <c:v>541.41085047775289</c:v>
                </c:pt>
                <c:pt idx="143">
                  <c:v>541.41085047775289</c:v>
                </c:pt>
                <c:pt idx="144">
                  <c:v>541.41085047775289</c:v>
                </c:pt>
                <c:pt idx="145">
                  <c:v>541.41085047775289</c:v>
                </c:pt>
                <c:pt idx="146">
                  <c:v>541.41085047775289</c:v>
                </c:pt>
                <c:pt idx="147">
                  <c:v>541.41085047775289</c:v>
                </c:pt>
                <c:pt idx="148">
                  <c:v>541.41085047775289</c:v>
                </c:pt>
                <c:pt idx="149">
                  <c:v>541.41085047775289</c:v>
                </c:pt>
                <c:pt idx="150">
                  <c:v>541.41085047775289</c:v>
                </c:pt>
                <c:pt idx="151">
                  <c:v>541.41085047775289</c:v>
                </c:pt>
                <c:pt idx="152">
                  <c:v>541.41085047775289</c:v>
                </c:pt>
                <c:pt idx="153">
                  <c:v>541.41085047775289</c:v>
                </c:pt>
                <c:pt idx="154">
                  <c:v>541.41085047775289</c:v>
                </c:pt>
                <c:pt idx="155">
                  <c:v>541.41085047775289</c:v>
                </c:pt>
                <c:pt idx="156">
                  <c:v>541.41085047775289</c:v>
                </c:pt>
                <c:pt idx="157">
                  <c:v>541.41085047775289</c:v>
                </c:pt>
                <c:pt idx="158">
                  <c:v>541.41085047775289</c:v>
                </c:pt>
                <c:pt idx="159">
                  <c:v>541.41085047775289</c:v>
                </c:pt>
                <c:pt idx="160">
                  <c:v>541.41085047775289</c:v>
                </c:pt>
                <c:pt idx="161">
                  <c:v>541.41085047775289</c:v>
                </c:pt>
                <c:pt idx="162">
                  <c:v>541.41085047775289</c:v>
                </c:pt>
                <c:pt idx="163">
                  <c:v>541.41085047775289</c:v>
                </c:pt>
                <c:pt idx="164">
                  <c:v>541.41085047775289</c:v>
                </c:pt>
                <c:pt idx="165">
                  <c:v>541.41085047775289</c:v>
                </c:pt>
                <c:pt idx="166">
                  <c:v>541.41085047775289</c:v>
                </c:pt>
                <c:pt idx="167">
                  <c:v>541.41085047775289</c:v>
                </c:pt>
                <c:pt idx="168">
                  <c:v>541.41085047775289</c:v>
                </c:pt>
                <c:pt idx="169">
                  <c:v>541.41085047775289</c:v>
                </c:pt>
                <c:pt idx="170">
                  <c:v>541.41085047775289</c:v>
                </c:pt>
                <c:pt idx="171">
                  <c:v>541.41085047775289</c:v>
                </c:pt>
                <c:pt idx="172">
                  <c:v>541.41085047775289</c:v>
                </c:pt>
                <c:pt idx="173">
                  <c:v>541.41085047775289</c:v>
                </c:pt>
                <c:pt idx="174">
                  <c:v>541.41085047775289</c:v>
                </c:pt>
                <c:pt idx="175">
                  <c:v>541.41085047775289</c:v>
                </c:pt>
                <c:pt idx="176">
                  <c:v>541.41085047775289</c:v>
                </c:pt>
                <c:pt idx="177">
                  <c:v>541.41085047775289</c:v>
                </c:pt>
                <c:pt idx="178">
                  <c:v>541.41085047775289</c:v>
                </c:pt>
                <c:pt idx="179">
                  <c:v>541.41085047775289</c:v>
                </c:pt>
                <c:pt idx="180">
                  <c:v>541.41085047775289</c:v>
                </c:pt>
                <c:pt idx="181">
                  <c:v>541.41085047775289</c:v>
                </c:pt>
                <c:pt idx="182">
                  <c:v>541.41085047775289</c:v>
                </c:pt>
                <c:pt idx="183">
                  <c:v>541.41085047775289</c:v>
                </c:pt>
                <c:pt idx="184">
                  <c:v>541.41085047775289</c:v>
                </c:pt>
                <c:pt idx="185">
                  <c:v>541.41085047775289</c:v>
                </c:pt>
                <c:pt idx="186">
                  <c:v>541.41085047775289</c:v>
                </c:pt>
                <c:pt idx="187">
                  <c:v>541.41085047775289</c:v>
                </c:pt>
                <c:pt idx="188">
                  <c:v>541.41085047775289</c:v>
                </c:pt>
                <c:pt idx="189">
                  <c:v>541.41085047775289</c:v>
                </c:pt>
                <c:pt idx="190">
                  <c:v>541.41085047775289</c:v>
                </c:pt>
                <c:pt idx="191">
                  <c:v>541.41085047775289</c:v>
                </c:pt>
                <c:pt idx="192">
                  <c:v>541.41085047775289</c:v>
                </c:pt>
                <c:pt idx="193">
                  <c:v>541.41085047775289</c:v>
                </c:pt>
                <c:pt idx="194">
                  <c:v>541.41085047775289</c:v>
                </c:pt>
                <c:pt idx="195">
                  <c:v>541.41085047775289</c:v>
                </c:pt>
                <c:pt idx="196">
                  <c:v>541.41085047775289</c:v>
                </c:pt>
                <c:pt idx="197">
                  <c:v>541.41085047775289</c:v>
                </c:pt>
                <c:pt idx="198">
                  <c:v>541.41085047775289</c:v>
                </c:pt>
                <c:pt idx="199">
                  <c:v>541.41085047775289</c:v>
                </c:pt>
                <c:pt idx="200">
                  <c:v>541.41085047775289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1.6402780147358238</c:v>
                </c:pt>
                <c:pt idx="2">
                  <c:v>2.0847532394244346</c:v>
                </c:pt>
                <c:pt idx="3">
                  <c:v>2.6501560009338418</c:v>
                </c:pt>
                <c:pt idx="4">
                  <c:v>3.3695117259982124</c:v>
                </c:pt>
                <c:pt idx="5">
                  <c:v>4.2848971118032706</c:v>
                </c:pt>
                <c:pt idx="6">
                  <c:v>5.4499289702420617</c:v>
                </c:pt>
                <c:pt idx="7">
                  <c:v>6.9329395104377367</c:v>
                </c:pt>
                <c:pt idx="8">
                  <c:v>8.8210279095906756</c:v>
                </c:pt>
                <c:pt idx="9">
                  <c:v>11.225230662518648</c:v>
                </c:pt>
                <c:pt idx="10">
                  <c:v>14.287120469820463</c:v>
                </c:pt>
                <c:pt idx="11">
                  <c:v>18.187229397437967</c:v>
                </c:pt>
                <c:pt idx="12">
                  <c:v>23.155801927221308</c:v>
                </c:pt>
                <c:pt idx="13">
                  <c:v>29.486523983955536</c:v>
                </c:pt>
                <c:pt idx="14">
                  <c:v>37.554053595128899</c:v>
                </c:pt>
                <c:pt idx="15">
                  <c:v>47.836408422767676</c:v>
                </c:pt>
                <c:pt idx="16">
                  <c:v>72.916184204571309</c:v>
                </c:pt>
                <c:pt idx="17">
                  <c:v>97.771790061261569</c:v>
                </c:pt>
                <c:pt idx="18">
                  <c:v>122.46916637661241</c:v>
                </c:pt>
                <c:pt idx="19">
                  <c:v>147.04495169244021</c:v>
                </c:pt>
                <c:pt idx="20">
                  <c:v>171.52240247513097</c:v>
                </c:pt>
                <c:pt idx="21">
                  <c:v>176.87880044112285</c:v>
                </c:pt>
                <c:pt idx="22">
                  <c:v>205.74066387684891</c:v>
                </c:pt>
                <c:pt idx="23">
                  <c:v>234.50882798734798</c:v>
                </c:pt>
                <c:pt idx="24">
                  <c:v>263.19640754941844</c:v>
                </c:pt>
                <c:pt idx="25">
                  <c:v>291.81341911323074</c:v>
                </c:pt>
                <c:pt idx="26">
                  <c:v>247.90572524779614</c:v>
                </c:pt>
                <c:pt idx="27">
                  <c:v>278.25509160187693</c:v>
                </c:pt>
                <c:pt idx="28">
                  <c:v>308.53016164422883</c:v>
                </c:pt>
                <c:pt idx="29">
                  <c:v>338.73924569347781</c:v>
                </c:pt>
                <c:pt idx="30">
                  <c:v>368.88905029363559</c:v>
                </c:pt>
                <c:pt idx="31">
                  <c:v>324.80433199775035</c:v>
                </c:pt>
                <c:pt idx="32">
                  <c:v>354.55909875403205</c:v>
                </c:pt>
                <c:pt idx="33">
                  <c:v>384.2591738960196</c:v>
                </c:pt>
                <c:pt idx="34">
                  <c:v>413.90937417045046</c:v>
                </c:pt>
                <c:pt idx="35">
                  <c:v>443.51377029996178</c:v>
                </c:pt>
                <c:pt idx="36">
                  <c:v>398.77481002307724</c:v>
                </c:pt>
                <c:pt idx="37">
                  <c:v>427.56225857158461</c:v>
                </c:pt>
                <c:pt idx="38">
                  <c:v>456.30804468843598</c:v>
                </c:pt>
                <c:pt idx="39">
                  <c:v>485.01515867349559</c:v>
                </c:pt>
                <c:pt idx="40">
                  <c:v>513.6862083092177</c:v>
                </c:pt>
                <c:pt idx="41">
                  <c:v>467.62772250158537</c:v>
                </c:pt>
                <c:pt idx="42">
                  <c:v>494.85515444943547</c:v>
                </c:pt>
                <c:pt idx="43">
                  <c:v>522.05085315676945</c:v>
                </c:pt>
                <c:pt idx="44">
                  <c:v>549.21670211461685</c:v>
                </c:pt>
                <c:pt idx="45">
                  <c:v>576.35438350288371</c:v>
                </c:pt>
                <c:pt idx="46">
                  <c:v>528.9495565222345</c:v>
                </c:pt>
                <c:pt idx="47">
                  <c:v>554.64644115006513</c:v>
                </c:pt>
                <c:pt idx="48">
                  <c:v>580.31839329070999</c:v>
                </c:pt>
                <c:pt idx="49">
                  <c:v>605.96666967184581</c:v>
                </c:pt>
                <c:pt idx="50">
                  <c:v>631.59241208851097</c:v>
                </c:pt>
                <c:pt idx="51">
                  <c:v>583.03028487099994</c:v>
                </c:pt>
                <c:pt idx="52">
                  <c:v>607.42563969239939</c:v>
                </c:pt>
                <c:pt idx="53">
                  <c:v>631.80066203182264</c:v>
                </c:pt>
                <c:pt idx="54">
                  <c:v>656.15624572514901</c:v>
                </c:pt>
                <c:pt idx="55">
                  <c:v>680.49321292336128</c:v>
                </c:pt>
                <c:pt idx="56">
                  <c:v>633.05013189910608</c:v>
                </c:pt>
                <c:pt idx="57">
                  <c:v>656.36433174600018</c:v>
                </c:pt>
                <c:pt idx="58">
                  <c:v>679.66147883524548</c:v>
                </c:pt>
                <c:pt idx="59">
                  <c:v>702.94223923853258</c:v>
                </c:pt>
                <c:pt idx="60">
                  <c:v>726.20723136598997</c:v>
                </c:pt>
                <c:pt idx="61">
                  <c:v>685.69107935191596</c:v>
                </c:pt>
                <c:pt idx="62">
                  <c:v>707.51337417674677</c:v>
                </c:pt>
                <c:pt idx="63">
                  <c:v>729.32191275568039</c:v>
                </c:pt>
                <c:pt idx="64">
                  <c:v>751.11716384502915</c:v>
                </c:pt>
                <c:pt idx="65">
                  <c:v>772.89956681281103</c:v>
                </c:pt>
                <c:pt idx="66">
                  <c:v>735.13526029203467</c:v>
                </c:pt>
                <c:pt idx="67">
                  <c:v>755.47465871499662</c:v>
                </c:pt>
                <c:pt idx="68">
                  <c:v>775.80293892449288</c:v>
                </c:pt>
                <c:pt idx="69">
                  <c:v>796.12043292722353</c:v>
                </c:pt>
                <c:pt idx="70">
                  <c:v>816.42745442281341</c:v>
                </c:pt>
                <c:pt idx="71">
                  <c:v>778.91345054381054</c:v>
                </c:pt>
                <c:pt idx="72">
                  <c:v>797.36401781882205</c:v>
                </c:pt>
                <c:pt idx="73">
                  <c:v>815.80596336254951</c:v>
                </c:pt>
                <c:pt idx="74">
                  <c:v>834.23950930758201</c:v>
                </c:pt>
                <c:pt idx="75">
                  <c:v>852.66486718094075</c:v>
                </c:pt>
                <c:pt idx="76">
                  <c:v>816.63461599038089</c:v>
                </c:pt>
                <c:pt idx="77">
                  <c:v>834.44658089757593</c:v>
                </c:pt>
                <c:pt idx="78">
                  <c:v>852.2509026509133</c:v>
                </c:pt>
                <c:pt idx="79">
                  <c:v>870.04776323242652</c:v>
                </c:pt>
                <c:pt idx="80">
                  <c:v>887.83733658098299</c:v>
                </c:pt>
                <c:pt idx="81">
                  <c:v>835.06778946880547</c:v>
                </c:pt>
                <c:pt idx="82">
                  <c:v>835.06778946880547</c:v>
                </c:pt>
                <c:pt idx="83">
                  <c:v>835.06778946880547</c:v>
                </c:pt>
                <c:pt idx="84">
                  <c:v>835.06778946880547</c:v>
                </c:pt>
                <c:pt idx="85">
                  <c:v>835.06778946880547</c:v>
                </c:pt>
                <c:pt idx="86">
                  <c:v>835.06778946880547</c:v>
                </c:pt>
                <c:pt idx="87">
                  <c:v>835.06778946880547</c:v>
                </c:pt>
                <c:pt idx="88">
                  <c:v>835.06778946880547</c:v>
                </c:pt>
                <c:pt idx="89">
                  <c:v>835.06778946880547</c:v>
                </c:pt>
                <c:pt idx="90">
                  <c:v>835.06778946880547</c:v>
                </c:pt>
                <c:pt idx="91">
                  <c:v>835.06778946880547</c:v>
                </c:pt>
                <c:pt idx="92">
                  <c:v>835.06778946880547</c:v>
                </c:pt>
                <c:pt idx="93">
                  <c:v>835.06778946880547</c:v>
                </c:pt>
                <c:pt idx="94">
                  <c:v>835.06778946880547</c:v>
                </c:pt>
                <c:pt idx="95">
                  <c:v>835.06778946880547</c:v>
                </c:pt>
                <c:pt idx="96">
                  <c:v>835.06778946880547</c:v>
                </c:pt>
                <c:pt idx="97">
                  <c:v>835.06778946880547</c:v>
                </c:pt>
                <c:pt idx="98">
                  <c:v>835.06778946880547</c:v>
                </c:pt>
                <c:pt idx="99">
                  <c:v>835.06778946880547</c:v>
                </c:pt>
                <c:pt idx="100">
                  <c:v>835.06778946880547</c:v>
                </c:pt>
                <c:pt idx="101">
                  <c:v>835.06778946880547</c:v>
                </c:pt>
                <c:pt idx="102">
                  <c:v>835.06778946880547</c:v>
                </c:pt>
                <c:pt idx="103">
                  <c:v>835.06778946880547</c:v>
                </c:pt>
                <c:pt idx="104">
                  <c:v>835.06778946880547</c:v>
                </c:pt>
                <c:pt idx="105">
                  <c:v>835.06778946880547</c:v>
                </c:pt>
                <c:pt idx="106">
                  <c:v>835.06778946880547</c:v>
                </c:pt>
                <c:pt idx="107">
                  <c:v>835.06778946880547</c:v>
                </c:pt>
                <c:pt idx="108">
                  <c:v>835.06778946880547</c:v>
                </c:pt>
                <c:pt idx="109">
                  <c:v>835.06778946880547</c:v>
                </c:pt>
                <c:pt idx="110">
                  <c:v>835.06778946880547</c:v>
                </c:pt>
                <c:pt idx="111">
                  <c:v>835.06778946880547</c:v>
                </c:pt>
                <c:pt idx="112">
                  <c:v>835.06778946880547</c:v>
                </c:pt>
                <c:pt idx="113">
                  <c:v>835.06778946880547</c:v>
                </c:pt>
                <c:pt idx="114">
                  <c:v>835.06778946880547</c:v>
                </c:pt>
                <c:pt idx="115">
                  <c:v>835.06778946880547</c:v>
                </c:pt>
                <c:pt idx="116">
                  <c:v>835.06778946880547</c:v>
                </c:pt>
                <c:pt idx="117">
                  <c:v>835.06778946880547</c:v>
                </c:pt>
                <c:pt idx="118">
                  <c:v>835.06778946880547</c:v>
                </c:pt>
                <c:pt idx="119">
                  <c:v>835.06778946880547</c:v>
                </c:pt>
                <c:pt idx="120">
                  <c:v>835.06778946880547</c:v>
                </c:pt>
                <c:pt idx="121">
                  <c:v>835.06778946880547</c:v>
                </c:pt>
                <c:pt idx="122">
                  <c:v>835.06778946880547</c:v>
                </c:pt>
                <c:pt idx="123">
                  <c:v>835.06778946880547</c:v>
                </c:pt>
                <c:pt idx="124">
                  <c:v>835.06778946880547</c:v>
                </c:pt>
                <c:pt idx="125">
                  <c:v>835.06778946880547</c:v>
                </c:pt>
                <c:pt idx="126">
                  <c:v>835.06778946880547</c:v>
                </c:pt>
                <c:pt idx="127">
                  <c:v>835.06778946880547</c:v>
                </c:pt>
                <c:pt idx="128">
                  <c:v>835.06778946880547</c:v>
                </c:pt>
                <c:pt idx="129">
                  <c:v>835.06778946880547</c:v>
                </c:pt>
                <c:pt idx="130">
                  <c:v>835.06778946880547</c:v>
                </c:pt>
                <c:pt idx="131">
                  <c:v>835.06778946880547</c:v>
                </c:pt>
                <c:pt idx="132">
                  <c:v>835.06778946880547</c:v>
                </c:pt>
                <c:pt idx="133">
                  <c:v>835.06778946880547</c:v>
                </c:pt>
                <c:pt idx="134">
                  <c:v>835.06778946880547</c:v>
                </c:pt>
                <c:pt idx="135">
                  <c:v>835.06778946880547</c:v>
                </c:pt>
                <c:pt idx="136">
                  <c:v>835.06778946880547</c:v>
                </c:pt>
                <c:pt idx="137">
                  <c:v>835.06778946880547</c:v>
                </c:pt>
                <c:pt idx="138">
                  <c:v>835.06778946880547</c:v>
                </c:pt>
                <c:pt idx="139">
                  <c:v>835.06778946880547</c:v>
                </c:pt>
                <c:pt idx="140">
                  <c:v>835.06778946880547</c:v>
                </c:pt>
                <c:pt idx="141">
                  <c:v>835.06778946880547</c:v>
                </c:pt>
                <c:pt idx="142">
                  <c:v>835.06778946880547</c:v>
                </c:pt>
                <c:pt idx="143">
                  <c:v>835.06778946880547</c:v>
                </c:pt>
                <c:pt idx="144">
                  <c:v>835.06778946880547</c:v>
                </c:pt>
                <c:pt idx="145">
                  <c:v>835.06778946880547</c:v>
                </c:pt>
                <c:pt idx="146">
                  <c:v>835.06778946880547</c:v>
                </c:pt>
                <c:pt idx="147">
                  <c:v>835.06778946880547</c:v>
                </c:pt>
                <c:pt idx="148">
                  <c:v>835.06778946880547</c:v>
                </c:pt>
                <c:pt idx="149">
                  <c:v>835.06778946880547</c:v>
                </c:pt>
                <c:pt idx="150">
                  <c:v>835.06778946880547</c:v>
                </c:pt>
                <c:pt idx="151">
                  <c:v>835.06778946880547</c:v>
                </c:pt>
                <c:pt idx="152">
                  <c:v>835.06778946880547</c:v>
                </c:pt>
                <c:pt idx="153">
                  <c:v>835.06778946880547</c:v>
                </c:pt>
                <c:pt idx="154">
                  <c:v>835.06778946880547</c:v>
                </c:pt>
                <c:pt idx="155">
                  <c:v>835.06778946880547</c:v>
                </c:pt>
                <c:pt idx="156">
                  <c:v>835.06778946880547</c:v>
                </c:pt>
                <c:pt idx="157">
                  <c:v>835.06778946880547</c:v>
                </c:pt>
                <c:pt idx="158">
                  <c:v>835.06778946880547</c:v>
                </c:pt>
                <c:pt idx="159">
                  <c:v>835.06778946880547</c:v>
                </c:pt>
                <c:pt idx="160">
                  <c:v>835.06778946880547</c:v>
                </c:pt>
                <c:pt idx="161">
                  <c:v>835.06778946880547</c:v>
                </c:pt>
                <c:pt idx="162">
                  <c:v>835.06778946880547</c:v>
                </c:pt>
                <c:pt idx="163">
                  <c:v>835.06778946880547</c:v>
                </c:pt>
                <c:pt idx="164">
                  <c:v>835.06778946880547</c:v>
                </c:pt>
                <c:pt idx="165">
                  <c:v>835.06778946880547</c:v>
                </c:pt>
                <c:pt idx="166">
                  <c:v>835.06778946880547</c:v>
                </c:pt>
                <c:pt idx="167">
                  <c:v>835.06778946880547</c:v>
                </c:pt>
                <c:pt idx="168">
                  <c:v>835.06778946880547</c:v>
                </c:pt>
                <c:pt idx="169">
                  <c:v>835.06778946880547</c:v>
                </c:pt>
                <c:pt idx="170">
                  <c:v>835.06778946880547</c:v>
                </c:pt>
                <c:pt idx="171">
                  <c:v>835.06778946880547</c:v>
                </c:pt>
                <c:pt idx="172">
                  <c:v>835.06778946880547</c:v>
                </c:pt>
                <c:pt idx="173">
                  <c:v>835.06778946880547</c:v>
                </c:pt>
                <c:pt idx="174">
                  <c:v>835.06778946880547</c:v>
                </c:pt>
                <c:pt idx="175">
                  <c:v>835.06778946880547</c:v>
                </c:pt>
                <c:pt idx="176">
                  <c:v>835.06778946880547</c:v>
                </c:pt>
                <c:pt idx="177">
                  <c:v>835.06778946880547</c:v>
                </c:pt>
                <c:pt idx="178">
                  <c:v>835.06778946880547</c:v>
                </c:pt>
                <c:pt idx="179">
                  <c:v>835.06778946880547</c:v>
                </c:pt>
                <c:pt idx="180">
                  <c:v>835.06778946880547</c:v>
                </c:pt>
                <c:pt idx="181">
                  <c:v>835.06778946880547</c:v>
                </c:pt>
                <c:pt idx="182">
                  <c:v>835.06778946880547</c:v>
                </c:pt>
                <c:pt idx="183">
                  <c:v>835.06778946880547</c:v>
                </c:pt>
                <c:pt idx="184">
                  <c:v>835.06778946880547</c:v>
                </c:pt>
                <c:pt idx="185">
                  <c:v>835.06778946880547</c:v>
                </c:pt>
                <c:pt idx="186">
                  <c:v>835.06778946880547</c:v>
                </c:pt>
                <c:pt idx="187">
                  <c:v>835.06778946880547</c:v>
                </c:pt>
                <c:pt idx="188">
                  <c:v>835.06778946880547</c:v>
                </c:pt>
                <c:pt idx="189">
                  <c:v>835.06778946880547</c:v>
                </c:pt>
                <c:pt idx="190">
                  <c:v>835.06778946880547</c:v>
                </c:pt>
                <c:pt idx="191">
                  <c:v>835.06778946880547</c:v>
                </c:pt>
                <c:pt idx="192">
                  <c:v>835.06778946880547</c:v>
                </c:pt>
                <c:pt idx="193">
                  <c:v>835.06778946880547</c:v>
                </c:pt>
                <c:pt idx="194">
                  <c:v>835.06778946880547</c:v>
                </c:pt>
                <c:pt idx="195">
                  <c:v>835.06778946880547</c:v>
                </c:pt>
                <c:pt idx="196">
                  <c:v>835.06778946880547</c:v>
                </c:pt>
                <c:pt idx="197">
                  <c:v>835.06778946880547</c:v>
                </c:pt>
                <c:pt idx="198">
                  <c:v>835.06778946880547</c:v>
                </c:pt>
                <c:pt idx="199">
                  <c:v>835.06778946880547</c:v>
                </c:pt>
                <c:pt idx="200">
                  <c:v>835.06778946880547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2.594132930874625</c:v>
                </c:pt>
                <c:pt idx="2">
                  <c:v>3.0655593018918794</c:v>
                </c:pt>
                <c:pt idx="3">
                  <c:v>3.6229726275127558</c:v>
                </c:pt>
                <c:pt idx="4">
                  <c:v>4.2821110789162296</c:v>
                </c:pt>
                <c:pt idx="5">
                  <c:v>5.061602713236562</c:v>
                </c:pt>
                <c:pt idx="6">
                  <c:v>5.9834977185614555</c:v>
                </c:pt>
                <c:pt idx="7">
                  <c:v>7.073898957347752</c:v>
                </c:pt>
                <c:pt idx="8">
                  <c:v>8.3637090088965884</c:v>
                </c:pt>
                <c:pt idx="9">
                  <c:v>9.8895152893480418</c:v>
                </c:pt>
                <c:pt idx="10">
                  <c:v>11.694638833681379</c:v>
                </c:pt>
                <c:pt idx="11">
                  <c:v>13.830377075498925</c:v>
                </c:pt>
                <c:pt idx="12">
                  <c:v>16.357476595837191</c:v>
                </c:pt>
                <c:pt idx="13">
                  <c:v>19.347878496730672</c:v>
                </c:pt>
                <c:pt idx="14">
                  <c:v>22.886786984377736</c:v>
                </c:pt>
                <c:pt idx="15">
                  <c:v>27.075121152693075</c:v>
                </c:pt>
                <c:pt idx="16">
                  <c:v>32.032421116321139</c:v>
                </c:pt>
                <c:pt idx="17">
                  <c:v>37.90029287987057</c:v>
                </c:pt>
                <c:pt idx="18">
                  <c:v>44.846492035377821</c:v>
                </c:pt>
                <c:pt idx="19">
                  <c:v>53.069765013562751</c:v>
                </c:pt>
                <c:pt idx="20">
                  <c:v>62.805588723200408</c:v>
                </c:pt>
                <c:pt idx="21">
                  <c:v>79.544350412184983</c:v>
                </c:pt>
                <c:pt idx="22">
                  <c:v>96.193406428466844</c:v>
                </c:pt>
                <c:pt idx="23">
                  <c:v>112.77054987950528</c:v>
                </c:pt>
                <c:pt idx="24">
                  <c:v>129.28787235572034</c:v>
                </c:pt>
                <c:pt idx="25">
                  <c:v>145.75410668135339</c:v>
                </c:pt>
                <c:pt idx="26">
                  <c:v>150.23693675874819</c:v>
                </c:pt>
                <c:pt idx="27">
                  <c:v>167.76494354361137</c:v>
                </c:pt>
                <c:pt idx="28">
                  <c:v>185.24975095506522</c:v>
                </c:pt>
                <c:pt idx="29">
                  <c:v>202.69601208813614</c:v>
                </c:pt>
                <c:pt idx="30">
                  <c:v>220.10751245497332</c:v>
                </c:pt>
                <c:pt idx="31">
                  <c:v>187.10749574697891</c:v>
                </c:pt>
                <c:pt idx="32">
                  <c:v>206.03271564587536</c:v>
                </c:pt>
                <c:pt idx="33">
                  <c:v>224.91775571009896</c:v>
                </c:pt>
                <c:pt idx="34">
                  <c:v>243.76646443655662</c:v>
                </c:pt>
                <c:pt idx="35">
                  <c:v>262.58204610854824</c:v>
                </c:pt>
                <c:pt idx="36">
                  <c:v>230.09538291979393</c:v>
                </c:pt>
                <c:pt idx="37">
                  <c:v>249.3037681780522</c:v>
                </c:pt>
                <c:pt idx="38">
                  <c:v>268.47858881189217</c:v>
                </c:pt>
                <c:pt idx="39">
                  <c:v>287.62257877818189</c:v>
                </c:pt>
                <c:pt idx="40">
                  <c:v>306.73807829258823</c:v>
                </c:pt>
                <c:pt idx="41">
                  <c:v>275.47695163372049</c:v>
                </c:pt>
                <c:pt idx="42">
                  <c:v>295.71325882522711</c:v>
                </c:pt>
                <c:pt idx="43">
                  <c:v>315.9186873454837</c:v>
                </c:pt>
                <c:pt idx="44">
                  <c:v>336.09548909483647</c:v>
                </c:pt>
                <c:pt idx="45">
                  <c:v>356.24562356348298</c:v>
                </c:pt>
                <c:pt idx="46">
                  <c:v>325.0933857428227</c:v>
                </c:pt>
                <c:pt idx="47">
                  <c:v>345.25783856692902</c:v>
                </c:pt>
                <c:pt idx="48">
                  <c:v>365.39643285792204</c:v>
                </c:pt>
                <c:pt idx="49">
                  <c:v>385.51079352962591</c:v>
                </c:pt>
                <c:pt idx="50">
                  <c:v>405.60236216041108</c:v>
                </c:pt>
                <c:pt idx="51">
                  <c:v>374.54223769767958</c:v>
                </c:pt>
                <c:pt idx="52">
                  <c:v>394.64606952207765</c:v>
                </c:pt>
                <c:pt idx="53">
                  <c:v>414.7277120155033</c:v>
                </c:pt>
                <c:pt idx="54">
                  <c:v>434.78839012126599</c:v>
                </c:pt>
                <c:pt idx="55">
                  <c:v>454.82920658695599</c:v>
                </c:pt>
                <c:pt idx="56">
                  <c:v>423.48397302905897</c:v>
                </c:pt>
                <c:pt idx="57">
                  <c:v>443.17145181723475</c:v>
                </c:pt>
                <c:pt idx="58">
                  <c:v>462.8401985900677</c:v>
                </c:pt>
                <c:pt idx="59">
                  <c:v>482.49112087009513</c:v>
                </c:pt>
                <c:pt idx="60">
                  <c:v>502.1250462743144</c:v>
                </c:pt>
                <c:pt idx="61">
                  <c:v>470.12035055146049</c:v>
                </c:pt>
                <c:pt idx="62">
                  <c:v>489.03761244496349</c:v>
                </c:pt>
                <c:pt idx="63">
                  <c:v>507.93935454019061</c:v>
                </c:pt>
                <c:pt idx="64">
                  <c:v>526.82623526820396</c:v>
                </c:pt>
                <c:pt idx="65">
                  <c:v>545.69886203239594</c:v>
                </c:pt>
                <c:pt idx="66">
                  <c:v>513.02571977154435</c:v>
                </c:pt>
                <c:pt idx="67">
                  <c:v>531.18270081556818</c:v>
                </c:pt>
                <c:pt idx="68">
                  <c:v>549.32662698500246</c:v>
                </c:pt>
                <c:pt idx="69">
                  <c:v>567.45798988344666</c:v>
                </c:pt>
                <c:pt idx="70">
                  <c:v>585.57724715974553</c:v>
                </c:pt>
                <c:pt idx="71">
                  <c:v>551.86576328556498</c:v>
                </c:pt>
                <c:pt idx="72">
                  <c:v>568.90797010861979</c:v>
                </c:pt>
                <c:pt idx="73">
                  <c:v>585.93951180923568</c:v>
                </c:pt>
                <c:pt idx="74">
                  <c:v>602.96074183921121</c:v>
                </c:pt>
                <c:pt idx="75">
                  <c:v>619.97199208161771</c:v>
                </c:pt>
                <c:pt idx="76">
                  <c:v>585.21497783974257</c:v>
                </c:pt>
                <c:pt idx="77">
                  <c:v>601.15045270282633</c:v>
                </c:pt>
                <c:pt idx="78">
                  <c:v>617.07715121692206</c:v>
                </c:pt>
                <c:pt idx="79">
                  <c:v>632.99533165913169</c:v>
                </c:pt>
                <c:pt idx="80">
                  <c:v>648.90523826610968</c:v>
                </c:pt>
                <c:pt idx="81">
                  <c:v>613.4582040265019</c:v>
                </c:pt>
                <c:pt idx="82">
                  <c:v>628.65484029812262</c:v>
                </c:pt>
                <c:pt idx="83">
                  <c:v>643.84387841344744</c:v>
                </c:pt>
                <c:pt idx="84">
                  <c:v>659.02552275988899</c:v>
                </c:pt>
                <c:pt idx="85">
                  <c:v>674.19996754655335</c:v>
                </c:pt>
                <c:pt idx="86">
                  <c:v>639.50491644472538</c:v>
                </c:pt>
                <c:pt idx="87">
                  <c:v>653.60434327896314</c:v>
                </c:pt>
                <c:pt idx="88">
                  <c:v>667.69750358645092</c:v>
                </c:pt>
                <c:pt idx="89">
                  <c:v>681.78454819307149</c:v>
                </c:pt>
                <c:pt idx="90">
                  <c:v>695.86562118765903</c:v>
                </c:pt>
                <c:pt idx="91">
                  <c:v>662.63913175881328</c:v>
                </c:pt>
                <c:pt idx="92">
                  <c:v>676.36716853994983</c:v>
                </c:pt>
                <c:pt idx="93">
                  <c:v>690.0894841619787</c:v>
                </c:pt>
                <c:pt idx="94">
                  <c:v>703.80620835021955</c:v>
                </c:pt>
                <c:pt idx="95">
                  <c:v>717.51746536438895</c:v>
                </c:pt>
                <c:pt idx="96">
                  <c:v>685.39564340837808</c:v>
                </c:pt>
                <c:pt idx="97">
                  <c:v>698.39237185117838</c:v>
                </c:pt>
                <c:pt idx="98">
                  <c:v>711.38415005145782</c:v>
                </c:pt>
                <c:pt idx="99">
                  <c:v>724.37108110022928</c:v>
                </c:pt>
                <c:pt idx="100">
                  <c:v>737.35326409283982</c:v>
                </c:pt>
                <c:pt idx="101">
                  <c:v>705.97150402109219</c:v>
                </c:pt>
                <c:pt idx="102">
                  <c:v>717.87821518538203</c:v>
                </c:pt>
                <c:pt idx="103">
                  <c:v>729.7808954807623</c:v>
                </c:pt>
                <c:pt idx="104">
                  <c:v>741.67961988038894</c:v>
                </c:pt>
                <c:pt idx="105">
                  <c:v>753.57446075706082</c:v>
                </c:pt>
                <c:pt idx="106">
                  <c:v>723.64971039145041</c:v>
                </c:pt>
                <c:pt idx="107">
                  <c:v>735.1898925629672</c:v>
                </c:pt>
                <c:pt idx="108">
                  <c:v>746.72638619800034</c:v>
                </c:pt>
                <c:pt idx="109">
                  <c:v>758.25925628282687</c:v>
                </c:pt>
                <c:pt idx="110">
                  <c:v>769.78856566682896</c:v>
                </c:pt>
                <c:pt idx="111">
                  <c:v>740.9585963345786</c:v>
                </c:pt>
                <c:pt idx="112">
                  <c:v>751.77245897300418</c:v>
                </c:pt>
                <c:pt idx="113">
                  <c:v>762.58316126167256</c:v>
                </c:pt>
                <c:pt idx="114">
                  <c:v>773.39075429462173</c:v>
                </c:pt>
                <c:pt idx="115">
                  <c:v>784.19528762222524</c:v>
                </c:pt>
                <c:pt idx="116">
                  <c:v>744.56357158364483</c:v>
                </c:pt>
                <c:pt idx="117">
                  <c:v>744.56357158364483</c:v>
                </c:pt>
                <c:pt idx="118">
                  <c:v>744.56357158364483</c:v>
                </c:pt>
                <c:pt idx="119">
                  <c:v>744.56357158364483</c:v>
                </c:pt>
                <c:pt idx="120">
                  <c:v>744.56357158364483</c:v>
                </c:pt>
                <c:pt idx="121">
                  <c:v>744.56357158364483</c:v>
                </c:pt>
                <c:pt idx="122">
                  <c:v>744.56357158364483</c:v>
                </c:pt>
                <c:pt idx="123">
                  <c:v>744.56357158364483</c:v>
                </c:pt>
                <c:pt idx="124">
                  <c:v>744.56357158364483</c:v>
                </c:pt>
                <c:pt idx="125">
                  <c:v>744.56357158364483</c:v>
                </c:pt>
                <c:pt idx="126">
                  <c:v>744.56357158364483</c:v>
                </c:pt>
                <c:pt idx="127">
                  <c:v>744.56357158364483</c:v>
                </c:pt>
                <c:pt idx="128">
                  <c:v>744.56357158364483</c:v>
                </c:pt>
                <c:pt idx="129">
                  <c:v>744.56357158364483</c:v>
                </c:pt>
                <c:pt idx="130">
                  <c:v>744.56357158364483</c:v>
                </c:pt>
                <c:pt idx="131">
                  <c:v>744.56357158364483</c:v>
                </c:pt>
                <c:pt idx="132">
                  <c:v>744.56357158364483</c:v>
                </c:pt>
                <c:pt idx="133">
                  <c:v>744.56357158364483</c:v>
                </c:pt>
                <c:pt idx="134">
                  <c:v>744.56357158364483</c:v>
                </c:pt>
                <c:pt idx="135">
                  <c:v>744.56357158364483</c:v>
                </c:pt>
                <c:pt idx="136">
                  <c:v>744.56357158364483</c:v>
                </c:pt>
                <c:pt idx="137">
                  <c:v>744.56357158364483</c:v>
                </c:pt>
                <c:pt idx="138">
                  <c:v>744.56357158364483</c:v>
                </c:pt>
                <c:pt idx="139">
                  <c:v>744.56357158364483</c:v>
                </c:pt>
                <c:pt idx="140">
                  <c:v>744.56357158364483</c:v>
                </c:pt>
                <c:pt idx="141">
                  <c:v>744.56357158364483</c:v>
                </c:pt>
                <c:pt idx="142">
                  <c:v>744.56357158364483</c:v>
                </c:pt>
                <c:pt idx="143">
                  <c:v>744.56357158364483</c:v>
                </c:pt>
                <c:pt idx="144">
                  <c:v>744.56357158364483</c:v>
                </c:pt>
                <c:pt idx="145">
                  <c:v>744.56357158364483</c:v>
                </c:pt>
                <c:pt idx="146">
                  <c:v>744.56357158364483</c:v>
                </c:pt>
                <c:pt idx="147">
                  <c:v>744.56357158364483</c:v>
                </c:pt>
                <c:pt idx="148">
                  <c:v>744.56357158364483</c:v>
                </c:pt>
                <c:pt idx="149">
                  <c:v>744.56357158364483</c:v>
                </c:pt>
                <c:pt idx="150">
                  <c:v>744.56357158364483</c:v>
                </c:pt>
                <c:pt idx="151">
                  <c:v>744.56357158364483</c:v>
                </c:pt>
                <c:pt idx="152">
                  <c:v>744.56357158364483</c:v>
                </c:pt>
                <c:pt idx="153">
                  <c:v>744.56357158364483</c:v>
                </c:pt>
                <c:pt idx="154">
                  <c:v>744.56357158364483</c:v>
                </c:pt>
                <c:pt idx="155">
                  <c:v>744.56357158364483</c:v>
                </c:pt>
                <c:pt idx="156">
                  <c:v>744.56357158364483</c:v>
                </c:pt>
                <c:pt idx="157">
                  <c:v>744.56357158364483</c:v>
                </c:pt>
                <c:pt idx="158">
                  <c:v>744.56357158364483</c:v>
                </c:pt>
                <c:pt idx="159">
                  <c:v>744.56357158364483</c:v>
                </c:pt>
                <c:pt idx="160">
                  <c:v>744.56357158364483</c:v>
                </c:pt>
                <c:pt idx="161">
                  <c:v>744.56357158364483</c:v>
                </c:pt>
                <c:pt idx="162">
                  <c:v>744.56357158364483</c:v>
                </c:pt>
                <c:pt idx="163">
                  <c:v>744.56357158364483</c:v>
                </c:pt>
                <c:pt idx="164">
                  <c:v>744.56357158364483</c:v>
                </c:pt>
                <c:pt idx="165">
                  <c:v>744.56357158364483</c:v>
                </c:pt>
                <c:pt idx="166">
                  <c:v>744.56357158364483</c:v>
                </c:pt>
                <c:pt idx="167">
                  <c:v>744.56357158364483</c:v>
                </c:pt>
                <c:pt idx="168">
                  <c:v>744.56357158364483</c:v>
                </c:pt>
                <c:pt idx="169">
                  <c:v>744.56357158364483</c:v>
                </c:pt>
                <c:pt idx="170">
                  <c:v>744.56357158364483</c:v>
                </c:pt>
                <c:pt idx="171">
                  <c:v>744.56357158364483</c:v>
                </c:pt>
                <c:pt idx="172">
                  <c:v>744.56357158364483</c:v>
                </c:pt>
                <c:pt idx="173">
                  <c:v>744.56357158364483</c:v>
                </c:pt>
                <c:pt idx="174">
                  <c:v>744.56357158364483</c:v>
                </c:pt>
                <c:pt idx="175">
                  <c:v>744.56357158364483</c:v>
                </c:pt>
                <c:pt idx="176">
                  <c:v>744.56357158364483</c:v>
                </c:pt>
                <c:pt idx="177">
                  <c:v>744.56357158364483</c:v>
                </c:pt>
                <c:pt idx="178">
                  <c:v>744.56357158364483</c:v>
                </c:pt>
                <c:pt idx="179">
                  <c:v>744.56357158364483</c:v>
                </c:pt>
                <c:pt idx="180">
                  <c:v>744.56357158364483</c:v>
                </c:pt>
                <c:pt idx="181">
                  <c:v>744.56357158364483</c:v>
                </c:pt>
                <c:pt idx="182">
                  <c:v>744.56357158364483</c:v>
                </c:pt>
                <c:pt idx="183">
                  <c:v>744.56357158364483</c:v>
                </c:pt>
                <c:pt idx="184">
                  <c:v>744.56357158364483</c:v>
                </c:pt>
                <c:pt idx="185">
                  <c:v>744.56357158364483</c:v>
                </c:pt>
                <c:pt idx="186">
                  <c:v>744.56357158364483</c:v>
                </c:pt>
                <c:pt idx="187">
                  <c:v>744.56357158364483</c:v>
                </c:pt>
                <c:pt idx="188">
                  <c:v>744.56357158364483</c:v>
                </c:pt>
                <c:pt idx="189">
                  <c:v>744.56357158364483</c:v>
                </c:pt>
                <c:pt idx="190">
                  <c:v>744.56357158364483</c:v>
                </c:pt>
                <c:pt idx="191">
                  <c:v>744.56357158364483</c:v>
                </c:pt>
                <c:pt idx="192">
                  <c:v>744.56357158364483</c:v>
                </c:pt>
                <c:pt idx="193">
                  <c:v>744.56357158364483</c:v>
                </c:pt>
                <c:pt idx="194">
                  <c:v>744.56357158364483</c:v>
                </c:pt>
                <c:pt idx="195">
                  <c:v>744.56357158364483</c:v>
                </c:pt>
                <c:pt idx="196">
                  <c:v>744.56357158364483</c:v>
                </c:pt>
                <c:pt idx="197">
                  <c:v>744.56357158364483</c:v>
                </c:pt>
                <c:pt idx="198">
                  <c:v>744.56357158364483</c:v>
                </c:pt>
                <c:pt idx="199">
                  <c:v>744.56357158364483</c:v>
                </c:pt>
                <c:pt idx="200">
                  <c:v>744.56357158364483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174.86524839501377</c:v>
                </c:pt>
                <c:pt idx="27">
                  <c:v>195.19554735609913</c:v>
                </c:pt>
                <c:pt idx="28">
                  <c:v>215.47663414709197</c:v>
                </c:pt>
                <c:pt idx="29">
                  <c:v>235.71379290964839</c:v>
                </c:pt>
                <c:pt idx="30">
                  <c:v>255.91132536435109</c:v>
                </c:pt>
                <c:pt idx="31">
                  <c:v>226.45787789505599</c:v>
                </c:pt>
                <c:pt idx="32">
                  <c:v>244.96141929271744</c:v>
                </c:pt>
                <c:pt idx="33">
                  <c:v>263.43320731240294</c:v>
                </c:pt>
                <c:pt idx="34">
                  <c:v>281.875781441058</c:v>
                </c:pt>
                <c:pt idx="35">
                  <c:v>300.2913216340458</c:v>
                </c:pt>
                <c:pt idx="36">
                  <c:v>268.90061493982017</c:v>
                </c:pt>
                <c:pt idx="37">
                  <c:v>285.288046348151</c:v>
                </c:pt>
                <c:pt idx="38">
                  <c:v>301.65441391376049</c:v>
                </c:pt>
                <c:pt idx="39">
                  <c:v>318.00102122537902</c:v>
                </c:pt>
                <c:pt idx="40">
                  <c:v>334.32902690172892</c:v>
                </c:pt>
                <c:pt idx="41">
                  <c:v>300.63210759978875</c:v>
                </c:pt>
                <c:pt idx="42">
                  <c:v>314.59704855401981</c:v>
                </c:pt>
                <c:pt idx="43">
                  <c:v>328.54825156463437</c:v>
                </c:pt>
                <c:pt idx="44">
                  <c:v>342.48638220302013</c:v>
                </c:pt>
                <c:pt idx="45">
                  <c:v>356.4120474383385</c:v>
                </c:pt>
                <c:pt idx="46">
                  <c:v>331.26889354954557</c:v>
                </c:pt>
                <c:pt idx="47">
                  <c:v>343.50574897575689</c:v>
                </c:pt>
                <c:pt idx="48">
                  <c:v>355.73302732578964</c:v>
                </c:pt>
                <c:pt idx="49">
                  <c:v>367.95110424042508</c:v>
                </c:pt>
                <c:pt idx="50">
                  <c:v>380.160328372322</c:v>
                </c:pt>
                <c:pt idx="51">
                  <c:v>361.5037994693871</c:v>
                </c:pt>
                <c:pt idx="52">
                  <c:v>371.68262431492622</c:v>
                </c:pt>
                <c:pt idx="53">
                  <c:v>381.85537235272426</c:v>
                </c:pt>
                <c:pt idx="54">
                  <c:v>392.02222835802286</c:v>
                </c:pt>
                <c:pt idx="55">
                  <c:v>402.18336673633195</c:v>
                </c:pt>
                <c:pt idx="56">
                  <c:v>388.97277965128006</c:v>
                </c:pt>
                <c:pt idx="57">
                  <c:v>397.78089798901971</c:v>
                </c:pt>
                <c:pt idx="58">
                  <c:v>406.58479291095313</c:v>
                </c:pt>
                <c:pt idx="59">
                  <c:v>415.384568809923</c:v>
                </c:pt>
                <c:pt idx="60">
                  <c:v>424.18032529272591</c:v>
                </c:pt>
                <c:pt idx="61">
                  <c:v>411.32363915605634</c:v>
                </c:pt>
                <c:pt idx="62">
                  <c:v>418.76802245127936</c:v>
                </c:pt>
                <c:pt idx="63">
                  <c:v>426.20955457884071</c:v>
                </c:pt>
                <c:pt idx="64">
                  <c:v>433.64829237194994</c:v>
                </c:pt>
                <c:pt idx="65">
                  <c:v>441.08429055375751</c:v>
                </c:pt>
                <c:pt idx="66">
                  <c:v>428.91487052918592</c:v>
                </c:pt>
                <c:pt idx="67">
                  <c:v>435.33853059869892</c:v>
                </c:pt>
                <c:pt idx="68">
                  <c:v>441.76015637738465</c:v>
                </c:pt>
                <c:pt idx="69">
                  <c:v>448.17978162908167</c:v>
                </c:pt>
                <c:pt idx="70">
                  <c:v>454.59743907080406</c:v>
                </c:pt>
                <c:pt idx="71">
                  <c:v>443.44972404678083</c:v>
                </c:pt>
                <c:pt idx="72">
                  <c:v>449.1932259604792</c:v>
                </c:pt>
                <c:pt idx="73">
                  <c:v>454.93515661064157</c:v>
                </c:pt>
                <c:pt idx="74">
                  <c:v>460.67553864161067</c:v>
                </c:pt>
                <c:pt idx="75">
                  <c:v>466.41439408694333</c:v>
                </c:pt>
                <c:pt idx="76">
                  <c:v>455.94827709810414</c:v>
                </c:pt>
                <c:pt idx="77">
                  <c:v>460.67553864161067</c:v>
                </c:pt>
                <c:pt idx="78">
                  <c:v>465.40176486435234</c:v>
                </c:pt>
                <c:pt idx="79">
                  <c:v>470.12696777260271</c:v>
                </c:pt>
                <c:pt idx="80">
                  <c:v>474.85115911139536</c:v>
                </c:pt>
                <c:pt idx="81">
                  <c:v>461.35077692036231</c:v>
                </c:pt>
                <c:pt idx="82">
                  <c:v>461.35077692036231</c:v>
                </c:pt>
                <c:pt idx="83">
                  <c:v>461.35077692036231</c:v>
                </c:pt>
                <c:pt idx="84">
                  <c:v>461.35077692036231</c:v>
                </c:pt>
                <c:pt idx="85">
                  <c:v>461.35077692036231</c:v>
                </c:pt>
                <c:pt idx="86">
                  <c:v>461.35077692036231</c:v>
                </c:pt>
                <c:pt idx="87">
                  <c:v>461.35077692036231</c:v>
                </c:pt>
                <c:pt idx="88">
                  <c:v>461.35077692036231</c:v>
                </c:pt>
                <c:pt idx="89">
                  <c:v>461.35077692036231</c:v>
                </c:pt>
                <c:pt idx="90">
                  <c:v>461.35077692036231</c:v>
                </c:pt>
                <c:pt idx="91">
                  <c:v>461.35077692036231</c:v>
                </c:pt>
                <c:pt idx="92">
                  <c:v>461.35077692036231</c:v>
                </c:pt>
                <c:pt idx="93">
                  <c:v>461.35077692036231</c:v>
                </c:pt>
                <c:pt idx="94">
                  <c:v>461.35077692036231</c:v>
                </c:pt>
                <c:pt idx="95">
                  <c:v>461.35077692036231</c:v>
                </c:pt>
                <c:pt idx="96">
                  <c:v>461.35077692036231</c:v>
                </c:pt>
                <c:pt idx="97">
                  <c:v>461.35077692036231</c:v>
                </c:pt>
                <c:pt idx="98">
                  <c:v>461.35077692036231</c:v>
                </c:pt>
                <c:pt idx="99">
                  <c:v>461.35077692036231</c:v>
                </c:pt>
                <c:pt idx="100">
                  <c:v>461.35077692036231</c:v>
                </c:pt>
                <c:pt idx="101">
                  <c:v>461.35077692036231</c:v>
                </c:pt>
                <c:pt idx="102">
                  <c:v>461.35077692036231</c:v>
                </c:pt>
                <c:pt idx="103">
                  <c:v>461.35077692036231</c:v>
                </c:pt>
                <c:pt idx="104">
                  <c:v>461.35077692036231</c:v>
                </c:pt>
                <c:pt idx="105">
                  <c:v>461.35077692036231</c:v>
                </c:pt>
                <c:pt idx="106">
                  <c:v>461.35077692036231</c:v>
                </c:pt>
                <c:pt idx="107">
                  <c:v>461.35077692036231</c:v>
                </c:pt>
                <c:pt idx="108">
                  <c:v>461.35077692036231</c:v>
                </c:pt>
                <c:pt idx="109">
                  <c:v>461.35077692036231</c:v>
                </c:pt>
                <c:pt idx="110">
                  <c:v>461.35077692036231</c:v>
                </c:pt>
                <c:pt idx="111">
                  <c:v>461.35077692036231</c:v>
                </c:pt>
                <c:pt idx="112">
                  <c:v>461.35077692036231</c:v>
                </c:pt>
                <c:pt idx="113">
                  <c:v>461.35077692036231</c:v>
                </c:pt>
                <c:pt idx="114">
                  <c:v>461.35077692036231</c:v>
                </c:pt>
                <c:pt idx="115">
                  <c:v>461.35077692036231</c:v>
                </c:pt>
                <c:pt idx="116">
                  <c:v>461.35077692036231</c:v>
                </c:pt>
                <c:pt idx="117">
                  <c:v>461.35077692036231</c:v>
                </c:pt>
                <c:pt idx="118">
                  <c:v>461.35077692036231</c:v>
                </c:pt>
                <c:pt idx="119">
                  <c:v>461.35077692036231</c:v>
                </c:pt>
                <c:pt idx="120">
                  <c:v>461.35077692036231</c:v>
                </c:pt>
                <c:pt idx="121">
                  <c:v>461.35077692036231</c:v>
                </c:pt>
                <c:pt idx="122">
                  <c:v>461.35077692036231</c:v>
                </c:pt>
                <c:pt idx="123">
                  <c:v>461.35077692036231</c:v>
                </c:pt>
                <c:pt idx="124">
                  <c:v>461.35077692036231</c:v>
                </c:pt>
                <c:pt idx="125">
                  <c:v>461.35077692036231</c:v>
                </c:pt>
                <c:pt idx="126">
                  <c:v>461.35077692036231</c:v>
                </c:pt>
                <c:pt idx="127">
                  <c:v>461.35077692036231</c:v>
                </c:pt>
                <c:pt idx="128">
                  <c:v>461.35077692036231</c:v>
                </c:pt>
                <c:pt idx="129">
                  <c:v>461.35077692036231</c:v>
                </c:pt>
                <c:pt idx="130">
                  <c:v>461.35077692036231</c:v>
                </c:pt>
                <c:pt idx="131">
                  <c:v>461.35077692036231</c:v>
                </c:pt>
                <c:pt idx="132">
                  <c:v>461.35077692036231</c:v>
                </c:pt>
                <c:pt idx="133">
                  <c:v>461.35077692036231</c:v>
                </c:pt>
                <c:pt idx="134">
                  <c:v>461.35077692036231</c:v>
                </c:pt>
                <c:pt idx="135">
                  <c:v>461.35077692036231</c:v>
                </c:pt>
                <c:pt idx="136">
                  <c:v>461.35077692036231</c:v>
                </c:pt>
                <c:pt idx="137">
                  <c:v>461.35077692036231</c:v>
                </c:pt>
                <c:pt idx="138">
                  <c:v>461.35077692036231</c:v>
                </c:pt>
                <c:pt idx="139">
                  <c:v>461.35077692036231</c:v>
                </c:pt>
                <c:pt idx="140">
                  <c:v>461.35077692036231</c:v>
                </c:pt>
                <c:pt idx="141">
                  <c:v>461.35077692036231</c:v>
                </c:pt>
                <c:pt idx="142">
                  <c:v>461.35077692036231</c:v>
                </c:pt>
                <c:pt idx="143">
                  <c:v>461.35077692036231</c:v>
                </c:pt>
                <c:pt idx="144">
                  <c:v>461.35077692036231</c:v>
                </c:pt>
                <c:pt idx="145">
                  <c:v>461.35077692036231</c:v>
                </c:pt>
                <c:pt idx="146">
                  <c:v>461.35077692036231</c:v>
                </c:pt>
                <c:pt idx="147">
                  <c:v>461.35077692036231</c:v>
                </c:pt>
                <c:pt idx="148">
                  <c:v>461.35077692036231</c:v>
                </c:pt>
                <c:pt idx="149">
                  <c:v>461.35077692036231</c:v>
                </c:pt>
                <c:pt idx="150">
                  <c:v>461.35077692036231</c:v>
                </c:pt>
                <c:pt idx="151">
                  <c:v>461.35077692036231</c:v>
                </c:pt>
                <c:pt idx="152">
                  <c:v>461.35077692036231</c:v>
                </c:pt>
                <c:pt idx="153">
                  <c:v>461.35077692036231</c:v>
                </c:pt>
                <c:pt idx="154">
                  <c:v>461.35077692036231</c:v>
                </c:pt>
                <c:pt idx="155">
                  <c:v>461.35077692036231</c:v>
                </c:pt>
                <c:pt idx="156">
                  <c:v>461.35077692036231</c:v>
                </c:pt>
                <c:pt idx="157">
                  <c:v>461.35077692036231</c:v>
                </c:pt>
                <c:pt idx="158">
                  <c:v>461.35077692036231</c:v>
                </c:pt>
                <c:pt idx="159">
                  <c:v>461.35077692036231</c:v>
                </c:pt>
                <c:pt idx="160">
                  <c:v>461.35077692036231</c:v>
                </c:pt>
                <c:pt idx="161">
                  <c:v>461.35077692036231</c:v>
                </c:pt>
                <c:pt idx="162">
                  <c:v>461.35077692036231</c:v>
                </c:pt>
                <c:pt idx="163">
                  <c:v>461.35077692036231</c:v>
                </c:pt>
                <c:pt idx="164">
                  <c:v>461.35077692036231</c:v>
                </c:pt>
                <c:pt idx="165">
                  <c:v>461.35077692036231</c:v>
                </c:pt>
                <c:pt idx="166">
                  <c:v>461.35077692036231</c:v>
                </c:pt>
                <c:pt idx="167">
                  <c:v>461.35077692036231</c:v>
                </c:pt>
                <c:pt idx="168">
                  <c:v>461.35077692036231</c:v>
                </c:pt>
                <c:pt idx="169">
                  <c:v>461.35077692036231</c:v>
                </c:pt>
                <c:pt idx="170">
                  <c:v>461.35077692036231</c:v>
                </c:pt>
                <c:pt idx="171">
                  <c:v>461.35077692036231</c:v>
                </c:pt>
                <c:pt idx="172">
                  <c:v>461.35077692036231</c:v>
                </c:pt>
                <c:pt idx="173">
                  <c:v>461.35077692036231</c:v>
                </c:pt>
                <c:pt idx="174">
                  <c:v>461.35077692036231</c:v>
                </c:pt>
                <c:pt idx="175">
                  <c:v>461.35077692036231</c:v>
                </c:pt>
                <c:pt idx="176">
                  <c:v>461.35077692036231</c:v>
                </c:pt>
                <c:pt idx="177">
                  <c:v>461.35077692036231</c:v>
                </c:pt>
                <c:pt idx="178">
                  <c:v>461.35077692036231</c:v>
                </c:pt>
                <c:pt idx="179">
                  <c:v>461.35077692036231</c:v>
                </c:pt>
                <c:pt idx="180">
                  <c:v>461.35077692036231</c:v>
                </c:pt>
                <c:pt idx="181">
                  <c:v>461.35077692036231</c:v>
                </c:pt>
                <c:pt idx="182">
                  <c:v>461.35077692036231</c:v>
                </c:pt>
                <c:pt idx="183">
                  <c:v>461.35077692036231</c:v>
                </c:pt>
                <c:pt idx="184">
                  <c:v>461.35077692036231</c:v>
                </c:pt>
                <c:pt idx="185">
                  <c:v>461.35077692036231</c:v>
                </c:pt>
                <c:pt idx="186">
                  <c:v>461.35077692036231</c:v>
                </c:pt>
                <c:pt idx="187">
                  <c:v>461.35077692036231</c:v>
                </c:pt>
                <c:pt idx="188">
                  <c:v>461.35077692036231</c:v>
                </c:pt>
                <c:pt idx="189">
                  <c:v>461.35077692036231</c:v>
                </c:pt>
                <c:pt idx="190">
                  <c:v>461.35077692036231</c:v>
                </c:pt>
                <c:pt idx="191">
                  <c:v>461.35077692036231</c:v>
                </c:pt>
                <c:pt idx="192">
                  <c:v>461.35077692036231</c:v>
                </c:pt>
                <c:pt idx="193">
                  <c:v>461.35077692036231</c:v>
                </c:pt>
                <c:pt idx="194">
                  <c:v>461.35077692036231</c:v>
                </c:pt>
                <c:pt idx="195">
                  <c:v>461.35077692036231</c:v>
                </c:pt>
                <c:pt idx="196">
                  <c:v>461.35077692036231</c:v>
                </c:pt>
                <c:pt idx="197">
                  <c:v>461.35077692036231</c:v>
                </c:pt>
                <c:pt idx="198">
                  <c:v>461.35077692036231</c:v>
                </c:pt>
                <c:pt idx="199">
                  <c:v>461.35077692036231</c:v>
                </c:pt>
                <c:pt idx="200">
                  <c:v>461.35077692036231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2.8372965100191574</c:v>
                </c:pt>
                <c:pt idx="2">
                  <c:v>3.2675290170880715</c:v>
                </c:pt>
                <c:pt idx="3">
                  <c:v>3.7632332653186524</c:v>
                </c:pt>
                <c:pt idx="4">
                  <c:v>4.3344061643171941</c:v>
                </c:pt>
                <c:pt idx="5">
                  <c:v>4.9925758662427562</c:v>
                </c:pt>
                <c:pt idx="6">
                  <c:v>5.7510369953448164</c:v>
                </c:pt>
                <c:pt idx="7">
                  <c:v>6.6251221111955241</c:v>
                </c:pt>
                <c:pt idx="8">
                  <c:v>7.6325150007580858</c:v>
                </c:pt>
                <c:pt idx="9">
                  <c:v>8.793612260386805</c:v>
                </c:pt>
                <c:pt idx="10">
                  <c:v>10.131940629108104</c:v>
                </c:pt>
                <c:pt idx="11">
                  <c:v>11.674638689952936</c:v>
                </c:pt>
                <c:pt idx="12">
                  <c:v>13.453012890814385</c:v>
                </c:pt>
                <c:pt idx="13">
                  <c:v>15.503179378159826</c:v>
                </c:pt>
                <c:pt idx="14">
                  <c:v>17.866804918142723</c:v>
                </c:pt>
                <c:pt idx="15">
                  <c:v>20.591962237461122</c:v>
                </c:pt>
                <c:pt idx="16">
                  <c:v>41.647246916647511</c:v>
                </c:pt>
                <c:pt idx="17">
                  <c:v>62.403106521547244</c:v>
                </c:pt>
                <c:pt idx="18">
                  <c:v>82.977111558343836</c:v>
                </c:pt>
                <c:pt idx="19">
                  <c:v>103.4214001190029</c:v>
                </c:pt>
                <c:pt idx="20">
                  <c:v>123.76541488391672</c:v>
                </c:pt>
                <c:pt idx="21">
                  <c:v>100.44673773222355</c:v>
                </c:pt>
                <c:pt idx="22">
                  <c:v>121.65031129405757</c:v>
                </c:pt>
                <c:pt idx="23">
                  <c:v>142.7637263488671</c:v>
                </c:pt>
                <c:pt idx="24">
                  <c:v>163.80222667670475</c:v>
                </c:pt>
                <c:pt idx="25">
                  <c:v>184.77680113399015</c:v>
                </c:pt>
                <c:pt idx="26">
                  <c:v>161.28116902339272</c:v>
                </c:pt>
                <c:pt idx="27">
                  <c:v>181.84387743661713</c:v>
                </c:pt>
                <c:pt idx="28">
                  <c:v>202.35215859739671</c:v>
                </c:pt>
                <c:pt idx="29">
                  <c:v>222.81230638924697</c:v>
                </c:pt>
                <c:pt idx="30">
                  <c:v>243.22936272178819</c:v>
                </c:pt>
                <c:pt idx="31">
                  <c:v>217.38849228051944</c:v>
                </c:pt>
                <c:pt idx="32">
                  <c:v>235.31737948255318</c:v>
                </c:pt>
                <c:pt idx="33">
                  <c:v>253.21510971702909</c:v>
                </c:pt>
                <c:pt idx="34">
                  <c:v>271.08419496001181</c:v>
                </c:pt>
                <c:pt idx="35">
                  <c:v>288.92678885992694</c:v>
                </c:pt>
                <c:pt idx="36">
                  <c:v>261.11414922946938</c:v>
                </c:pt>
                <c:pt idx="37">
                  <c:v>276.89622424264059</c:v>
                </c:pt>
                <c:pt idx="38">
                  <c:v>292.65811116959617</c:v>
                </c:pt>
                <c:pt idx="39">
                  <c:v>308.40105034381332</c:v>
                </c:pt>
                <c:pt idx="40">
                  <c:v>324.12614511182915</c:v>
                </c:pt>
                <c:pt idx="41">
                  <c:v>293.90164845238678</c:v>
                </c:pt>
                <c:pt idx="42">
                  <c:v>307.15884915049543</c:v>
                </c:pt>
                <c:pt idx="43">
                  <c:v>320.40333904330771</c:v>
                </c:pt>
                <c:pt idx="44">
                  <c:v>333.63571766825368</c:v>
                </c:pt>
                <c:pt idx="45">
                  <c:v>346.85653311367014</c:v>
                </c:pt>
                <c:pt idx="46">
                  <c:v>321.23071159819352</c:v>
                </c:pt>
                <c:pt idx="47">
                  <c:v>332.80903821711701</c:v>
                </c:pt>
                <c:pt idx="48">
                  <c:v>344.37848728901128</c:v>
                </c:pt>
                <c:pt idx="49">
                  <c:v>355.93939918394886</c:v>
                </c:pt>
                <c:pt idx="50">
                  <c:v>367.49209034996011</c:v>
                </c:pt>
                <c:pt idx="51">
                  <c:v>350.57287397635605</c:v>
                </c:pt>
                <c:pt idx="52">
                  <c:v>360.478920048117</c:v>
                </c:pt>
                <c:pt idx="53">
                  <c:v>370.37901365578296</c:v>
                </c:pt>
                <c:pt idx="54">
                  <c:v>380.27333641219064</c:v>
                </c:pt>
                <c:pt idx="55">
                  <c:v>390.16205970401296</c:v>
                </c:pt>
                <c:pt idx="56">
                  <c:v>375.7391436687796</c:v>
                </c:pt>
                <c:pt idx="57">
                  <c:v>383.98225493635573</c:v>
                </c:pt>
                <c:pt idx="58">
                  <c:v>392.22152076799483</c:v>
                </c:pt>
                <c:pt idx="59">
                  <c:v>400.45703338613856</c:v>
                </c:pt>
                <c:pt idx="60">
                  <c:v>408.68888090830461</c:v>
                </c:pt>
                <c:pt idx="61">
                  <c:v>397.16327299620599</c:v>
                </c:pt>
                <c:pt idx="62">
                  <c:v>404.16181319978608</c:v>
                </c:pt>
                <c:pt idx="63">
                  <c:v>411.15773316674648</c:v>
                </c:pt>
                <c:pt idx="64">
                  <c:v>418.15108380244948</c:v>
                </c:pt>
                <c:pt idx="65">
                  <c:v>425.1419141693994</c:v>
                </c:pt>
                <c:pt idx="66">
                  <c:v>414.86041216554025</c:v>
                </c:pt>
                <c:pt idx="67">
                  <c:v>421.02996350009448</c:v>
                </c:pt>
                <c:pt idx="68">
                  <c:v>427.19756804132595</c:v>
                </c:pt>
                <c:pt idx="69">
                  <c:v>433.36325788318965</c:v>
                </c:pt>
                <c:pt idx="70">
                  <c:v>439.52706413119489</c:v>
                </c:pt>
                <c:pt idx="71">
                  <c:v>428.43085817632613</c:v>
                </c:pt>
                <c:pt idx="72">
                  <c:v>433.77423656183169</c:v>
                </c:pt>
                <c:pt idx="73">
                  <c:v>439.11620170572928</c:v>
                </c:pt>
                <c:pt idx="74">
                  <c:v>444.45677324103218</c:v>
                </c:pt>
                <c:pt idx="75">
                  <c:v>449.79597029004367</c:v>
                </c:pt>
                <c:pt idx="76">
                  <c:v>440.34876427948035</c:v>
                </c:pt>
                <c:pt idx="77">
                  <c:v>445.27827716326118</c:v>
                </c:pt>
                <c:pt idx="78">
                  <c:v>450.20662136139322</c:v>
                </c:pt>
                <c:pt idx="79">
                  <c:v>455.13381148368143</c:v>
                </c:pt>
                <c:pt idx="80">
                  <c:v>460.05986179752421</c:v>
                </c:pt>
                <c:pt idx="81">
                  <c:v>447.74259442675481</c:v>
                </c:pt>
                <c:pt idx="82">
                  <c:v>447.74259442675481</c:v>
                </c:pt>
                <c:pt idx="83">
                  <c:v>447.74259442675481</c:v>
                </c:pt>
                <c:pt idx="84">
                  <c:v>447.74259442675481</c:v>
                </c:pt>
                <c:pt idx="85">
                  <c:v>447.74259442675481</c:v>
                </c:pt>
                <c:pt idx="86">
                  <c:v>447.74259442675481</c:v>
                </c:pt>
                <c:pt idx="87">
                  <c:v>447.74259442675481</c:v>
                </c:pt>
                <c:pt idx="88">
                  <c:v>447.74259442675481</c:v>
                </c:pt>
                <c:pt idx="89">
                  <c:v>447.74259442675481</c:v>
                </c:pt>
                <c:pt idx="90">
                  <c:v>447.74259442675481</c:v>
                </c:pt>
                <c:pt idx="91">
                  <c:v>447.74259442675481</c:v>
                </c:pt>
                <c:pt idx="92">
                  <c:v>447.74259442675481</c:v>
                </c:pt>
                <c:pt idx="93">
                  <c:v>447.74259442675481</c:v>
                </c:pt>
                <c:pt idx="94">
                  <c:v>447.74259442675481</c:v>
                </c:pt>
                <c:pt idx="95">
                  <c:v>447.74259442675481</c:v>
                </c:pt>
                <c:pt idx="96">
                  <c:v>447.74259442675481</c:v>
                </c:pt>
                <c:pt idx="97">
                  <c:v>447.74259442675481</c:v>
                </c:pt>
                <c:pt idx="98">
                  <c:v>447.74259442675481</c:v>
                </c:pt>
                <c:pt idx="99">
                  <c:v>447.74259442675481</c:v>
                </c:pt>
                <c:pt idx="100">
                  <c:v>447.74259442675481</c:v>
                </c:pt>
                <c:pt idx="101">
                  <c:v>447.74259442675481</c:v>
                </c:pt>
                <c:pt idx="102">
                  <c:v>447.74259442675481</c:v>
                </c:pt>
                <c:pt idx="103">
                  <c:v>447.74259442675481</c:v>
                </c:pt>
                <c:pt idx="104">
                  <c:v>447.74259442675481</c:v>
                </c:pt>
                <c:pt idx="105">
                  <c:v>447.74259442675481</c:v>
                </c:pt>
                <c:pt idx="106">
                  <c:v>447.74259442675481</c:v>
                </c:pt>
                <c:pt idx="107">
                  <c:v>447.74259442675481</c:v>
                </c:pt>
                <c:pt idx="108">
                  <c:v>447.74259442675481</c:v>
                </c:pt>
                <c:pt idx="109">
                  <c:v>447.74259442675481</c:v>
                </c:pt>
                <c:pt idx="110">
                  <c:v>447.74259442675481</c:v>
                </c:pt>
                <c:pt idx="111">
                  <c:v>447.74259442675481</c:v>
                </c:pt>
                <c:pt idx="112">
                  <c:v>447.74259442675481</c:v>
                </c:pt>
                <c:pt idx="113">
                  <c:v>447.74259442675481</c:v>
                </c:pt>
                <c:pt idx="114">
                  <c:v>447.74259442675481</c:v>
                </c:pt>
                <c:pt idx="115">
                  <c:v>447.74259442675481</c:v>
                </c:pt>
                <c:pt idx="116">
                  <c:v>447.74259442675481</c:v>
                </c:pt>
                <c:pt idx="117">
                  <c:v>447.74259442675481</c:v>
                </c:pt>
                <c:pt idx="118">
                  <c:v>447.74259442675481</c:v>
                </c:pt>
                <c:pt idx="119">
                  <c:v>447.74259442675481</c:v>
                </c:pt>
                <c:pt idx="120">
                  <c:v>447.74259442675481</c:v>
                </c:pt>
                <c:pt idx="121">
                  <c:v>447.74259442675481</c:v>
                </c:pt>
                <c:pt idx="122">
                  <c:v>447.74259442675481</c:v>
                </c:pt>
                <c:pt idx="123">
                  <c:v>447.74259442675481</c:v>
                </c:pt>
                <c:pt idx="124">
                  <c:v>447.74259442675481</c:v>
                </c:pt>
                <c:pt idx="125">
                  <c:v>447.74259442675481</c:v>
                </c:pt>
                <c:pt idx="126">
                  <c:v>447.74259442675481</c:v>
                </c:pt>
                <c:pt idx="127">
                  <c:v>447.74259442675481</c:v>
                </c:pt>
                <c:pt idx="128">
                  <c:v>447.74259442675481</c:v>
                </c:pt>
                <c:pt idx="129">
                  <c:v>447.74259442675481</c:v>
                </c:pt>
                <c:pt idx="130">
                  <c:v>447.74259442675481</c:v>
                </c:pt>
                <c:pt idx="131">
                  <c:v>447.74259442675481</c:v>
                </c:pt>
                <c:pt idx="132">
                  <c:v>447.74259442675481</c:v>
                </c:pt>
                <c:pt idx="133">
                  <c:v>447.74259442675481</c:v>
                </c:pt>
                <c:pt idx="134">
                  <c:v>447.74259442675481</c:v>
                </c:pt>
                <c:pt idx="135">
                  <c:v>447.74259442675481</c:v>
                </c:pt>
                <c:pt idx="136">
                  <c:v>447.74259442675481</c:v>
                </c:pt>
                <c:pt idx="137">
                  <c:v>447.74259442675481</c:v>
                </c:pt>
                <c:pt idx="138">
                  <c:v>447.74259442675481</c:v>
                </c:pt>
                <c:pt idx="139">
                  <c:v>447.74259442675481</c:v>
                </c:pt>
                <c:pt idx="140">
                  <c:v>447.74259442675481</c:v>
                </c:pt>
                <c:pt idx="141">
                  <c:v>447.74259442675481</c:v>
                </c:pt>
                <c:pt idx="142">
                  <c:v>447.74259442675481</c:v>
                </c:pt>
                <c:pt idx="143">
                  <c:v>447.74259442675481</c:v>
                </c:pt>
                <c:pt idx="144">
                  <c:v>447.74259442675481</c:v>
                </c:pt>
                <c:pt idx="145">
                  <c:v>447.74259442675481</c:v>
                </c:pt>
                <c:pt idx="146">
                  <c:v>447.74259442675481</c:v>
                </c:pt>
                <c:pt idx="147">
                  <c:v>447.74259442675481</c:v>
                </c:pt>
                <c:pt idx="148">
                  <c:v>447.74259442675481</c:v>
                </c:pt>
                <c:pt idx="149">
                  <c:v>447.74259442675481</c:v>
                </c:pt>
                <c:pt idx="150">
                  <c:v>447.74259442675481</c:v>
                </c:pt>
                <c:pt idx="151">
                  <c:v>447.74259442675481</c:v>
                </c:pt>
                <c:pt idx="152">
                  <c:v>447.74259442675481</c:v>
                </c:pt>
                <c:pt idx="153">
                  <c:v>447.74259442675481</c:v>
                </c:pt>
                <c:pt idx="154">
                  <c:v>447.74259442675481</c:v>
                </c:pt>
                <c:pt idx="155">
                  <c:v>447.74259442675481</c:v>
                </c:pt>
                <c:pt idx="156">
                  <c:v>447.74259442675481</c:v>
                </c:pt>
                <c:pt idx="157">
                  <c:v>447.74259442675481</c:v>
                </c:pt>
                <c:pt idx="158">
                  <c:v>447.74259442675481</c:v>
                </c:pt>
                <c:pt idx="159">
                  <c:v>447.74259442675481</c:v>
                </c:pt>
                <c:pt idx="160">
                  <c:v>447.74259442675481</c:v>
                </c:pt>
                <c:pt idx="161">
                  <c:v>447.74259442675481</c:v>
                </c:pt>
                <c:pt idx="162">
                  <c:v>447.74259442675481</c:v>
                </c:pt>
                <c:pt idx="163">
                  <c:v>447.74259442675481</c:v>
                </c:pt>
                <c:pt idx="164">
                  <c:v>447.74259442675481</c:v>
                </c:pt>
                <c:pt idx="165">
                  <c:v>447.74259442675481</c:v>
                </c:pt>
                <c:pt idx="166">
                  <c:v>447.74259442675481</c:v>
                </c:pt>
                <c:pt idx="167">
                  <c:v>447.74259442675481</c:v>
                </c:pt>
                <c:pt idx="168">
                  <c:v>447.74259442675481</c:v>
                </c:pt>
                <c:pt idx="169">
                  <c:v>447.74259442675481</c:v>
                </c:pt>
                <c:pt idx="170">
                  <c:v>447.74259442675481</c:v>
                </c:pt>
                <c:pt idx="171">
                  <c:v>447.74259442675481</c:v>
                </c:pt>
                <c:pt idx="172">
                  <c:v>447.74259442675481</c:v>
                </c:pt>
                <c:pt idx="173">
                  <c:v>447.74259442675481</c:v>
                </c:pt>
                <c:pt idx="174">
                  <c:v>447.74259442675481</c:v>
                </c:pt>
                <c:pt idx="175">
                  <c:v>447.74259442675481</c:v>
                </c:pt>
                <c:pt idx="176">
                  <c:v>447.74259442675481</c:v>
                </c:pt>
                <c:pt idx="177">
                  <c:v>447.74259442675481</c:v>
                </c:pt>
                <c:pt idx="178">
                  <c:v>447.74259442675481</c:v>
                </c:pt>
                <c:pt idx="179">
                  <c:v>447.74259442675481</c:v>
                </c:pt>
                <c:pt idx="180">
                  <c:v>447.74259442675481</c:v>
                </c:pt>
                <c:pt idx="181">
                  <c:v>447.74259442675481</c:v>
                </c:pt>
                <c:pt idx="182">
                  <c:v>447.74259442675481</c:v>
                </c:pt>
                <c:pt idx="183">
                  <c:v>447.74259442675481</c:v>
                </c:pt>
                <c:pt idx="184">
                  <c:v>447.74259442675481</c:v>
                </c:pt>
                <c:pt idx="185">
                  <c:v>447.74259442675481</c:v>
                </c:pt>
                <c:pt idx="186">
                  <c:v>447.74259442675481</c:v>
                </c:pt>
                <c:pt idx="187">
                  <c:v>447.74259442675481</c:v>
                </c:pt>
                <c:pt idx="188">
                  <c:v>447.74259442675481</c:v>
                </c:pt>
                <c:pt idx="189">
                  <c:v>447.74259442675481</c:v>
                </c:pt>
                <c:pt idx="190">
                  <c:v>447.74259442675481</c:v>
                </c:pt>
                <c:pt idx="191">
                  <c:v>447.74259442675481</c:v>
                </c:pt>
                <c:pt idx="192">
                  <c:v>447.74259442675481</c:v>
                </c:pt>
                <c:pt idx="193">
                  <c:v>447.74259442675481</c:v>
                </c:pt>
                <c:pt idx="194">
                  <c:v>447.74259442675481</c:v>
                </c:pt>
                <c:pt idx="195">
                  <c:v>447.74259442675481</c:v>
                </c:pt>
                <c:pt idx="196">
                  <c:v>447.74259442675481</c:v>
                </c:pt>
                <c:pt idx="197">
                  <c:v>447.74259442675481</c:v>
                </c:pt>
                <c:pt idx="198">
                  <c:v>447.74259442675481</c:v>
                </c:pt>
                <c:pt idx="199">
                  <c:v>447.74259442675481</c:v>
                </c:pt>
                <c:pt idx="200">
                  <c:v>447.74259442675481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2.3808965943350775</c:v>
                </c:pt>
                <c:pt idx="2">
                  <c:v>2.8304638911002047</c:v>
                </c:pt>
                <c:pt idx="3">
                  <c:v>3.3652355657623452</c:v>
                </c:pt>
                <c:pt idx="4">
                  <c:v>4.0014165674856983</c:v>
                </c:pt>
                <c:pt idx="5">
                  <c:v>4.7583039425111266</c:v>
                </c:pt>
                <c:pt idx="6">
                  <c:v>5.6588786371580904</c:v>
                </c:pt>
                <c:pt idx="7">
                  <c:v>6.730510885177341</c:v>
                </c:pt>
                <c:pt idx="8">
                  <c:v>8.0058010357886271</c:v>
                </c:pt>
                <c:pt idx="9">
                  <c:v>9.5235818943119295</c:v>
                </c:pt>
                <c:pt idx="10">
                  <c:v>11.330113677699131</c:v>
                </c:pt>
                <c:pt idx="11">
                  <c:v>13.480508690297002</c:v>
                </c:pt>
                <c:pt idx="12">
                  <c:v>16.040429989236795</c:v>
                </c:pt>
                <c:pt idx="13">
                  <c:v>19.088116858927716</c:v>
                </c:pt>
                <c:pt idx="14">
                  <c:v>22.716800118875877</c:v>
                </c:pt>
                <c:pt idx="15">
                  <c:v>27.037582469258226</c:v>
                </c:pt>
                <c:pt idx="16">
                  <c:v>32.182873617451598</c:v>
                </c:pt>
                <c:pt idx="17">
                  <c:v>38.310487283562729</c:v>
                </c:pt>
                <c:pt idx="18">
                  <c:v>45.608527900325306</c:v>
                </c:pt>
                <c:pt idx="19">
                  <c:v>54.301219555108467</c:v>
                </c:pt>
                <c:pt idx="20">
                  <c:v>64.655859248643353</c:v>
                </c:pt>
                <c:pt idx="21">
                  <c:v>76.991111797384278</c:v>
                </c:pt>
                <c:pt idx="22">
                  <c:v>91.686905796172638</c:v>
                </c:pt>
                <c:pt idx="23">
                  <c:v>109.19624031334928</c:v>
                </c:pt>
                <c:pt idx="24">
                  <c:v>130.05927199835185</c:v>
                </c:pt>
                <c:pt idx="25">
                  <c:v>154.92012393757065</c:v>
                </c:pt>
                <c:pt idx="26">
                  <c:v>131.46799611812648</c:v>
                </c:pt>
                <c:pt idx="27">
                  <c:v>155.59856479059454</c:v>
                </c:pt>
                <c:pt idx="28">
                  <c:v>179.64007820340893</c:v>
                </c:pt>
                <c:pt idx="29">
                  <c:v>203.60614736350442</c:v>
                </c:pt>
                <c:pt idx="30">
                  <c:v>227.50690659831915</c:v>
                </c:pt>
                <c:pt idx="31">
                  <c:v>208.99762497430493</c:v>
                </c:pt>
                <c:pt idx="32">
                  <c:v>230.86843461387113</c:v>
                </c:pt>
                <c:pt idx="33">
                  <c:v>252.69188827494614</c:v>
                </c:pt>
                <c:pt idx="34">
                  <c:v>274.47265011228387</c:v>
                </c:pt>
                <c:pt idx="35">
                  <c:v>296.21458319381429</c:v>
                </c:pt>
                <c:pt idx="36">
                  <c:v>271.79410793232609</c:v>
                </c:pt>
                <c:pt idx="37">
                  <c:v>292.53776259751834</c:v>
                </c:pt>
                <c:pt idx="38">
                  <c:v>313.24858309709026</c:v>
                </c:pt>
                <c:pt idx="39">
                  <c:v>333.92904467751276</c:v>
                </c:pt>
                <c:pt idx="40">
                  <c:v>354.58129100924572</c:v>
                </c:pt>
                <c:pt idx="41">
                  <c:v>320.25654220272645</c:v>
                </c:pt>
                <c:pt idx="42">
                  <c:v>339.26127825812586</c:v>
                </c:pt>
                <c:pt idx="43">
                  <c:v>358.24259793484339</c:v>
                </c:pt>
                <c:pt idx="44">
                  <c:v>377.20191598007665</c:v>
                </c:pt>
                <c:pt idx="45">
                  <c:v>396.14049335867753</c:v>
                </c:pt>
                <c:pt idx="46">
                  <c:v>361.57034788194915</c:v>
                </c:pt>
                <c:pt idx="47">
                  <c:v>378.53160178526809</c:v>
                </c:pt>
                <c:pt idx="48">
                  <c:v>395.47632010043407</c:v>
                </c:pt>
                <c:pt idx="49">
                  <c:v>412.40531081802777</c:v>
                </c:pt>
                <c:pt idx="50">
                  <c:v>429.31931020102024</c:v>
                </c:pt>
                <c:pt idx="51">
                  <c:v>393.15152299039391</c:v>
                </c:pt>
                <c:pt idx="52">
                  <c:v>406.764014604328</c:v>
                </c:pt>
                <c:pt idx="53">
                  <c:v>420.36666487334452</c:v>
                </c:pt>
                <c:pt idx="54">
                  <c:v>433.95983709455049</c:v>
                </c:pt>
                <c:pt idx="55">
                  <c:v>447.5438699506708</c:v>
                </c:pt>
                <c:pt idx="56">
                  <c:v>410.08262729650642</c:v>
                </c:pt>
                <c:pt idx="57">
                  <c:v>422.35649327036077</c:v>
                </c:pt>
                <c:pt idx="58">
                  <c:v>434.62268223024995</c:v>
                </c:pt>
                <c:pt idx="59">
                  <c:v>446.88144138120293</c:v>
                </c:pt>
                <c:pt idx="60">
                  <c:v>459.1330032591132</c:v>
                </c:pt>
                <c:pt idx="61">
                  <c:v>425.00928400602908</c:v>
                </c:pt>
                <c:pt idx="62">
                  <c:v>435.61690924842759</c:v>
                </c:pt>
                <c:pt idx="63">
                  <c:v>446.21899178570357</c:v>
                </c:pt>
                <c:pt idx="64">
                  <c:v>456.81568190014019</c:v>
                </c:pt>
                <c:pt idx="65">
                  <c:v>467.40712233198559</c:v>
                </c:pt>
                <c:pt idx="66">
                  <c:v>434.29126237791075</c:v>
                </c:pt>
                <c:pt idx="67">
                  <c:v>444.23151648566937</c:v>
                </c:pt>
                <c:pt idx="68">
                  <c:v>454.16700698147952</c:v>
                </c:pt>
                <c:pt idx="69">
                  <c:v>464.09785279227236</c:v>
                </c:pt>
                <c:pt idx="70">
                  <c:v>474.02416733906375</c:v>
                </c:pt>
                <c:pt idx="71">
                  <c:v>449.53102985794334</c:v>
                </c:pt>
                <c:pt idx="72">
                  <c:v>458.13989619719513</c:v>
                </c:pt>
                <c:pt idx="73">
                  <c:v>466.74530850225307</c:v>
                </c:pt>
                <c:pt idx="74">
                  <c:v>475.34733945827821</c:v>
                </c:pt>
                <c:pt idx="75">
                  <c:v>483.94605890429199</c:v>
                </c:pt>
                <c:pt idx="76">
                  <c:v>483.94605890429199</c:v>
                </c:pt>
                <c:pt idx="77">
                  <c:v>483.94605890429199</c:v>
                </c:pt>
                <c:pt idx="78">
                  <c:v>483.94605890429199</c:v>
                </c:pt>
                <c:pt idx="79">
                  <c:v>483.94605890429199</c:v>
                </c:pt>
                <c:pt idx="80">
                  <c:v>483.94605890429199</c:v>
                </c:pt>
                <c:pt idx="81">
                  <c:v>483.94605890429199</c:v>
                </c:pt>
                <c:pt idx="82">
                  <c:v>483.94605890429199</c:v>
                </c:pt>
                <c:pt idx="83">
                  <c:v>483.94605890429199</c:v>
                </c:pt>
                <c:pt idx="84">
                  <c:v>483.94605890429199</c:v>
                </c:pt>
                <c:pt idx="85">
                  <c:v>483.94605890429199</c:v>
                </c:pt>
                <c:pt idx="86">
                  <c:v>483.94605890429199</c:v>
                </c:pt>
                <c:pt idx="87">
                  <c:v>483.94605890429199</c:v>
                </c:pt>
                <c:pt idx="88">
                  <c:v>483.94605890429199</c:v>
                </c:pt>
                <c:pt idx="89">
                  <c:v>483.94605890429199</c:v>
                </c:pt>
                <c:pt idx="90">
                  <c:v>483.94605890429199</c:v>
                </c:pt>
                <c:pt idx="91">
                  <c:v>483.94605890429199</c:v>
                </c:pt>
                <c:pt idx="92">
                  <c:v>483.94605890429199</c:v>
                </c:pt>
                <c:pt idx="93">
                  <c:v>483.94605890429199</c:v>
                </c:pt>
                <c:pt idx="94">
                  <c:v>483.94605890429199</c:v>
                </c:pt>
                <c:pt idx="95">
                  <c:v>483.94605890429199</c:v>
                </c:pt>
                <c:pt idx="96">
                  <c:v>483.94605890429199</c:v>
                </c:pt>
                <c:pt idx="97">
                  <c:v>483.94605890429199</c:v>
                </c:pt>
                <c:pt idx="98">
                  <c:v>483.94605890429199</c:v>
                </c:pt>
                <c:pt idx="99">
                  <c:v>483.94605890429199</c:v>
                </c:pt>
                <c:pt idx="100">
                  <c:v>483.94605890429199</c:v>
                </c:pt>
                <c:pt idx="101">
                  <c:v>483.94605890429199</c:v>
                </c:pt>
                <c:pt idx="102">
                  <c:v>483.94605890429199</c:v>
                </c:pt>
                <c:pt idx="103">
                  <c:v>483.94605890429199</c:v>
                </c:pt>
                <c:pt idx="104">
                  <c:v>483.94605890429199</c:v>
                </c:pt>
                <c:pt idx="105">
                  <c:v>483.94605890429199</c:v>
                </c:pt>
                <c:pt idx="106">
                  <c:v>483.94605890429199</c:v>
                </c:pt>
                <c:pt idx="107">
                  <c:v>483.94605890429199</c:v>
                </c:pt>
                <c:pt idx="108">
                  <c:v>483.94605890429199</c:v>
                </c:pt>
                <c:pt idx="109">
                  <c:v>483.94605890429199</c:v>
                </c:pt>
                <c:pt idx="110">
                  <c:v>483.94605890429199</c:v>
                </c:pt>
                <c:pt idx="111">
                  <c:v>483.94605890429199</c:v>
                </c:pt>
                <c:pt idx="112">
                  <c:v>483.94605890429199</c:v>
                </c:pt>
                <c:pt idx="113">
                  <c:v>483.94605890429199</c:v>
                </c:pt>
                <c:pt idx="114">
                  <c:v>483.94605890429199</c:v>
                </c:pt>
                <c:pt idx="115">
                  <c:v>483.94605890429199</c:v>
                </c:pt>
                <c:pt idx="116">
                  <c:v>483.94605890429199</c:v>
                </c:pt>
                <c:pt idx="117">
                  <c:v>483.94605890429199</c:v>
                </c:pt>
                <c:pt idx="118">
                  <c:v>483.94605890429199</c:v>
                </c:pt>
                <c:pt idx="119">
                  <c:v>483.94605890429199</c:v>
                </c:pt>
                <c:pt idx="120">
                  <c:v>483.94605890429199</c:v>
                </c:pt>
                <c:pt idx="121">
                  <c:v>483.94605890429199</c:v>
                </c:pt>
                <c:pt idx="122">
                  <c:v>483.94605890429199</c:v>
                </c:pt>
                <c:pt idx="123">
                  <c:v>483.94605890429199</c:v>
                </c:pt>
                <c:pt idx="124">
                  <c:v>483.94605890429199</c:v>
                </c:pt>
                <c:pt idx="125">
                  <c:v>483.94605890429199</c:v>
                </c:pt>
                <c:pt idx="126">
                  <c:v>483.94605890429199</c:v>
                </c:pt>
                <c:pt idx="127">
                  <c:v>483.94605890429199</c:v>
                </c:pt>
                <c:pt idx="128">
                  <c:v>483.94605890429199</c:v>
                </c:pt>
                <c:pt idx="129">
                  <c:v>483.94605890429199</c:v>
                </c:pt>
                <c:pt idx="130">
                  <c:v>483.94605890429199</c:v>
                </c:pt>
                <c:pt idx="131">
                  <c:v>483.94605890429199</c:v>
                </c:pt>
                <c:pt idx="132">
                  <c:v>483.94605890429199</c:v>
                </c:pt>
                <c:pt idx="133">
                  <c:v>483.94605890429199</c:v>
                </c:pt>
                <c:pt idx="134">
                  <c:v>483.94605890429199</c:v>
                </c:pt>
                <c:pt idx="135">
                  <c:v>483.94605890429199</c:v>
                </c:pt>
                <c:pt idx="136">
                  <c:v>483.94605890429199</c:v>
                </c:pt>
                <c:pt idx="137">
                  <c:v>483.94605890429199</c:v>
                </c:pt>
                <c:pt idx="138">
                  <c:v>483.94605890429199</c:v>
                </c:pt>
                <c:pt idx="139">
                  <c:v>483.94605890429199</c:v>
                </c:pt>
                <c:pt idx="140">
                  <c:v>483.94605890429199</c:v>
                </c:pt>
                <c:pt idx="141">
                  <c:v>483.94605890429199</c:v>
                </c:pt>
                <c:pt idx="142">
                  <c:v>483.94605890429199</c:v>
                </c:pt>
                <c:pt idx="143">
                  <c:v>483.94605890429199</c:v>
                </c:pt>
                <c:pt idx="144">
                  <c:v>483.94605890429199</c:v>
                </c:pt>
                <c:pt idx="145">
                  <c:v>483.94605890429199</c:v>
                </c:pt>
                <c:pt idx="146">
                  <c:v>483.94605890429199</c:v>
                </c:pt>
                <c:pt idx="147">
                  <c:v>483.94605890429199</c:v>
                </c:pt>
                <c:pt idx="148">
                  <c:v>483.94605890429199</c:v>
                </c:pt>
                <c:pt idx="149">
                  <c:v>483.94605890429199</c:v>
                </c:pt>
                <c:pt idx="150">
                  <c:v>483.94605890429199</c:v>
                </c:pt>
                <c:pt idx="151">
                  <c:v>483.94605890429199</c:v>
                </c:pt>
                <c:pt idx="152">
                  <c:v>483.94605890429199</c:v>
                </c:pt>
                <c:pt idx="153">
                  <c:v>483.94605890429199</c:v>
                </c:pt>
                <c:pt idx="154">
                  <c:v>483.94605890429199</c:v>
                </c:pt>
                <c:pt idx="155">
                  <c:v>483.94605890429199</c:v>
                </c:pt>
                <c:pt idx="156">
                  <c:v>483.94605890429199</c:v>
                </c:pt>
                <c:pt idx="157">
                  <c:v>483.94605890429199</c:v>
                </c:pt>
                <c:pt idx="158">
                  <c:v>483.94605890429199</c:v>
                </c:pt>
                <c:pt idx="159">
                  <c:v>483.94605890429199</c:v>
                </c:pt>
                <c:pt idx="160">
                  <c:v>483.94605890429199</c:v>
                </c:pt>
                <c:pt idx="161">
                  <c:v>483.94605890429199</c:v>
                </c:pt>
                <c:pt idx="162">
                  <c:v>483.94605890429199</c:v>
                </c:pt>
                <c:pt idx="163">
                  <c:v>483.94605890429199</c:v>
                </c:pt>
                <c:pt idx="164">
                  <c:v>483.94605890429199</c:v>
                </c:pt>
                <c:pt idx="165">
                  <c:v>483.94605890429199</c:v>
                </c:pt>
                <c:pt idx="166">
                  <c:v>483.94605890429199</c:v>
                </c:pt>
                <c:pt idx="167">
                  <c:v>483.94605890429199</c:v>
                </c:pt>
                <c:pt idx="168">
                  <c:v>483.94605890429199</c:v>
                </c:pt>
                <c:pt idx="169">
                  <c:v>483.94605890429199</c:v>
                </c:pt>
                <c:pt idx="170">
                  <c:v>483.94605890429199</c:v>
                </c:pt>
                <c:pt idx="171">
                  <c:v>483.94605890429199</c:v>
                </c:pt>
                <c:pt idx="172">
                  <c:v>483.94605890429199</c:v>
                </c:pt>
                <c:pt idx="173">
                  <c:v>483.94605890429199</c:v>
                </c:pt>
                <c:pt idx="174">
                  <c:v>483.94605890429199</c:v>
                </c:pt>
                <c:pt idx="175">
                  <c:v>483.94605890429199</c:v>
                </c:pt>
                <c:pt idx="176">
                  <c:v>483.94605890429199</c:v>
                </c:pt>
                <c:pt idx="177">
                  <c:v>483.94605890429199</c:v>
                </c:pt>
                <c:pt idx="178">
                  <c:v>483.94605890429199</c:v>
                </c:pt>
                <c:pt idx="179">
                  <c:v>483.94605890429199</c:v>
                </c:pt>
                <c:pt idx="180">
                  <c:v>483.94605890429199</c:v>
                </c:pt>
                <c:pt idx="181">
                  <c:v>483.94605890429199</c:v>
                </c:pt>
                <c:pt idx="182">
                  <c:v>483.94605890429199</c:v>
                </c:pt>
                <c:pt idx="183">
                  <c:v>483.94605890429199</c:v>
                </c:pt>
                <c:pt idx="184">
                  <c:v>483.94605890429199</c:v>
                </c:pt>
                <c:pt idx="185">
                  <c:v>483.94605890429199</c:v>
                </c:pt>
                <c:pt idx="186">
                  <c:v>483.94605890429199</c:v>
                </c:pt>
                <c:pt idx="187">
                  <c:v>483.94605890429199</c:v>
                </c:pt>
                <c:pt idx="188">
                  <c:v>483.94605890429199</c:v>
                </c:pt>
                <c:pt idx="189">
                  <c:v>483.94605890429199</c:v>
                </c:pt>
                <c:pt idx="190">
                  <c:v>483.94605890429199</c:v>
                </c:pt>
                <c:pt idx="191">
                  <c:v>483.94605890429199</c:v>
                </c:pt>
                <c:pt idx="192">
                  <c:v>483.94605890429199</c:v>
                </c:pt>
                <c:pt idx="193">
                  <c:v>483.94605890429199</c:v>
                </c:pt>
                <c:pt idx="194">
                  <c:v>483.94605890429199</c:v>
                </c:pt>
                <c:pt idx="195">
                  <c:v>483.94605890429199</c:v>
                </c:pt>
                <c:pt idx="196">
                  <c:v>483.94605890429199</c:v>
                </c:pt>
                <c:pt idx="197">
                  <c:v>483.94605890429199</c:v>
                </c:pt>
                <c:pt idx="198">
                  <c:v>483.94605890429199</c:v>
                </c:pt>
                <c:pt idx="199">
                  <c:v>483.94605890429199</c:v>
                </c:pt>
                <c:pt idx="200">
                  <c:v>483.94605890429199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8" t="s">
        <v>291</v>
      </c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</row>
    <row r="13" spans="2:13" ht="15" customHeight="1" x14ac:dyDescent="0.3">
      <c r="B13" s="268"/>
      <c r="C13" s="268"/>
      <c r="D13" s="268"/>
      <c r="E13" s="268"/>
      <c r="F13" s="268"/>
      <c r="G13" s="268"/>
      <c r="H13" s="268"/>
      <c r="I13" s="268"/>
      <c r="J13" s="268"/>
      <c r="K13" s="268"/>
      <c r="L13" s="268"/>
      <c r="M13" s="268"/>
    </row>
    <row r="14" spans="2:13" ht="15" customHeight="1" x14ac:dyDescent="0.3">
      <c r="B14" s="268"/>
      <c r="C14" s="268"/>
      <c r="D14" s="268"/>
      <c r="E14" s="268"/>
      <c r="F14" s="268"/>
      <c r="G14" s="268"/>
      <c r="H14" s="268"/>
      <c r="I14" s="268"/>
      <c r="J14" s="268"/>
      <c r="K14" s="268"/>
      <c r="L14" s="268"/>
      <c r="M14" s="268"/>
    </row>
    <row r="15" spans="2:13" ht="18.75" customHeight="1" x14ac:dyDescent="0.3"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268"/>
      <c r="M15" s="268"/>
    </row>
    <row r="16" spans="2:13" ht="18.75" customHeight="1" x14ac:dyDescent="0.3">
      <c r="B16" s="268"/>
      <c r="C16" s="268"/>
      <c r="D16" s="268"/>
      <c r="E16" s="268"/>
      <c r="F16" s="268"/>
      <c r="G16" s="268"/>
      <c r="H16" s="268"/>
      <c r="I16" s="268"/>
      <c r="J16" s="268"/>
      <c r="K16" s="268"/>
      <c r="L16" s="268"/>
      <c r="M16" s="268"/>
    </row>
    <row r="18" spans="2:13" ht="12" customHeight="1" x14ac:dyDescent="0.3">
      <c r="B18" s="268" t="s">
        <v>292</v>
      </c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</row>
    <row r="19" spans="2:13" ht="12" customHeight="1" x14ac:dyDescent="0.3">
      <c r="B19" s="268"/>
      <c r="C19" s="268"/>
      <c r="D19" s="268"/>
      <c r="E19" s="268"/>
      <c r="F19" s="268"/>
      <c r="G19" s="268"/>
      <c r="H19" s="268"/>
      <c r="I19" s="268"/>
      <c r="J19" s="268"/>
      <c r="K19" s="268"/>
      <c r="L19" s="268"/>
      <c r="M19" s="268"/>
    </row>
    <row r="20" spans="2:13" ht="12" customHeight="1" x14ac:dyDescent="0.3">
      <c r="B20" s="268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</row>
    <row r="21" spans="2:13" ht="12" customHeight="1" x14ac:dyDescent="0.3">
      <c r="B21" s="268"/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</row>
    <row r="22" spans="2:13" ht="12" customHeight="1" x14ac:dyDescent="0.3">
      <c r="B22" s="268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</row>
    <row r="23" spans="2:13" ht="12" customHeight="1" x14ac:dyDescent="0.3">
      <c r="B23" s="268"/>
      <c r="C23" s="268"/>
      <c r="D23" s="268"/>
      <c r="E23" s="268"/>
      <c r="F23" s="268"/>
      <c r="G23" s="268"/>
      <c r="H23" s="268"/>
      <c r="I23" s="268"/>
      <c r="J23" s="268"/>
      <c r="K23" s="268"/>
      <c r="L23" s="268"/>
      <c r="M23" s="268"/>
    </row>
    <row r="24" spans="2:13" ht="12" customHeight="1" x14ac:dyDescent="0.3"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</row>
    <row r="25" spans="2:13" ht="12" customHeight="1" x14ac:dyDescent="0.3">
      <c r="B25" s="268"/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8"/>
    </row>
    <row r="26" spans="2:13" ht="12" customHeight="1" x14ac:dyDescent="0.3">
      <c r="B26" s="268"/>
      <c r="C26" s="268"/>
      <c r="D26" s="268"/>
      <c r="E26" s="268"/>
      <c r="F26" s="268"/>
      <c r="G26" s="268"/>
      <c r="H26" s="268"/>
      <c r="I26" s="268"/>
      <c r="J26" s="268"/>
      <c r="K26" s="268"/>
      <c r="L26" s="268"/>
      <c r="M26" s="268"/>
    </row>
    <row r="27" spans="2:13" ht="12" customHeight="1" x14ac:dyDescent="0.3">
      <c r="B27" s="268"/>
      <c r="C27" s="268"/>
      <c r="D27" s="268"/>
      <c r="E27" s="268"/>
      <c r="F27" s="268"/>
      <c r="G27" s="268"/>
      <c r="H27" s="268"/>
      <c r="I27" s="268"/>
      <c r="J27" s="268"/>
      <c r="K27" s="268"/>
      <c r="L27" s="268"/>
      <c r="M27" s="268"/>
    </row>
    <row r="28" spans="2:13" ht="12" customHeight="1" x14ac:dyDescent="0.3">
      <c r="B28" s="268"/>
      <c r="C28" s="268"/>
      <c r="D28" s="268"/>
      <c r="E28" s="268"/>
      <c r="F28" s="268"/>
      <c r="G28" s="268"/>
      <c r="H28" s="268"/>
      <c r="I28" s="268"/>
      <c r="J28" s="268"/>
      <c r="K28" s="268"/>
      <c r="L28" s="268"/>
      <c r="M28" s="268"/>
    </row>
    <row r="29" spans="2:13" ht="12" customHeight="1" x14ac:dyDescent="0.3">
      <c r="B29" s="268"/>
      <c r="C29" s="268"/>
      <c r="D29" s="268"/>
      <c r="E29" s="268"/>
      <c r="F29" s="268"/>
      <c r="G29" s="268"/>
      <c r="H29" s="268"/>
      <c r="I29" s="268"/>
      <c r="J29" s="268"/>
      <c r="K29" s="268"/>
      <c r="L29" s="268"/>
      <c r="M29" s="268"/>
    </row>
    <row r="30" spans="2:13" ht="12" customHeight="1" x14ac:dyDescent="0.3">
      <c r="B30" s="268"/>
      <c r="C30" s="268"/>
      <c r="D30" s="268"/>
      <c r="E30" s="268"/>
      <c r="F30" s="268"/>
      <c r="G30" s="268"/>
      <c r="H30" s="268"/>
      <c r="I30" s="268"/>
      <c r="J30" s="268"/>
      <c r="K30" s="268"/>
      <c r="L30" s="268"/>
      <c r="M30" s="268"/>
    </row>
    <row r="31" spans="2:13" ht="12" customHeight="1" x14ac:dyDescent="0.3">
      <c r="B31" s="268"/>
      <c r="C31" s="268"/>
      <c r="D31" s="268"/>
      <c r="E31" s="268"/>
      <c r="F31" s="268"/>
      <c r="G31" s="268"/>
      <c r="H31" s="268"/>
      <c r="I31" s="268"/>
      <c r="J31" s="268"/>
      <c r="K31" s="268"/>
      <c r="L31" s="268"/>
      <c r="M31" s="26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81" zoomScaleNormal="100" workbookViewId="0">
      <selection activeCell="B93" sqref="B93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3" t="s">
        <v>190</v>
      </c>
      <c r="D1" s="273"/>
      <c r="E1" s="27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4" t="s">
        <v>192</v>
      </c>
      <c r="C3" s="275"/>
      <c r="D3" s="275"/>
      <c r="E3" s="275"/>
      <c r="F3" s="276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9" t="s">
        <v>231</v>
      </c>
      <c r="B5" s="279"/>
      <c r="C5" s="24">
        <v>3.37</v>
      </c>
      <c r="D5" s="280" t="s">
        <v>229</v>
      </c>
      <c r="E5" s="281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8" t="s">
        <v>226</v>
      </c>
      <c r="B7" s="278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27</v>
      </c>
      <c r="C9" s="264">
        <v>0.39219999999999999</v>
      </c>
      <c r="D9" s="33">
        <f t="shared" ref="D9:D18" si="0">C9*$C$5</f>
        <v>1.3217140000000001</v>
      </c>
      <c r="E9" s="265">
        <v>60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46</v>
      </c>
      <c r="C10" s="266">
        <v>0.1961</v>
      </c>
      <c r="D10" s="33">
        <f t="shared" si="0"/>
        <v>0.66085700000000003</v>
      </c>
      <c r="E10" s="265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25</v>
      </c>
      <c r="C11" s="266">
        <v>0.15690000000000001</v>
      </c>
      <c r="D11" s="33">
        <f t="shared" si="0"/>
        <v>0.52875300000000003</v>
      </c>
      <c r="E11" s="265">
        <v>115</v>
      </c>
      <c r="F11" s="35" t="str">
        <f t="array" ref="F11">IF(E11="","",IF(INDEX(A:A,MAX(IF(ISNUMBER($A$88:$A$107),ROW($A$88:$A$107),"")))&lt;&gt;E11,"Corrigez : révolution incorrecte","OK"))</f>
        <v>OK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23</v>
      </c>
      <c r="C12" s="266">
        <v>0.1176</v>
      </c>
      <c r="D12" s="33">
        <f t="shared" si="0"/>
        <v>0.396312</v>
      </c>
      <c r="E12" s="265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</v>
      </c>
      <c r="C13" s="267">
        <v>6.8599999999999994E-2</v>
      </c>
      <c r="D13" s="33">
        <f t="shared" si="0"/>
        <v>0.231182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29</v>
      </c>
      <c r="C14" s="267">
        <v>6.8599999999999994E-2</v>
      </c>
      <c r="D14" s="33">
        <f t="shared" si="0"/>
        <v>0.231182</v>
      </c>
      <c r="E14" s="34">
        <v>75</v>
      </c>
      <c r="F14" s="35" t="str">
        <f t="array" ref="F14">IF(E14="","",IF(INDEX(A:A,MAX(IF(ISNUMBER($A$166:$A$185),ROW($A$166:$A$185),"")))&lt;&gt;E14,"Corrigez : révolution incorrecte","OK"))</f>
        <v>OK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3.37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7" t="s">
        <v>232</v>
      </c>
      <c r="B22" s="27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8" t="s">
        <v>227</v>
      </c>
      <c r="B30" s="278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Mélèze d'Europe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9" t="s">
        <v>186</v>
      </c>
      <c r="D34" s="269"/>
      <c r="E34" s="270" t="s">
        <v>187</v>
      </c>
      <c r="F34" s="271"/>
      <c r="G34" s="271"/>
      <c r="H34" s="272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12</v>
      </c>
      <c r="B36" s="259">
        <v>103</v>
      </c>
      <c r="C36" s="259">
        <v>1</v>
      </c>
      <c r="D36" s="259">
        <v>18</v>
      </c>
      <c r="E36" s="260"/>
      <c r="F36" s="260"/>
      <c r="G36" s="260">
        <v>1</v>
      </c>
      <c r="H36" s="260"/>
      <c r="I36" s="49">
        <f>IFERROR(B36/A36,"")</f>
        <v>8.5833333333333339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18</v>
      </c>
      <c r="B37" s="259">
        <v>223</v>
      </c>
      <c r="C37" s="259">
        <v>2</v>
      </c>
      <c r="D37" s="259">
        <v>84.3</v>
      </c>
      <c r="E37" s="260"/>
      <c r="F37" s="260">
        <v>1</v>
      </c>
      <c r="G37" s="260"/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24</v>
      </c>
      <c r="B38" s="259">
        <v>254</v>
      </c>
      <c r="C38" s="259">
        <v>3</v>
      </c>
      <c r="D38" s="259">
        <v>73.7</v>
      </c>
      <c r="E38" s="260"/>
      <c r="F38" s="260">
        <v>1</v>
      </c>
      <c r="G38" s="260"/>
      <c r="H38" s="260"/>
      <c r="I38" s="53">
        <f t="shared" si="1"/>
        <v>19.216666666666669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30</v>
      </c>
      <c r="B39" s="259">
        <v>280</v>
      </c>
      <c r="C39" s="259">
        <v>4</v>
      </c>
      <c r="D39" s="259">
        <v>62.6</v>
      </c>
      <c r="E39" s="260"/>
      <c r="F39" s="260">
        <v>1</v>
      </c>
      <c r="G39" s="260"/>
      <c r="H39" s="260"/>
      <c r="I39" s="49">
        <f t="shared" si="1"/>
        <v>16.616666666666664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36</v>
      </c>
      <c r="B40" s="259">
        <v>305</v>
      </c>
      <c r="C40" s="259">
        <v>5</v>
      </c>
      <c r="D40" s="259">
        <v>58.4</v>
      </c>
      <c r="E40" s="260">
        <v>1</v>
      </c>
      <c r="F40" s="260"/>
      <c r="G40" s="260"/>
      <c r="H40" s="260"/>
      <c r="I40" s="49">
        <f t="shared" si="1"/>
        <v>14.6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42</v>
      </c>
      <c r="B41" s="259">
        <v>330</v>
      </c>
      <c r="C41" s="259">
        <v>6</v>
      </c>
      <c r="D41" s="259">
        <v>54.6</v>
      </c>
      <c r="E41" s="260">
        <v>1</v>
      </c>
      <c r="F41" s="260"/>
      <c r="G41" s="260"/>
      <c r="H41" s="260"/>
      <c r="I41" s="53">
        <f t="shared" si="1"/>
        <v>13.9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48</v>
      </c>
      <c r="B42" s="259">
        <v>353</v>
      </c>
      <c r="C42" s="259">
        <v>7</v>
      </c>
      <c r="D42" s="259">
        <v>48.2</v>
      </c>
      <c r="E42" s="260">
        <v>1</v>
      </c>
      <c r="F42" s="260"/>
      <c r="G42" s="260"/>
      <c r="H42" s="260"/>
      <c r="I42" s="53">
        <f t="shared" si="1"/>
        <v>12.933333333333337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54</v>
      </c>
      <c r="B43" s="259">
        <v>374</v>
      </c>
      <c r="C43" s="259">
        <v>8</v>
      </c>
      <c r="D43" s="259">
        <v>46.9</v>
      </c>
      <c r="E43" s="260">
        <v>1</v>
      </c>
      <c r="F43" s="260"/>
      <c r="G43" s="260"/>
      <c r="H43" s="260"/>
      <c r="I43" s="49">
        <f t="shared" si="1"/>
        <v>11.533333333333331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60</v>
      </c>
      <c r="B44" s="259">
        <v>401</v>
      </c>
      <c r="C44" s="259"/>
      <c r="D44" s="259">
        <v>0</v>
      </c>
      <c r="E44" s="260"/>
      <c r="F44" s="260"/>
      <c r="G44" s="260"/>
      <c r="H44" s="260"/>
      <c r="I44" s="49">
        <f t="shared" si="1"/>
        <v>12.316666666666663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/>
      <c r="B45" s="261"/>
      <c r="C45" s="259"/>
      <c r="D45" s="261"/>
      <c r="E45" s="260"/>
      <c r="F45" s="260"/>
      <c r="G45" s="260"/>
      <c r="H45" s="260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/>
      <c r="B46" s="262"/>
      <c r="C46" s="259"/>
      <c r="D46" s="262"/>
      <c r="E46" s="260"/>
      <c r="F46" s="260"/>
      <c r="G46" s="260"/>
      <c r="H46" s="260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/>
      <c r="B47" s="261"/>
      <c r="C47" s="259"/>
      <c r="D47" s="261"/>
      <c r="E47" s="260"/>
      <c r="F47" s="260"/>
      <c r="G47" s="260"/>
      <c r="H47" s="260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/>
      <c r="B48" s="261"/>
      <c r="C48" s="259"/>
      <c r="D48" s="261"/>
      <c r="E48" s="260"/>
      <c r="F48" s="260"/>
      <c r="G48" s="260"/>
      <c r="H48" s="260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/>
      <c r="B49" s="261"/>
      <c r="C49" s="259"/>
      <c r="D49" s="261"/>
      <c r="E49" s="260"/>
      <c r="F49" s="260"/>
      <c r="G49" s="260"/>
      <c r="H49" s="260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1"/>
      <c r="C50" s="261"/>
      <c r="D50" s="261"/>
      <c r="E50" s="260"/>
      <c r="F50" s="260"/>
      <c r="G50" s="260"/>
      <c r="H50" s="260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Sapin pectiné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9" t="s">
        <v>186</v>
      </c>
      <c r="D60" s="269"/>
      <c r="E60" s="270" t="s">
        <v>187</v>
      </c>
      <c r="F60" s="271"/>
      <c r="G60" s="271"/>
      <c r="H60" s="272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15</v>
      </c>
      <c r="B62" s="261">
        <v>42</v>
      </c>
      <c r="C62" s="261"/>
      <c r="D62" s="261">
        <v>0</v>
      </c>
      <c r="E62" s="260"/>
      <c r="F62" s="260"/>
      <c r="G62" s="260"/>
      <c r="H62" s="260"/>
      <c r="I62" s="53">
        <f>IFERROR(B62/A62,"")</f>
        <v>2.8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20</v>
      </c>
      <c r="B63" s="261">
        <v>156</v>
      </c>
      <c r="C63" s="261">
        <v>1</v>
      </c>
      <c r="D63" s="261">
        <v>22</v>
      </c>
      <c r="E63" s="260"/>
      <c r="F63" s="260"/>
      <c r="G63" s="260">
        <v>1</v>
      </c>
      <c r="H63" s="260"/>
      <c r="I63" s="49">
        <f>IF(A63&lt;&gt;0,(B63-(B62-D62))/(A63-A62),"")</f>
        <v>22.8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25</v>
      </c>
      <c r="B64" s="261">
        <v>269</v>
      </c>
      <c r="C64" s="261">
        <v>2</v>
      </c>
      <c r="D64" s="261">
        <v>70</v>
      </c>
      <c r="E64" s="260"/>
      <c r="F64" s="260">
        <v>1</v>
      </c>
      <c r="G64" s="260"/>
      <c r="H64" s="260"/>
      <c r="I64" s="49">
        <f>IF(A64&lt;&gt;0,(B64-(B63-D63))/(A64-A63),"")</f>
        <v>27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30</v>
      </c>
      <c r="B65" s="261">
        <v>342</v>
      </c>
      <c r="C65" s="261">
        <v>3</v>
      </c>
      <c r="D65" s="261">
        <v>70</v>
      </c>
      <c r="E65" s="260"/>
      <c r="F65" s="260">
        <v>1</v>
      </c>
      <c r="G65" s="260"/>
      <c r="H65" s="260"/>
      <c r="I65" s="49">
        <f>IF(A65&lt;&gt;0,(B65-(B64-D64))/(A65-A64),"")</f>
        <v>28.6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35</v>
      </c>
      <c r="B66" s="261">
        <v>413</v>
      </c>
      <c r="C66" s="261">
        <v>4</v>
      </c>
      <c r="D66" s="261">
        <v>70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28.2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40</v>
      </c>
      <c r="B67" s="261">
        <v>480</v>
      </c>
      <c r="C67" s="261">
        <v>5</v>
      </c>
      <c r="D67" s="261">
        <v>70</v>
      </c>
      <c r="E67" s="260">
        <v>1</v>
      </c>
      <c r="F67" s="260"/>
      <c r="G67" s="260"/>
      <c r="H67" s="260"/>
      <c r="I67" s="49">
        <f t="shared" si="2"/>
        <v>27.4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45</v>
      </c>
      <c r="B68" s="261">
        <v>540</v>
      </c>
      <c r="C68" s="261">
        <v>6</v>
      </c>
      <c r="D68" s="261">
        <v>70</v>
      </c>
      <c r="E68" s="260">
        <v>1</v>
      </c>
      <c r="F68" s="260"/>
      <c r="G68" s="260"/>
      <c r="H68" s="260"/>
      <c r="I68" s="49">
        <f t="shared" si="2"/>
        <v>26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50</v>
      </c>
      <c r="B69" s="261">
        <v>593</v>
      </c>
      <c r="C69" s="261">
        <v>7</v>
      </c>
      <c r="D69" s="261">
        <v>70</v>
      </c>
      <c r="E69" s="260">
        <v>1</v>
      </c>
      <c r="F69" s="260"/>
      <c r="G69" s="260"/>
      <c r="H69" s="260"/>
      <c r="I69" s="49">
        <f t="shared" si="2"/>
        <v>24.6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55</v>
      </c>
      <c r="B70" s="261">
        <v>640</v>
      </c>
      <c r="C70" s="261">
        <v>8</v>
      </c>
      <c r="D70" s="261">
        <v>68</v>
      </c>
      <c r="E70" s="260">
        <v>1</v>
      </c>
      <c r="F70" s="260"/>
      <c r="G70" s="260"/>
      <c r="H70" s="260"/>
      <c r="I70" s="49">
        <f t="shared" si="2"/>
        <v>23.4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60</v>
      </c>
      <c r="B71" s="261">
        <v>684</v>
      </c>
      <c r="C71" s="261">
        <v>9</v>
      </c>
      <c r="D71" s="261">
        <v>60</v>
      </c>
      <c r="E71" s="260">
        <v>1</v>
      </c>
      <c r="F71" s="260"/>
      <c r="G71" s="260"/>
      <c r="H71" s="260"/>
      <c r="I71" s="49">
        <f t="shared" si="2"/>
        <v>22.4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65</v>
      </c>
      <c r="B72" s="261">
        <v>729</v>
      </c>
      <c r="C72" s="261">
        <v>10</v>
      </c>
      <c r="D72" s="261">
        <v>56</v>
      </c>
      <c r="E72" s="260">
        <v>1</v>
      </c>
      <c r="F72" s="260"/>
      <c r="G72" s="260"/>
      <c r="H72" s="260"/>
      <c r="I72" s="49">
        <f t="shared" si="2"/>
        <v>21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70</v>
      </c>
      <c r="B73" s="261">
        <v>771</v>
      </c>
      <c r="C73" s="261">
        <v>11</v>
      </c>
      <c r="D73" s="261">
        <v>54</v>
      </c>
      <c r="E73" s="260">
        <v>1</v>
      </c>
      <c r="F73" s="260"/>
      <c r="G73" s="260"/>
      <c r="H73" s="260"/>
      <c r="I73" s="49">
        <f t="shared" si="2"/>
        <v>19.600000000000001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75</v>
      </c>
      <c r="B74" s="261">
        <v>806</v>
      </c>
      <c r="C74" s="261">
        <v>12</v>
      </c>
      <c r="D74" s="261">
        <v>52</v>
      </c>
      <c r="E74" s="260">
        <v>1</v>
      </c>
      <c r="F74" s="260"/>
      <c r="G74" s="260"/>
      <c r="H74" s="260"/>
      <c r="I74" s="49">
        <f t="shared" si="2"/>
        <v>17.8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80</v>
      </c>
      <c r="B75" s="261">
        <v>840</v>
      </c>
      <c r="C75" s="261">
        <v>13</v>
      </c>
      <c r="D75" s="261">
        <v>51</v>
      </c>
      <c r="E75" s="260">
        <v>1</v>
      </c>
      <c r="F75" s="260"/>
      <c r="G75" s="260"/>
      <c r="H75" s="260"/>
      <c r="I75" s="49">
        <f t="shared" si="2"/>
        <v>17.2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/>
      <c r="B76" s="261"/>
      <c r="C76" s="261"/>
      <c r="D76" s="261"/>
      <c r="E76" s="260"/>
      <c r="F76" s="260"/>
      <c r="G76" s="260"/>
      <c r="H76" s="260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Hêtre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9" t="s">
        <v>186</v>
      </c>
      <c r="D86" s="269"/>
      <c r="E86" s="270" t="s">
        <v>187</v>
      </c>
      <c r="F86" s="271"/>
      <c r="G86" s="271"/>
      <c r="H86" s="272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20</v>
      </c>
      <c r="B88" s="261">
        <v>32</v>
      </c>
      <c r="C88" s="261"/>
      <c r="D88" s="261">
        <v>0</v>
      </c>
      <c r="E88" s="260"/>
      <c r="F88" s="260"/>
      <c r="G88" s="260"/>
      <c r="H88" s="260"/>
      <c r="I88" s="53">
        <f>IFERROR(B88/A88,"")</f>
        <v>1.6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25</v>
      </c>
      <c r="B89" s="261">
        <v>76</v>
      </c>
      <c r="C89" s="261">
        <v>1</v>
      </c>
      <c r="D89" s="261">
        <v>7</v>
      </c>
      <c r="E89" s="260"/>
      <c r="F89" s="260"/>
      <c r="G89" s="260"/>
      <c r="H89" s="260">
        <v>1</v>
      </c>
      <c r="I89" s="53">
        <f t="shared" ref="I89:I107" si="3">IF(A89&lt;&gt;0,(B89-(B88-D88))/(A89-A88),"")</f>
        <v>8.8000000000000007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30</v>
      </c>
      <c r="B90" s="261">
        <v>116</v>
      </c>
      <c r="C90" s="261">
        <v>2</v>
      </c>
      <c r="D90" s="261">
        <v>28</v>
      </c>
      <c r="E90" s="260"/>
      <c r="F90" s="260"/>
      <c r="G90" s="260"/>
      <c r="H90" s="260">
        <v>1</v>
      </c>
      <c r="I90" s="53">
        <f t="shared" si="3"/>
        <v>9.4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35</v>
      </c>
      <c r="B91" s="261">
        <v>139</v>
      </c>
      <c r="C91" s="261">
        <v>3</v>
      </c>
      <c r="D91" s="261">
        <v>28</v>
      </c>
      <c r="E91" s="260">
        <v>1</v>
      </c>
      <c r="F91" s="260"/>
      <c r="G91" s="260"/>
      <c r="H91" s="260"/>
      <c r="I91" s="53">
        <f t="shared" si="3"/>
        <v>10.199999999999999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40</v>
      </c>
      <c r="B92" s="261">
        <v>163</v>
      </c>
      <c r="C92" s="261">
        <v>4</v>
      </c>
      <c r="D92" s="261">
        <v>28</v>
      </c>
      <c r="E92" s="260">
        <v>1</v>
      </c>
      <c r="F92" s="260"/>
      <c r="G92" s="260"/>
      <c r="H92" s="260"/>
      <c r="I92" s="53">
        <f t="shared" si="3"/>
        <v>10.4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45</v>
      </c>
      <c r="B93" s="261">
        <v>190</v>
      </c>
      <c r="C93" s="261">
        <v>5</v>
      </c>
      <c r="D93" s="261">
        <v>28</v>
      </c>
      <c r="E93" s="260">
        <v>1</v>
      </c>
      <c r="F93" s="260"/>
      <c r="G93" s="260"/>
      <c r="H93" s="260"/>
      <c r="I93" s="53">
        <f t="shared" si="3"/>
        <v>11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50</v>
      </c>
      <c r="B94" s="261">
        <v>217</v>
      </c>
      <c r="C94" s="261">
        <v>6</v>
      </c>
      <c r="D94" s="261">
        <v>28</v>
      </c>
      <c r="E94" s="260">
        <v>1</v>
      </c>
      <c r="F94" s="260"/>
      <c r="G94" s="260"/>
      <c r="H94" s="260"/>
      <c r="I94" s="53">
        <f t="shared" si="3"/>
        <v>11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55</v>
      </c>
      <c r="B95" s="261">
        <v>244</v>
      </c>
      <c r="C95" s="261">
        <v>7</v>
      </c>
      <c r="D95" s="261">
        <v>28</v>
      </c>
      <c r="E95" s="260">
        <v>1</v>
      </c>
      <c r="F95" s="260"/>
      <c r="G95" s="260"/>
      <c r="H95" s="260"/>
      <c r="I95" s="53">
        <f t="shared" si="3"/>
        <v>11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60</v>
      </c>
      <c r="B96" s="261">
        <v>270</v>
      </c>
      <c r="C96" s="261">
        <v>8</v>
      </c>
      <c r="D96" s="261">
        <v>28</v>
      </c>
      <c r="E96" s="260">
        <v>1</v>
      </c>
      <c r="F96" s="260"/>
      <c r="G96" s="260"/>
      <c r="H96" s="260"/>
      <c r="I96" s="53">
        <f t="shared" si="3"/>
        <v>10.8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65</v>
      </c>
      <c r="B97" s="261">
        <v>294</v>
      </c>
      <c r="C97" s="261">
        <v>9</v>
      </c>
      <c r="D97" s="261">
        <v>28</v>
      </c>
      <c r="E97" s="260">
        <v>1</v>
      </c>
      <c r="F97" s="260"/>
      <c r="G97" s="260"/>
      <c r="H97" s="260"/>
      <c r="I97" s="53">
        <f t="shared" si="3"/>
        <v>10.4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70</v>
      </c>
      <c r="B98" s="261">
        <v>316</v>
      </c>
      <c r="C98" s="261">
        <v>10</v>
      </c>
      <c r="D98" s="261">
        <v>28</v>
      </c>
      <c r="E98" s="260">
        <v>1</v>
      </c>
      <c r="F98" s="260"/>
      <c r="G98" s="260"/>
      <c r="H98" s="260"/>
      <c r="I98" s="53">
        <f t="shared" si="3"/>
        <v>10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75</v>
      </c>
      <c r="B99" s="261">
        <v>335</v>
      </c>
      <c r="C99" s="261">
        <v>11</v>
      </c>
      <c r="D99" s="261">
        <v>28</v>
      </c>
      <c r="E99" s="260">
        <v>1</v>
      </c>
      <c r="F99" s="260"/>
      <c r="G99" s="260"/>
      <c r="H99" s="260"/>
      <c r="I99" s="53">
        <f t="shared" si="3"/>
        <v>9.4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80</v>
      </c>
      <c r="B100" s="261">
        <v>351</v>
      </c>
      <c r="C100" s="261">
        <v>12</v>
      </c>
      <c r="D100" s="261">
        <v>28</v>
      </c>
      <c r="E100" s="260">
        <v>1</v>
      </c>
      <c r="F100" s="260"/>
      <c r="G100" s="260"/>
      <c r="H100" s="260"/>
      <c r="I100" s="53">
        <f t="shared" si="3"/>
        <v>8.8000000000000007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85</v>
      </c>
      <c r="B101" s="261">
        <v>365</v>
      </c>
      <c r="C101" s="261">
        <v>13</v>
      </c>
      <c r="D101" s="261">
        <v>27</v>
      </c>
      <c r="E101" s="260">
        <v>1</v>
      </c>
      <c r="F101" s="260"/>
      <c r="G101" s="260"/>
      <c r="H101" s="260"/>
      <c r="I101" s="53">
        <f t="shared" si="3"/>
        <v>8.4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>
        <v>90</v>
      </c>
      <c r="B102" s="261">
        <v>377</v>
      </c>
      <c r="C102" s="261">
        <v>14</v>
      </c>
      <c r="D102" s="261">
        <v>26</v>
      </c>
      <c r="E102" s="260">
        <v>1</v>
      </c>
      <c r="F102" s="260"/>
      <c r="G102" s="260"/>
      <c r="H102" s="260"/>
      <c r="I102" s="53">
        <f t="shared" si="3"/>
        <v>7.8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>
        <v>95</v>
      </c>
      <c r="B103" s="257">
        <v>389</v>
      </c>
      <c r="C103" s="256">
        <v>15</v>
      </c>
      <c r="D103" s="256">
        <v>25</v>
      </c>
      <c r="E103" s="255">
        <v>1</v>
      </c>
      <c r="F103" s="255"/>
      <c r="G103" s="255"/>
      <c r="H103" s="255"/>
      <c r="I103" s="53">
        <f t="shared" si="3"/>
        <v>7.6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>
        <v>100</v>
      </c>
      <c r="B104" s="257">
        <v>400</v>
      </c>
      <c r="C104" s="256">
        <v>16</v>
      </c>
      <c r="D104" s="256">
        <v>24</v>
      </c>
      <c r="E104" s="255">
        <v>1</v>
      </c>
      <c r="F104" s="255"/>
      <c r="G104" s="255"/>
      <c r="H104" s="255"/>
      <c r="I104" s="53">
        <f t="shared" si="3"/>
        <v>7.2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>
        <v>105</v>
      </c>
      <c r="B105" s="257">
        <v>409</v>
      </c>
      <c r="C105" s="256">
        <v>17</v>
      </c>
      <c r="D105" s="256">
        <v>23</v>
      </c>
      <c r="E105" s="255">
        <v>1</v>
      </c>
      <c r="F105" s="255"/>
      <c r="G105" s="255"/>
      <c r="H105" s="255"/>
      <c r="I105" s="53">
        <f t="shared" si="3"/>
        <v>6.6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>
        <v>110</v>
      </c>
      <c r="B106" s="257">
        <v>418</v>
      </c>
      <c r="C106" s="256">
        <v>18</v>
      </c>
      <c r="D106" s="256">
        <v>22</v>
      </c>
      <c r="E106" s="255">
        <v>1</v>
      </c>
      <c r="F106" s="255"/>
      <c r="G106" s="255"/>
      <c r="H106" s="255"/>
      <c r="I106" s="53">
        <f t="shared" si="3"/>
        <v>6.4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>
        <v>115</v>
      </c>
      <c r="B107" s="257">
        <v>426</v>
      </c>
      <c r="C107" s="256">
        <v>19</v>
      </c>
      <c r="D107" s="258">
        <v>22</v>
      </c>
      <c r="E107" s="255">
        <v>1</v>
      </c>
      <c r="F107" s="255"/>
      <c r="G107" s="255"/>
      <c r="H107" s="255"/>
      <c r="I107" s="53">
        <f t="shared" si="3"/>
        <v>6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Erable sycomore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9" t="s">
        <v>186</v>
      </c>
      <c r="D112" s="269"/>
      <c r="E112" s="270" t="s">
        <v>187</v>
      </c>
      <c r="F112" s="271"/>
      <c r="G112" s="271"/>
      <c r="H112" s="272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15</v>
      </c>
      <c r="B114" s="261">
        <v>37</v>
      </c>
      <c r="C114" s="261">
        <v>1</v>
      </c>
      <c r="D114" s="261">
        <v>15</v>
      </c>
      <c r="E114" s="260"/>
      <c r="F114" s="260"/>
      <c r="G114" s="260"/>
      <c r="H114" s="260">
        <v>1</v>
      </c>
      <c r="I114" s="53">
        <f>IFERROR(B114/A114,"")</f>
        <v>2.4666666666666668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20</v>
      </c>
      <c r="B115" s="261">
        <v>80</v>
      </c>
      <c r="C115" s="261">
        <v>2</v>
      </c>
      <c r="D115" s="261">
        <v>28</v>
      </c>
      <c r="E115" s="260"/>
      <c r="F115" s="260"/>
      <c r="G115" s="260"/>
      <c r="H115" s="260">
        <v>1</v>
      </c>
      <c r="I115" s="53">
        <f t="shared" ref="I115:I133" si="4">IF(A115&lt;&gt;0,(B115-(B114-D114))/(A115-A114),"")</f>
        <v>11.6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25</v>
      </c>
      <c r="B116" s="261">
        <v>115</v>
      </c>
      <c r="C116" s="261">
        <v>3</v>
      </c>
      <c r="D116" s="261">
        <v>28</v>
      </c>
      <c r="E116" s="260"/>
      <c r="F116" s="260"/>
      <c r="G116" s="260"/>
      <c r="H116" s="260">
        <v>1</v>
      </c>
      <c r="I116" s="53">
        <f t="shared" si="4"/>
        <v>12.6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>
        <v>30</v>
      </c>
      <c r="B117" s="261">
        <v>146</v>
      </c>
      <c r="C117" s="261">
        <v>4</v>
      </c>
      <c r="D117" s="261">
        <v>28</v>
      </c>
      <c r="E117" s="260"/>
      <c r="F117" s="260"/>
      <c r="G117" s="260"/>
      <c r="H117" s="260">
        <v>1</v>
      </c>
      <c r="I117" s="53">
        <f t="shared" si="4"/>
        <v>11.8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>
        <v>35</v>
      </c>
      <c r="B118" s="261">
        <v>172</v>
      </c>
      <c r="C118" s="261">
        <v>5</v>
      </c>
      <c r="D118" s="261">
        <v>28</v>
      </c>
      <c r="E118" s="260">
        <v>1</v>
      </c>
      <c r="F118" s="260"/>
      <c r="G118" s="260"/>
      <c r="H118" s="260"/>
      <c r="I118" s="53">
        <f t="shared" si="4"/>
        <v>10.8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>
        <v>40</v>
      </c>
      <c r="B119" s="261">
        <v>192</v>
      </c>
      <c r="C119" s="261">
        <v>6</v>
      </c>
      <c r="D119" s="261">
        <v>28</v>
      </c>
      <c r="E119" s="260">
        <v>1</v>
      </c>
      <c r="F119" s="260"/>
      <c r="G119" s="260"/>
      <c r="H119" s="260"/>
      <c r="I119" s="53">
        <f t="shared" si="4"/>
        <v>9.6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>
        <v>45</v>
      </c>
      <c r="B120" s="261">
        <v>205</v>
      </c>
      <c r="C120" s="261">
        <v>7</v>
      </c>
      <c r="D120" s="261">
        <v>22</v>
      </c>
      <c r="E120" s="260">
        <v>1</v>
      </c>
      <c r="F120" s="260"/>
      <c r="G120" s="260"/>
      <c r="H120" s="260"/>
      <c r="I120" s="53">
        <f t="shared" si="4"/>
        <v>8.1999999999999993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>
        <v>50</v>
      </c>
      <c r="B121" s="261">
        <v>219</v>
      </c>
      <c r="C121" s="261">
        <v>8</v>
      </c>
      <c r="D121" s="261">
        <v>17</v>
      </c>
      <c r="E121" s="260">
        <v>1</v>
      </c>
      <c r="F121" s="260"/>
      <c r="G121" s="260"/>
      <c r="H121" s="260"/>
      <c r="I121" s="53">
        <f t="shared" si="4"/>
        <v>7.2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>
        <v>55</v>
      </c>
      <c r="B122" s="261">
        <v>232</v>
      </c>
      <c r="C122" s="261">
        <v>9</v>
      </c>
      <c r="D122" s="261">
        <v>13</v>
      </c>
      <c r="E122" s="260">
        <v>1</v>
      </c>
      <c r="F122" s="260"/>
      <c r="G122" s="260"/>
      <c r="H122" s="260"/>
      <c r="I122" s="53">
        <f t="shared" si="4"/>
        <v>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>
        <v>60</v>
      </c>
      <c r="B123" s="261">
        <v>245</v>
      </c>
      <c r="C123" s="261">
        <v>10</v>
      </c>
      <c r="D123" s="261">
        <v>12</v>
      </c>
      <c r="E123" s="260">
        <v>1</v>
      </c>
      <c r="F123" s="260"/>
      <c r="G123" s="260"/>
      <c r="H123" s="260"/>
      <c r="I123" s="53">
        <f t="shared" si="4"/>
        <v>5.2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>
        <v>65</v>
      </c>
      <c r="B124" s="261">
        <v>255</v>
      </c>
      <c r="C124" s="261">
        <v>11</v>
      </c>
      <c r="D124" s="261">
        <v>11</v>
      </c>
      <c r="E124" s="260">
        <v>1</v>
      </c>
      <c r="F124" s="260"/>
      <c r="G124" s="260"/>
      <c r="H124" s="260"/>
      <c r="I124" s="53">
        <f t="shared" si="4"/>
        <v>4.4000000000000004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>
        <v>70</v>
      </c>
      <c r="B125" s="261">
        <v>263</v>
      </c>
      <c r="C125" s="261">
        <v>12</v>
      </c>
      <c r="D125" s="261">
        <v>10</v>
      </c>
      <c r="E125" s="260">
        <v>1</v>
      </c>
      <c r="F125" s="260"/>
      <c r="G125" s="260"/>
      <c r="H125" s="260"/>
      <c r="I125" s="53">
        <f t="shared" si="4"/>
        <v>3.8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>
        <v>75</v>
      </c>
      <c r="B126" s="261">
        <v>270</v>
      </c>
      <c r="C126" s="261">
        <v>13</v>
      </c>
      <c r="D126" s="261">
        <v>9</v>
      </c>
      <c r="E126" s="260">
        <v>1</v>
      </c>
      <c r="F126" s="260"/>
      <c r="G126" s="260"/>
      <c r="H126" s="260"/>
      <c r="I126" s="53">
        <f t="shared" si="4"/>
        <v>3.4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>
        <v>80</v>
      </c>
      <c r="B127" s="261">
        <v>275</v>
      </c>
      <c r="C127" s="261">
        <v>14</v>
      </c>
      <c r="D127" s="261">
        <v>8</v>
      </c>
      <c r="E127" s="260">
        <v>1</v>
      </c>
      <c r="F127" s="260"/>
      <c r="G127" s="260"/>
      <c r="H127" s="260"/>
      <c r="I127" s="53">
        <f t="shared" si="4"/>
        <v>2.8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Alisier torminal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9" t="s">
        <v>186</v>
      </c>
      <c r="D138" s="269"/>
      <c r="E138" s="270" t="s">
        <v>187</v>
      </c>
      <c r="F138" s="271"/>
      <c r="G138" s="271"/>
      <c r="H138" s="272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15</v>
      </c>
      <c r="B140" s="60">
        <v>9</v>
      </c>
      <c r="C140" s="50"/>
      <c r="D140" s="60">
        <v>0</v>
      </c>
      <c r="E140" s="51"/>
      <c r="F140" s="51"/>
      <c r="G140" s="51"/>
      <c r="H140" s="51">
        <v>1</v>
      </c>
      <c r="I140" s="57">
        <f>IFERROR(B140/A140,"")</f>
        <v>0.6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20</v>
      </c>
      <c r="B141" s="60">
        <v>57</v>
      </c>
      <c r="C141" s="50">
        <v>1</v>
      </c>
      <c r="D141" s="60">
        <v>21</v>
      </c>
      <c r="E141" s="51"/>
      <c r="F141" s="51"/>
      <c r="G141" s="51"/>
      <c r="H141" s="51">
        <v>1</v>
      </c>
      <c r="I141" s="57">
        <f t="shared" ref="I141:I159" si="5">IF(A141&lt;&gt;0,(B141-(B140-D140))/(A141-A140),"")</f>
        <v>9.6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25</v>
      </c>
      <c r="B142" s="60">
        <v>86</v>
      </c>
      <c r="C142" s="50">
        <v>2</v>
      </c>
      <c r="D142" s="60">
        <v>21</v>
      </c>
      <c r="E142" s="51"/>
      <c r="F142" s="51"/>
      <c r="G142" s="51"/>
      <c r="H142" s="51">
        <v>1</v>
      </c>
      <c r="I142" s="57">
        <f t="shared" si="5"/>
        <v>10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30</v>
      </c>
      <c r="B143" s="60">
        <v>114</v>
      </c>
      <c r="C143" s="50">
        <v>3</v>
      </c>
      <c r="D143" s="60">
        <v>21</v>
      </c>
      <c r="E143" s="51"/>
      <c r="F143" s="51"/>
      <c r="G143" s="51"/>
      <c r="H143" s="51">
        <v>1</v>
      </c>
      <c r="I143" s="57">
        <f t="shared" si="5"/>
        <v>9.8000000000000007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35</v>
      </c>
      <c r="B144" s="60">
        <v>136</v>
      </c>
      <c r="C144" s="50">
        <v>4</v>
      </c>
      <c r="D144" s="60">
        <v>21</v>
      </c>
      <c r="E144" s="51">
        <v>1</v>
      </c>
      <c r="F144" s="51"/>
      <c r="G144" s="51"/>
      <c r="H144" s="51"/>
      <c r="I144" s="57">
        <f t="shared" si="5"/>
        <v>8.6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40</v>
      </c>
      <c r="B145" s="60">
        <v>153</v>
      </c>
      <c r="C145" s="50">
        <v>5</v>
      </c>
      <c r="D145" s="60">
        <v>21</v>
      </c>
      <c r="E145" s="51">
        <v>1</v>
      </c>
      <c r="F145" s="51"/>
      <c r="G145" s="51"/>
      <c r="H145" s="51"/>
      <c r="I145" s="57">
        <f t="shared" si="5"/>
        <v>7.6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45</v>
      </c>
      <c r="B146" s="60">
        <v>164</v>
      </c>
      <c r="C146" s="50">
        <v>6</v>
      </c>
      <c r="D146" s="60">
        <v>18</v>
      </c>
      <c r="E146" s="51">
        <v>1</v>
      </c>
      <c r="F146" s="51"/>
      <c r="G146" s="51"/>
      <c r="H146" s="51"/>
      <c r="I146" s="57">
        <f t="shared" si="5"/>
        <v>6.4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50</v>
      </c>
      <c r="B147" s="60">
        <v>174</v>
      </c>
      <c r="C147" s="50">
        <v>7</v>
      </c>
      <c r="D147" s="60">
        <v>13</v>
      </c>
      <c r="E147" s="51">
        <v>1</v>
      </c>
      <c r="F147" s="51"/>
      <c r="G147" s="51"/>
      <c r="H147" s="51"/>
      <c r="I147" s="57">
        <f>IF(A147&lt;&gt;0,(B147-(B146-D146))/(A147-A146),"")</f>
        <v>5.6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55</v>
      </c>
      <c r="B148" s="60">
        <v>185</v>
      </c>
      <c r="C148" s="50">
        <v>8</v>
      </c>
      <c r="D148" s="60">
        <v>11</v>
      </c>
      <c r="E148" s="51">
        <v>1</v>
      </c>
      <c r="F148" s="51"/>
      <c r="G148" s="51"/>
      <c r="H148" s="51"/>
      <c r="I148" s="57">
        <f t="shared" si="5"/>
        <v>4.8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60</v>
      </c>
      <c r="B149" s="60">
        <v>194</v>
      </c>
      <c r="C149" s="50">
        <v>9</v>
      </c>
      <c r="D149" s="60">
        <v>9</v>
      </c>
      <c r="E149" s="51">
        <v>1</v>
      </c>
      <c r="F149" s="51"/>
      <c r="G149" s="51"/>
      <c r="H149" s="51"/>
      <c r="I149" s="57">
        <f t="shared" si="5"/>
        <v>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65</v>
      </c>
      <c r="B150" s="60">
        <v>202</v>
      </c>
      <c r="C150" s="50">
        <v>10</v>
      </c>
      <c r="D150" s="60">
        <v>8</v>
      </c>
      <c r="E150" s="51">
        <v>1</v>
      </c>
      <c r="F150" s="51"/>
      <c r="G150" s="51"/>
      <c r="H150" s="51"/>
      <c r="I150" s="57">
        <f t="shared" si="5"/>
        <v>3.4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70</v>
      </c>
      <c r="B151" s="60">
        <v>209</v>
      </c>
      <c r="C151" s="50">
        <v>11</v>
      </c>
      <c r="D151" s="60">
        <v>8</v>
      </c>
      <c r="E151" s="51">
        <v>1</v>
      </c>
      <c r="F151" s="51"/>
      <c r="G151" s="51"/>
      <c r="H151" s="51"/>
      <c r="I151" s="57">
        <f t="shared" si="5"/>
        <v>3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75</v>
      </c>
      <c r="B152" s="60">
        <v>214</v>
      </c>
      <c r="C152" s="50">
        <v>12</v>
      </c>
      <c r="D152" s="60">
        <v>7</v>
      </c>
      <c r="E152" s="54">
        <v>1</v>
      </c>
      <c r="F152" s="54"/>
      <c r="G152" s="54"/>
      <c r="H152" s="54"/>
      <c r="I152" s="57">
        <f t="shared" si="5"/>
        <v>2.6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80</v>
      </c>
      <c r="B153" s="60">
        <v>219</v>
      </c>
      <c r="C153" s="50">
        <v>13</v>
      </c>
      <c r="D153" s="60">
        <v>6</v>
      </c>
      <c r="E153" s="54">
        <v>1</v>
      </c>
      <c r="F153" s="54"/>
      <c r="G153" s="54"/>
      <c r="H153" s="54"/>
      <c r="I153" s="57">
        <f t="shared" si="5"/>
        <v>2.4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Merisier</v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9" t="s">
        <v>186</v>
      </c>
      <c r="D164" s="269"/>
      <c r="E164" s="270" t="s">
        <v>187</v>
      </c>
      <c r="F164" s="271"/>
      <c r="G164" s="271"/>
      <c r="H164" s="272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25</v>
      </c>
      <c r="B166" s="60">
        <v>89</v>
      </c>
      <c r="C166" s="60">
        <v>1</v>
      </c>
      <c r="D166" s="60">
        <v>28</v>
      </c>
      <c r="E166" s="51"/>
      <c r="F166" s="51"/>
      <c r="G166" s="51"/>
      <c r="H166" s="51">
        <v>1</v>
      </c>
      <c r="I166" s="49">
        <f>IFERROR(B166/A166,"")</f>
        <v>3.56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30</v>
      </c>
      <c r="B167" s="60">
        <v>132</v>
      </c>
      <c r="C167" s="60">
        <v>2</v>
      </c>
      <c r="D167" s="60">
        <v>24</v>
      </c>
      <c r="E167" s="51"/>
      <c r="F167" s="51"/>
      <c r="G167" s="51"/>
      <c r="H167" s="51">
        <v>1</v>
      </c>
      <c r="I167" s="49">
        <f t="shared" ref="I167:I185" si="6">IF(A167&lt;&gt;0,(B167-(B166-D166))/(A167-A166),"")</f>
        <v>14.2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35</v>
      </c>
      <c r="B168" s="60">
        <v>173</v>
      </c>
      <c r="C168" s="60">
        <v>3</v>
      </c>
      <c r="D168" s="60">
        <v>27</v>
      </c>
      <c r="E168" s="51">
        <v>1</v>
      </c>
      <c r="F168" s="51"/>
      <c r="G168" s="51"/>
      <c r="H168" s="51"/>
      <c r="I168" s="49">
        <f t="shared" si="6"/>
        <v>13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40</v>
      </c>
      <c r="B169" s="60">
        <v>208</v>
      </c>
      <c r="C169" s="60">
        <v>4</v>
      </c>
      <c r="D169" s="60">
        <v>32</v>
      </c>
      <c r="E169" s="51">
        <v>1</v>
      </c>
      <c r="F169" s="51"/>
      <c r="G169" s="51"/>
      <c r="H169" s="51"/>
      <c r="I169" s="49">
        <f t="shared" si="6"/>
        <v>12.4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45</v>
      </c>
      <c r="B170" s="60">
        <v>233</v>
      </c>
      <c r="C170" s="60">
        <v>5</v>
      </c>
      <c r="D170" s="60">
        <v>31</v>
      </c>
      <c r="E170" s="51">
        <v>1</v>
      </c>
      <c r="F170" s="51"/>
      <c r="G170" s="51"/>
      <c r="H170" s="51"/>
      <c r="I170" s="49">
        <f t="shared" si="6"/>
        <v>11.4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50</v>
      </c>
      <c r="B171" s="60">
        <v>253</v>
      </c>
      <c r="C171" s="60">
        <v>6</v>
      </c>
      <c r="D171" s="60">
        <v>30</v>
      </c>
      <c r="E171" s="51">
        <v>1</v>
      </c>
      <c r="F171" s="51"/>
      <c r="G171" s="51"/>
      <c r="H171" s="51"/>
      <c r="I171" s="49">
        <f t="shared" si="6"/>
        <v>10.199999999999999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55</v>
      </c>
      <c r="B172" s="60">
        <v>264</v>
      </c>
      <c r="C172" s="60">
        <v>7</v>
      </c>
      <c r="D172" s="60">
        <v>30</v>
      </c>
      <c r="E172" s="51">
        <v>1</v>
      </c>
      <c r="F172" s="51"/>
      <c r="G172" s="51"/>
      <c r="H172" s="51"/>
      <c r="I172" s="49">
        <f t="shared" si="6"/>
        <v>8.1999999999999993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60</v>
      </c>
      <c r="B173" s="50">
        <v>271</v>
      </c>
      <c r="C173" s="50">
        <v>8</v>
      </c>
      <c r="D173" s="50">
        <v>27</v>
      </c>
      <c r="E173" s="51">
        <v>1</v>
      </c>
      <c r="F173" s="51"/>
      <c r="G173" s="51"/>
      <c r="H173" s="51"/>
      <c r="I173" s="49">
        <f t="shared" si="6"/>
        <v>7.4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65</v>
      </c>
      <c r="B174" s="50">
        <v>276</v>
      </c>
      <c r="C174" s="50">
        <v>9</v>
      </c>
      <c r="D174" s="50">
        <v>26</v>
      </c>
      <c r="E174" s="51">
        <v>1</v>
      </c>
      <c r="F174" s="51"/>
      <c r="G174" s="51"/>
      <c r="H174" s="51"/>
      <c r="I174" s="49">
        <f t="shared" si="6"/>
        <v>6.4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70</v>
      </c>
      <c r="B175" s="50">
        <v>280</v>
      </c>
      <c r="C175" s="50">
        <v>10</v>
      </c>
      <c r="D175" s="50">
        <v>20</v>
      </c>
      <c r="E175" s="51">
        <v>1</v>
      </c>
      <c r="F175" s="51"/>
      <c r="G175" s="51"/>
      <c r="H175" s="51"/>
      <c r="I175" s="49">
        <f t="shared" si="6"/>
        <v>6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75</v>
      </c>
      <c r="B176" s="50">
        <v>286</v>
      </c>
      <c r="C176" s="50"/>
      <c r="D176" s="50"/>
      <c r="E176" s="51"/>
      <c r="F176" s="51"/>
      <c r="G176" s="51"/>
      <c r="H176" s="51"/>
      <c r="I176" s="49">
        <f t="shared" si="6"/>
        <v>5.2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9" t="s">
        <v>186</v>
      </c>
      <c r="D190" s="269"/>
      <c r="E190" s="270" t="s">
        <v>187</v>
      </c>
      <c r="F190" s="271"/>
      <c r="G190" s="271"/>
      <c r="H190" s="272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9" t="s">
        <v>186</v>
      </c>
      <c r="D216" s="269"/>
      <c r="E216" s="270" t="s">
        <v>187</v>
      </c>
      <c r="F216" s="271"/>
      <c r="G216" s="271"/>
      <c r="H216" s="272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9" t="s">
        <v>186</v>
      </c>
      <c r="D242" s="269"/>
      <c r="E242" s="270" t="s">
        <v>187</v>
      </c>
      <c r="F242" s="271"/>
      <c r="G242" s="271"/>
      <c r="H242" s="272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9" t="s">
        <v>186</v>
      </c>
      <c r="D268" s="269"/>
      <c r="E268" s="270" t="s">
        <v>187</v>
      </c>
      <c r="F268" s="271"/>
      <c r="G268" s="271"/>
      <c r="H268" s="272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6" zoomScale="115" zoomScaleNormal="115" workbookViewId="0">
      <selection activeCell="G17" sqref="G17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3" t="s">
        <v>191</v>
      </c>
      <c r="C2" s="284"/>
      <c r="D2" s="284"/>
      <c r="E2" s="284"/>
      <c r="F2" s="284"/>
      <c r="G2" s="28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2"/>
      <c r="C4" s="282"/>
      <c r="D4" s="282"/>
      <c r="E4" s="282"/>
      <c r="F4" s="282"/>
      <c r="G4" s="28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9" t="s">
        <v>176</v>
      </c>
      <c r="C1" s="290"/>
      <c r="D1" s="290"/>
      <c r="E1" s="290"/>
      <c r="F1" s="290"/>
      <c r="G1" s="290"/>
      <c r="H1" s="291"/>
      <c r="I1" s="286" t="str">
        <f>IF('Données projet'!$B$9="","",'Données projet'!$B$9)</f>
        <v>Mélèze d'Europe</v>
      </c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  <c r="AA1" s="287"/>
      <c r="AB1" s="287"/>
      <c r="AC1" s="288"/>
      <c r="AD1" s="287" t="str">
        <f>IF('Données projet'!$B$10="","",'Données projet'!$B$10)</f>
        <v>Sapin pectiné</v>
      </c>
      <c r="AE1" s="287"/>
      <c r="AF1" s="287"/>
      <c r="AG1" s="287"/>
      <c r="AH1" s="287"/>
      <c r="AI1" s="287"/>
      <c r="AJ1" s="287"/>
      <c r="AK1" s="287"/>
      <c r="AL1" s="287"/>
      <c r="AM1" s="287"/>
      <c r="AN1" s="287"/>
      <c r="AO1" s="287"/>
      <c r="AP1" s="287"/>
      <c r="AQ1" s="287"/>
      <c r="AR1" s="287"/>
      <c r="AS1" s="287"/>
      <c r="AT1" s="287"/>
      <c r="AU1" s="287"/>
      <c r="AV1" s="287"/>
      <c r="AW1" s="287"/>
      <c r="AX1" s="288"/>
      <c r="AY1" s="286" t="str">
        <f>IF('Données projet'!$B$11="","",'Données projet'!$B$11)</f>
        <v>Hêtre</v>
      </c>
      <c r="AZ1" s="287"/>
      <c r="BA1" s="287"/>
      <c r="BB1" s="287"/>
      <c r="BC1" s="287"/>
      <c r="BD1" s="287"/>
      <c r="BE1" s="287"/>
      <c r="BF1" s="287"/>
      <c r="BG1" s="287"/>
      <c r="BH1" s="287"/>
      <c r="BI1" s="287"/>
      <c r="BJ1" s="287"/>
      <c r="BK1" s="287"/>
      <c r="BL1" s="287"/>
      <c r="BM1" s="287"/>
      <c r="BN1" s="287"/>
      <c r="BO1" s="287"/>
      <c r="BP1" s="287"/>
      <c r="BQ1" s="287"/>
      <c r="BR1" s="287"/>
      <c r="BS1" s="288"/>
      <c r="BT1" s="286" t="str">
        <f>IF('Données projet'!$B$12="","",'Données projet'!$B$12)</f>
        <v>Erable sycomore</v>
      </c>
      <c r="BU1" s="287"/>
      <c r="BV1" s="287"/>
      <c r="BW1" s="287"/>
      <c r="BX1" s="287"/>
      <c r="BY1" s="287"/>
      <c r="BZ1" s="287"/>
      <c r="CA1" s="287"/>
      <c r="CB1" s="287"/>
      <c r="CC1" s="287"/>
      <c r="CD1" s="287"/>
      <c r="CE1" s="287"/>
      <c r="CF1" s="287"/>
      <c r="CG1" s="287"/>
      <c r="CH1" s="287"/>
      <c r="CI1" s="287"/>
      <c r="CJ1" s="287"/>
      <c r="CK1" s="287"/>
      <c r="CL1" s="287"/>
      <c r="CM1" s="287"/>
      <c r="CN1" s="288"/>
      <c r="CO1" s="286" t="str">
        <f>IF('Données projet'!$B$13="","",'Données projet'!$B$13)</f>
        <v>Alisier torminal</v>
      </c>
      <c r="CP1" s="287"/>
      <c r="CQ1" s="287"/>
      <c r="CR1" s="287"/>
      <c r="CS1" s="287"/>
      <c r="CT1" s="287"/>
      <c r="CU1" s="287"/>
      <c r="CV1" s="287"/>
      <c r="CW1" s="287"/>
      <c r="CX1" s="287"/>
      <c r="CY1" s="287"/>
      <c r="CZ1" s="287"/>
      <c r="DA1" s="287"/>
      <c r="DB1" s="287"/>
      <c r="DC1" s="287"/>
      <c r="DD1" s="287"/>
      <c r="DE1" s="287"/>
      <c r="DF1" s="287"/>
      <c r="DG1" s="287"/>
      <c r="DH1" s="287"/>
      <c r="DI1" s="288"/>
      <c r="DJ1" s="286" t="str">
        <f>IF('Données projet'!$B$14="","",'Données projet'!$B$14)</f>
        <v>Merisier</v>
      </c>
      <c r="DK1" s="287"/>
      <c r="DL1" s="287"/>
      <c r="DM1" s="287"/>
      <c r="DN1" s="287"/>
      <c r="DO1" s="287"/>
      <c r="DP1" s="287"/>
      <c r="DQ1" s="287"/>
      <c r="DR1" s="287"/>
      <c r="DS1" s="287"/>
      <c r="DT1" s="287"/>
      <c r="DU1" s="287"/>
      <c r="DV1" s="287"/>
      <c r="DW1" s="287"/>
      <c r="DX1" s="287"/>
      <c r="DY1" s="287"/>
      <c r="DZ1" s="287"/>
      <c r="EA1" s="287"/>
      <c r="EB1" s="287"/>
      <c r="EC1" s="287"/>
      <c r="ED1" s="288"/>
      <c r="EE1" s="286" t="str">
        <f>IF('Données projet'!$B$15="","",'Données projet'!$B$15)</f>
        <v/>
      </c>
      <c r="EF1" s="287"/>
      <c r="EG1" s="287"/>
      <c r="EH1" s="287"/>
      <c r="EI1" s="287"/>
      <c r="EJ1" s="287"/>
      <c r="EK1" s="287"/>
      <c r="EL1" s="287"/>
      <c r="EM1" s="287"/>
      <c r="EN1" s="287"/>
      <c r="EO1" s="287"/>
      <c r="EP1" s="287"/>
      <c r="EQ1" s="287"/>
      <c r="ER1" s="287"/>
      <c r="ES1" s="287"/>
      <c r="ET1" s="287"/>
      <c r="EU1" s="287"/>
      <c r="EV1" s="287"/>
      <c r="EW1" s="287"/>
      <c r="EX1" s="287"/>
      <c r="EY1" s="288"/>
      <c r="EZ1" s="286" t="str">
        <f>IF('Données projet'!$B$16="","",'Données projet'!$B$16)</f>
        <v/>
      </c>
      <c r="FA1" s="287"/>
      <c r="FB1" s="287"/>
      <c r="FC1" s="287"/>
      <c r="FD1" s="287"/>
      <c r="FE1" s="287"/>
      <c r="FF1" s="287"/>
      <c r="FG1" s="287"/>
      <c r="FH1" s="287"/>
      <c r="FI1" s="287"/>
      <c r="FJ1" s="287"/>
      <c r="FK1" s="287"/>
      <c r="FL1" s="287"/>
      <c r="FM1" s="287"/>
      <c r="FN1" s="287"/>
      <c r="FO1" s="287"/>
      <c r="FP1" s="287"/>
      <c r="FQ1" s="287"/>
      <c r="FR1" s="287"/>
      <c r="FS1" s="287"/>
      <c r="FT1" s="288"/>
      <c r="FU1" s="286" t="str">
        <f>IF('Données projet'!$B$17="","",'Données projet'!$B$17)</f>
        <v/>
      </c>
      <c r="FV1" s="287"/>
      <c r="FW1" s="287"/>
      <c r="FX1" s="287"/>
      <c r="FY1" s="287"/>
      <c r="FZ1" s="287"/>
      <c r="GA1" s="287"/>
      <c r="GB1" s="287"/>
      <c r="GC1" s="287"/>
      <c r="GD1" s="287"/>
      <c r="GE1" s="287"/>
      <c r="GF1" s="287"/>
      <c r="GG1" s="287"/>
      <c r="GH1" s="287"/>
      <c r="GI1" s="287"/>
      <c r="GJ1" s="287"/>
      <c r="GK1" s="287"/>
      <c r="GL1" s="287"/>
      <c r="GM1" s="287"/>
      <c r="GN1" s="287"/>
      <c r="GO1" s="288"/>
      <c r="GP1" s="286" t="str">
        <f>IF('Données projet'!$B$18="","",'Données projet'!$B$18)</f>
        <v/>
      </c>
      <c r="GQ1" s="287"/>
      <c r="GR1" s="287"/>
      <c r="GS1" s="287"/>
      <c r="GT1" s="287"/>
      <c r="GU1" s="287"/>
      <c r="GV1" s="287"/>
      <c r="GW1" s="287"/>
      <c r="GX1" s="287"/>
      <c r="GY1" s="287"/>
      <c r="GZ1" s="287"/>
      <c r="HA1" s="287"/>
      <c r="HB1" s="287"/>
      <c r="HC1" s="287"/>
      <c r="HD1" s="287"/>
      <c r="HE1" s="287"/>
      <c r="HF1" s="287"/>
      <c r="HG1" s="287"/>
      <c r="HH1" s="287"/>
      <c r="HI1" s="287"/>
      <c r="HJ1" s="288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269.77739619445515</v>
      </c>
      <c r="T3" s="59">
        <f>IF('Données projet'!E9&gt;30,$R$33-$H$33,LOOKUP('Données projet'!$E$9,$A$3:$A$203,R3:R203)-LOOKUP('Données projet'!$E$9,$A$3:$A$203,$H$3:$H$203))</f>
        <v>347.56964743629885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396.27049617044378</v>
      </c>
      <c r="AO3" s="59">
        <f>IF('Données projet'!E10&gt;30,$AM$33-$H$33,LOOKUP('Données projet'!$E$10,$A$3:$A$203,AM3:AM203)-LOOKUP('Données projet'!$E$10,$A$3:$A$203,$H$3:$H$203))</f>
        <v>335.2680289568774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352.61091660077574</v>
      </c>
      <c r="BJ3" s="59">
        <f>IF('Données projet'!E11&gt;30,$BH$33-$H$33,LOOKUP('Données projet'!$E$11,$A$3:$A$203,BH3:BH203)-LOOKUP('Données projet'!$E$11,$A$3:$A$203,$H$3:$H$203))</f>
        <v>186.48649111821521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225.2323446080772</v>
      </c>
      <c r="CE3" s="59">
        <f>IF('Données projet'!E12&gt;30,$CC$33-$H$33,LOOKUP('Données projet'!$E$12,$A$3:$A$203,CC3:CC203)-LOOKUP('Données projet'!$E$12,$A$3:$A$203,$H$3:$H$203))</f>
        <v>222.29030402759292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212.32823943192528</v>
      </c>
      <c r="CZ3" s="59">
        <f>IF('Données projet'!E13&gt;30,$CX$33-$H$33,LOOKUP('Données projet'!$E$13,$A$3:$A$203,CX3:CX203)-LOOKUP('Données projet'!$E$13,$A$3:$A$203,$H$3:$H$203))</f>
        <v>209.60834138503003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215.84581110302656</v>
      </c>
      <c r="DU3" s="59">
        <f>IF('Données projet'!E14&gt;30,$DS$33-$H$33,LOOKUP('Données projet'!$E$14,$A$3:$A$203,DS3:DS203)-LOOKUP('Données projet'!$E$14,$A$3:$A$203,$H$3:$H$203))</f>
        <v>193.88588526156104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6">
        <f t="shared" ref="H4:H67" si="1">(B4+E4+F4)*44/12+(C4+D4)*0.475*44/12</f>
        <v>294.5914728578652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8.5833333333333339</v>
      </c>
      <c r="N4" s="13">
        <f>IF('Données projet'!$A$36&gt;35,N3+M4-V3,IF(A4&lt;'Données projet'!$A$36,$K$205^A4,IF(A4='Données projet'!$A$36,'Données projet'!$B$36,N3+M4-V3)))</f>
        <v>1.4714192565876152</v>
      </c>
      <c r="O4" s="13">
        <f>N4*VLOOKUP('Données projet'!$B$9,Paramètres!$A$1:$I$89,3,0)*VLOOKUP('Données projet'!$B$9,Paramètres!$A$1:$I$89,5,0)</f>
        <v>0.91816561611067193</v>
      </c>
      <c r="P4" s="13">
        <f>EXP(-1.0587+0.8836*LN(O4)+0.284)</f>
        <v>0.42735528842602116</v>
      </c>
      <c r="Q4" s="20">
        <f t="shared" ref="Q4:Q34" si="2">(O4+P4)*0.475*44/12</f>
        <v>2.3434489087347408</v>
      </c>
      <c r="R4" s="59">
        <f t="shared" si="0"/>
        <v>295.67678224206804</v>
      </c>
      <c r="S4" s="59">
        <f ca="1">AVERAGE(OFFSET($R$3,0,0,'Données projet'!$E$9+1,1))-AVERAGE(OFFSET($H$3,0,0,'Données projet'!$E$9+1,1))</f>
        <v>269.77739619445515</v>
      </c>
      <c r="T4" s="59">
        <f>$T$3</f>
        <v>347.56964743629885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2.8</v>
      </c>
      <c r="AI4" s="13">
        <f>IF('Données projet'!$A$62&gt;35,AI3+AH4-AQ3,IF(A4&lt;'Données projet'!$A$62,$AF$205^A4,IF(A4='Données projet'!$A$62,'Données projet'!$B$62,AI3+AH4-AQ3)))</f>
        <v>1.282970348825361</v>
      </c>
      <c r="AJ4" s="13">
        <f>AI4*VLOOKUP('Données projet'!$B$10,Paramètres!$A$1:$I$89,3,0)*VLOOKUP('Données projet'!$B$10,Paramètres!$A$1:$I$89,5,0)</f>
        <v>0.63378735231972827</v>
      </c>
      <c r="AK4" s="13">
        <f>EXP(-1.0587+0.8836*LN(AJ4)+0.284)</f>
        <v>0.30799906762428558</v>
      </c>
      <c r="AL4" s="20">
        <f t="shared" ref="AL4:AL67" si="4">(AJ4+AK4)*0.475*44/12</f>
        <v>1.6402780147358238</v>
      </c>
      <c r="AM4" s="59">
        <f t="shared" ref="AM4:AM67" si="5">AL4+(AD4+AE4)*44/12</f>
        <v>294.97361134806914</v>
      </c>
      <c r="AN4" s="59">
        <f ca="1">AVERAGE(OFFSET($AM$3,0,0,'Données projet'!$E$10+1,1))-AVERAGE(OFFSET($H$3,0,0,'Données projet'!$E$10+1,1))</f>
        <v>396.27049617044378</v>
      </c>
      <c r="AO4" s="59">
        <f>$AO$3</f>
        <v>335.2680289568774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1.6</v>
      </c>
      <c r="BD4" s="12">
        <f>IF('Données projet'!$A$88&gt;35,BD3+BC4-BL3,IF(A4&lt;'Données projet'!$A$88,$BA$205^A4,IF(A4='Données projet'!$A$88,'Données projet'!$B$88,BD3+BC4-BL3)))</f>
        <v>1.189207115002721</v>
      </c>
      <c r="BE4" s="13">
        <f>BD4*VLOOKUP('Données projet'!$B$11,Paramètres!$A$1:$I$89,3,0)*VLOOKUP('Données projet'!$B$11,Paramètres!$A$1:$I$89,5,0)</f>
        <v>1.0203397046723348</v>
      </c>
      <c r="BF4" s="13">
        <f>EXP(-1.0587+0.8836*LN(BE4)+0.284)</f>
        <v>0.46911460970544039</v>
      </c>
      <c r="BG4" s="20">
        <f t="shared" ref="BG4:BG67" si="7">(BE4+BF4)*0.475*44/12</f>
        <v>2.594132930874625</v>
      </c>
      <c r="BH4" s="59">
        <f t="shared" ref="BH4:BH67" si="8">BG4+(AY4+AZ4)*44/12</f>
        <v>295.92746626420796</v>
      </c>
      <c r="BI4" s="59">
        <f ca="1">AVERAGE(OFFSET($BH$3,0,0,'Données projet'!$E$11+1,1))-AVERAGE(OFFSET($H$3,0,0,'Données projet'!$E$11+1,1))</f>
        <v>352.61091660077574</v>
      </c>
      <c r="BJ4" s="59">
        <f>$BJ$3</f>
        <v>186.48649111821521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2.4666666666666668</v>
      </c>
      <c r="BY4" s="12">
        <f>IF('Données projet'!$A$114&gt;35,BY3+BX4-CG3,IF(A4&lt;'Données projet'!$A$114,$BV$205^A4,IF(A4='Données projet'!$A$114,'Données projet'!$B$114,BY3+BX4-CG3)))</f>
        <v>1.2721747796233518</v>
      </c>
      <c r="BZ4" s="13">
        <f>BY4*VLOOKUP('Données projet'!$B$12,Paramètres!$A$1:$I$89,3,0)*VLOOKUP('Données projet'!$B$12,Paramètres!$A$1:$I$89,5,0)</f>
        <v>1.0121422546683387</v>
      </c>
      <c r="CA4" s="13">
        <f>EXP(-1.0587+0.8836*LN(BZ4)+0.284)</f>
        <v>0.46578286063395047</v>
      </c>
      <c r="CB4" s="20">
        <f t="shared" ref="CB4:CB67" si="10">(BZ4+CA4)*0.475*44/12</f>
        <v>2.574052909151487</v>
      </c>
      <c r="CC4" s="59">
        <f t="shared" ref="CC4:CC67" si="11">CB4+(BT4+BU4)*44/12</f>
        <v>295.90738624248479</v>
      </c>
      <c r="CD4" s="59">
        <f ca="1">AVERAGE(OFFSET($CC$3,0,0,'Données projet'!$E$12+1,1))-AVERAGE(OFFSET($H$3,0,0,'Données projet'!$E$12+1,1))</f>
        <v>225.2323446080772</v>
      </c>
      <c r="CE4" s="59">
        <f>$CE$3</f>
        <v>222.29030402759292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0.6</v>
      </c>
      <c r="CT4" s="12">
        <f>IF('Données projet'!$A$140&gt;35,CT3+CS4-DB3,IF(A4&lt;'Données projet'!$A$140,$CQ$205^A4,IF(A4='Données projet'!$A$140,'Données projet'!$B$140,CT3+CS4-DB3)))</f>
        <v>1.1577536725165907</v>
      </c>
      <c r="CU4" s="17">
        <f>CT4*VLOOKUP('Données projet'!$B$13,Paramètres!$A$1:$I$89,3,0)*VLOOKUP('Données projet'!$B$13,Paramètres!$A$1:$I$89,5,0)</f>
        <v>1.1197793520580466</v>
      </c>
      <c r="CV4" s="13">
        <f>EXP(-1.0587+0.8836*LN(CU4)+0.284)</f>
        <v>0.50929041446012979</v>
      </c>
      <c r="CW4" s="20">
        <f t="shared" ref="CW4:CW67" si="13">(CU4+CV4)*0.475*44/12</f>
        <v>2.8372965100191574</v>
      </c>
      <c r="CX4" s="59">
        <f t="shared" ref="CX4:CX67" si="14">CW4+(CO4+CP4)*44/12</f>
        <v>296.17062984335246</v>
      </c>
      <c r="CY4" s="59">
        <f ca="1">AVERAGE(OFFSET($CX$3,0,0,'Données projet'!$E$13+1,1))-AVERAGE(OFFSET($H$3,0,0,'Données projet'!$E$13+1,1))</f>
        <v>212.32823943192528</v>
      </c>
      <c r="CZ4" s="59">
        <f>$CZ$3</f>
        <v>209.60834138503003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3.56</v>
      </c>
      <c r="DO4" s="12">
        <f>IF('Données projet'!$A$166&gt;35,DO3+DN4-DW3,IF(A4&lt;'Données projet'!$A$166,$DL$205^A4,IF(A4='Données projet'!$A$166,'Données projet'!$B$166,DO3+DN4-DW3)))</f>
        <v>1.1966732973638288</v>
      </c>
      <c r="DP4" s="17">
        <f>DO4*VLOOKUP('Données projet'!$B$14,Paramètres!$A$1:$I$89,3,0)*VLOOKUP('Données projet'!$B$14,Paramètres!$A$1:$I$89,5,0)</f>
        <v>0.93340517194378647</v>
      </c>
      <c r="DQ4" s="13">
        <f>EXP(-1.0587+0.8836*LN(DP4)+0.284)</f>
        <v>0.43361679609549247</v>
      </c>
      <c r="DR4" s="20">
        <f t="shared" ref="DR4:DR67" si="16">(DP4+DQ4)*0.475*44/12</f>
        <v>2.3808965943350775</v>
      </c>
      <c r="DS4" s="59">
        <f t="shared" ref="DS4:DS67" si="17">DR4+(DJ4+DK4)*44/12</f>
        <v>295.71422992766838</v>
      </c>
      <c r="DT4" s="59">
        <f ca="1">AVERAGE(OFFSET($DS$3,0,0,'Données projet'!$E$14+1,1))-AVERAGE(OFFSET($H$3,0,0,'Données projet'!$E$14+1,1))</f>
        <v>215.84581110302656</v>
      </c>
      <c r="DU4" s="59">
        <f>$DU$3</f>
        <v>193.88588526156104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6">
        <f t="shared" si="1"/>
        <v>295.78443952307919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8.5833333333333339</v>
      </c>
      <c r="N5" s="13">
        <f>IF('Données projet'!$A$36&gt;35,N4+M5-V4,IF(A5&lt;'Données projet'!$A$36,$K$205^A5,IF(A5='Données projet'!$A$36,'Données projet'!$B$36,N4+M5-V4)))</f>
        <v>2.1650746286568503</v>
      </c>
      <c r="O5" s="13">
        <f>N5*VLOOKUP('Données projet'!$B$9,Paramètres!$A$1:$I$89,3,0)*VLOOKUP('Données projet'!$B$9,Paramètres!$A$1:$I$89,5,0)</f>
        <v>1.3510065682818746</v>
      </c>
      <c r="P5" s="13">
        <f t="shared" ref="P5:P68" si="33">EXP(-1.0587+0.8836*LN(O5)+0.284)</f>
        <v>0.60117511749976371</v>
      </c>
      <c r="Q5" s="20">
        <f t="shared" si="2"/>
        <v>3.4000497694030201</v>
      </c>
      <c r="R5" s="59">
        <f t="shared" si="0"/>
        <v>296.73338310273635</v>
      </c>
      <c r="S5" s="59">
        <f ca="1">AVERAGE(OFFSET($R$3,0,0,'Données projet'!$E$9+1,1))-AVERAGE(OFFSET($H$3,0,0,'Données projet'!$E$9+1,1))</f>
        <v>269.77739619445515</v>
      </c>
      <c r="T5" s="59">
        <f t="shared" ref="T5:T68" si="34">$T$3</f>
        <v>347.56964743629885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2.8</v>
      </c>
      <c r="AI5" s="13">
        <f>IF('Données projet'!$A$62&gt;35,AI4+AH5-AQ4,IF(A5&lt;'Données projet'!$A$62,$AF$205^A5,IF(A5='Données projet'!$A$62,'Données projet'!$B$62,AI4+AH5-AQ4)))</f>
        <v>1.6460129159650685</v>
      </c>
      <c r="AJ5" s="13">
        <f>AI5*VLOOKUP('Données projet'!$B$10,Paramètres!$A$1:$I$89,3,0)*VLOOKUP('Données projet'!$B$10,Paramètres!$A$1:$I$89,5,0)</f>
        <v>0.81313038048674391</v>
      </c>
      <c r="AK5" s="13">
        <f t="shared" ref="AK5:AK68" si="35">EXP(-1.0587+0.8836*LN(AJ5)+0.284)</f>
        <v>0.38385712540288347</v>
      </c>
      <c r="AL5" s="20">
        <f t="shared" si="4"/>
        <v>2.0847532394244346</v>
      </c>
      <c r="AM5" s="59">
        <f t="shared" si="5"/>
        <v>295.41808657275777</v>
      </c>
      <c r="AN5" s="59">
        <f ca="1">AVERAGE(OFFSET($AM$3,0,0,'Données projet'!$E$10+1,1))-AVERAGE(OFFSET($H$3,0,0,'Données projet'!$E$10+1,1))</f>
        <v>396.27049617044378</v>
      </c>
      <c r="AO5" s="59">
        <f t="shared" ref="AO5:AO68" si="36">$AO$3</f>
        <v>335.2680289568774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1.6</v>
      </c>
      <c r="BD5" s="12">
        <f>IF('Données projet'!$A$88&gt;35,BD4+BC5-BL4,IF(A5&lt;'Données projet'!$A$88,$BA$205^A5,IF(A5='Données projet'!$A$88,'Données projet'!$B$88,BD4+BC5-BL4)))</f>
        <v>1.4142135623730949</v>
      </c>
      <c r="BE5" s="13">
        <f>BD5*VLOOKUP('Données projet'!$B$11,Paramètres!$A$1:$I$89,3,0)*VLOOKUP('Données projet'!$B$11,Paramètres!$A$1:$I$89,5,0)</f>
        <v>1.2133952365161156</v>
      </c>
      <c r="BF5" s="13">
        <f t="shared" ref="BF5:BF68" si="37">EXP(-1.0587+0.8836*LN(BE5)+0.284)</f>
        <v>0.54673450619692521</v>
      </c>
      <c r="BG5" s="20">
        <f t="shared" si="7"/>
        <v>3.0655593018918794</v>
      </c>
      <c r="BH5" s="59">
        <f t="shared" si="8"/>
        <v>296.3988926352252</v>
      </c>
      <c r="BI5" s="59">
        <f ca="1">AVERAGE(OFFSET($BH$3,0,0,'Données projet'!$E$11+1,1))-AVERAGE(OFFSET($H$3,0,0,'Données projet'!$E$11+1,1))</f>
        <v>352.61091660077574</v>
      </c>
      <c r="BJ5" s="59">
        <f t="shared" ref="BJ5:BJ68" si="38">$BJ$3</f>
        <v>186.48649111821521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2.4666666666666668</v>
      </c>
      <c r="BY5" s="12">
        <f>IF('Données projet'!$A$114&gt;35,BY4+BX5-CG4,IF(A5&lt;'Données projet'!$A$114,$BV$205^A5,IF(A5='Données projet'!$A$114,'Données projet'!$B$114,BY4+BX5-CG4)))</f>
        <v>1.6184286699097237</v>
      </c>
      <c r="BZ5" s="13">
        <f>BY5*VLOOKUP('Données projet'!$B$12,Paramètres!$A$1:$I$89,3,0)*VLOOKUP('Données projet'!$B$12,Paramètres!$A$1:$I$89,5,0)</f>
        <v>1.2876218497801761</v>
      </c>
      <c r="CA5" s="13">
        <f t="shared" ref="CA5:CA68" si="39">EXP(-1.0587+0.8836*LN(BZ5)+0.284)</f>
        <v>0.57618379541883336</v>
      </c>
      <c r="CB5" s="20">
        <f t="shared" si="10"/>
        <v>3.2461281653882743</v>
      </c>
      <c r="CC5" s="59">
        <f t="shared" si="11"/>
        <v>296.57946149872157</v>
      </c>
      <c r="CD5" s="59">
        <f ca="1">AVERAGE(OFFSET($CC$3,0,0,'Données projet'!$E$12+1,1))-AVERAGE(OFFSET($H$3,0,0,'Données projet'!$E$12+1,1))</f>
        <v>225.2323446080772</v>
      </c>
      <c r="CE5" s="59">
        <f t="shared" ref="CE5:CE68" si="40">$CE$3</f>
        <v>222.29030402759292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0.6</v>
      </c>
      <c r="CT5" s="12">
        <f>IF('Données projet'!$A$140&gt;35,CT4+CS5-DB4,IF(A5&lt;'Données projet'!$A$140,$CQ$205^A5,IF(A5='Données projet'!$A$140,'Données projet'!$B$140,CT4+CS5-DB4)))</f>
        <v>1.340393566225653</v>
      </c>
      <c r="CU5" s="17">
        <f>CT5*VLOOKUP('Données projet'!$B$13,Paramètres!$A$1:$I$89,3,0)*VLOOKUP('Données projet'!$B$13,Paramètres!$A$1:$I$89,5,0)</f>
        <v>1.2964286572534516</v>
      </c>
      <c r="CV5" s="13">
        <f t="shared" ref="CV5:CV68" si="41">EXP(-1.0587+0.8836*LN(CU5)+0.284)</f>
        <v>0.57966455829950847</v>
      </c>
      <c r="CW5" s="20">
        <f t="shared" si="13"/>
        <v>3.2675290170880715</v>
      </c>
      <c r="CX5" s="59">
        <f t="shared" si="14"/>
        <v>296.60086235042138</v>
      </c>
      <c r="CY5" s="59">
        <f ca="1">AVERAGE(OFFSET($CX$3,0,0,'Données projet'!$E$13+1,1))-AVERAGE(OFFSET($H$3,0,0,'Données projet'!$E$13+1,1))</f>
        <v>212.32823943192528</v>
      </c>
      <c r="CZ5" s="59">
        <f t="shared" ref="CZ5:CZ68" si="42">$CZ$3</f>
        <v>209.60834138503003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3.56</v>
      </c>
      <c r="DO5" s="12">
        <f>IF('Données projet'!$A$166&gt;35,DO4+DN5-DW4,IF(A5&lt;'Données projet'!$A$166,$DL$205^A5,IF(A5='Données projet'!$A$166,'Données projet'!$B$166,DO4+DN5-DW4)))</f>
        <v>1.4320269806236186</v>
      </c>
      <c r="DP5" s="17">
        <f>DO5*VLOOKUP('Données projet'!$B$14,Paramètres!$A$1:$I$89,3,0)*VLOOKUP('Données projet'!$B$14,Paramètres!$A$1:$I$89,5,0)</f>
        <v>1.1169810448864226</v>
      </c>
      <c r="DQ5" s="13">
        <f t="shared" ref="DQ5:DQ68" si="43">EXP(-1.0587+0.8836*LN(DP5)+0.284)</f>
        <v>0.50816568684575236</v>
      </c>
      <c r="DR5" s="20">
        <f t="shared" si="16"/>
        <v>2.8304638911002047</v>
      </c>
      <c r="DS5" s="59">
        <f t="shared" si="17"/>
        <v>296.16379722443349</v>
      </c>
      <c r="DT5" s="59">
        <f ca="1">AVERAGE(OFFSET($DS$3,0,0,'Données projet'!$E$14+1,1))-AVERAGE(OFFSET($H$3,0,0,'Données projet'!$E$14+1,1))</f>
        <v>215.84581110302656</v>
      </c>
      <c r="DU5" s="59">
        <f t="shared" ref="DU5:DU68" si="44">$DU$3</f>
        <v>193.88588526156104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6">
        <f t="shared" si="1"/>
        <v>296.95635862620634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8.5833333333333339</v>
      </c>
      <c r="N6" s="13">
        <f>IF('Données projet'!$A$36&gt;35,N5+M6-V5,IF(A6&lt;'Données projet'!$A$36,$K$205^A6,IF(A6='Données projet'!$A$36,'Données projet'!$B$36,N5+M6-V5)))</f>
        <v>3.1857325005549697</v>
      </c>
      <c r="O6" s="13">
        <f>N6*VLOOKUP('Données projet'!$B$9,Paramètres!$A$1:$I$89,3,0)*VLOOKUP('Données projet'!$B$9,Paramètres!$A$1:$I$89,5,0)</f>
        <v>1.9878970803463012</v>
      </c>
      <c r="P6" s="13">
        <f t="shared" si="33"/>
        <v>0.84569334155652565</v>
      </c>
      <c r="Q6" s="20">
        <f t="shared" si="2"/>
        <v>4.93516998481409</v>
      </c>
      <c r="R6" s="59">
        <f t="shared" si="0"/>
        <v>298.2685033181474</v>
      </c>
      <c r="S6" s="59">
        <f ca="1">AVERAGE(OFFSET($R$3,0,0,'Données projet'!$E$9+1,1))-AVERAGE(OFFSET($H$3,0,0,'Données projet'!$E$9+1,1))</f>
        <v>269.77739619445515</v>
      </c>
      <c r="T6" s="59">
        <f t="shared" si="34"/>
        <v>347.56964743629885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2.8</v>
      </c>
      <c r="AI6" s="13">
        <f>IF('Données projet'!$A$62&gt;35,AI5+AH6-AQ5,IF(A6&lt;'Données projet'!$A$62,$AF$205^A6,IF(A6='Données projet'!$A$62,'Données projet'!$B$62,AI5+AH6-AQ5)))</f>
        <v>2.1117857649667533</v>
      </c>
      <c r="AJ6" s="13">
        <f>AI6*VLOOKUP('Données projet'!$B$10,Paramètres!$A$1:$I$89,3,0)*VLOOKUP('Données projet'!$B$10,Paramètres!$A$1:$I$89,5,0)</f>
        <v>1.0432221678935762</v>
      </c>
      <c r="AK6" s="13">
        <f t="shared" si="35"/>
        <v>0.47839850249906024</v>
      </c>
      <c r="AL6" s="20">
        <f t="shared" si="4"/>
        <v>2.6501560009338418</v>
      </c>
      <c r="AM6" s="59">
        <f t="shared" si="5"/>
        <v>295.98348933426718</v>
      </c>
      <c r="AN6" s="59">
        <f ca="1">AVERAGE(OFFSET($AM$3,0,0,'Données projet'!$E$10+1,1))-AVERAGE(OFFSET($H$3,0,0,'Données projet'!$E$10+1,1))</f>
        <v>396.27049617044378</v>
      </c>
      <c r="AO6" s="59">
        <f t="shared" si="36"/>
        <v>335.2680289568774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1.6</v>
      </c>
      <c r="BD6" s="12">
        <f>IF('Données projet'!$A$88&gt;35,BD5+BC6-BL5,IF(A6&lt;'Données projet'!$A$88,$BA$205^A6,IF(A6='Données projet'!$A$88,'Données projet'!$B$88,BD5+BC6-BL5)))</f>
        <v>1.6817928305074288</v>
      </c>
      <c r="BE6" s="13">
        <f>BD6*VLOOKUP('Données projet'!$B$11,Paramètres!$A$1:$I$89,3,0)*VLOOKUP('Données projet'!$B$11,Paramètres!$A$1:$I$89,5,0)</f>
        <v>1.4429782485753739</v>
      </c>
      <c r="BF6" s="13">
        <f t="shared" si="37"/>
        <v>0.6371974227238163</v>
      </c>
      <c r="BG6" s="20">
        <f t="shared" si="7"/>
        <v>3.6229726275127558</v>
      </c>
      <c r="BH6" s="59">
        <f t="shared" si="8"/>
        <v>296.95630596084607</v>
      </c>
      <c r="BI6" s="59">
        <f ca="1">AVERAGE(OFFSET($BH$3,0,0,'Données projet'!$E$11+1,1))-AVERAGE(OFFSET($H$3,0,0,'Données projet'!$E$11+1,1))</f>
        <v>352.61091660077574</v>
      </c>
      <c r="BJ6" s="59">
        <f t="shared" si="38"/>
        <v>186.48649111821521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2.4666666666666668</v>
      </c>
      <c r="BY6" s="12">
        <f>IF('Données projet'!$A$114&gt;35,BY5+BX6-CG5,IF(A6&lt;'Données projet'!$A$114,$BV$205^A6,IF(A6='Données projet'!$A$114,'Données projet'!$B$114,BY5+BX6-CG5)))</f>
        <v>2.0589241364785171</v>
      </c>
      <c r="BZ6" s="13">
        <f>BY6*VLOOKUP('Données projet'!$B$12,Paramètres!$A$1:$I$89,3,0)*VLOOKUP('Données projet'!$B$12,Paramètres!$A$1:$I$89,5,0)</f>
        <v>1.6380800429823084</v>
      </c>
      <c r="CA6" s="13">
        <f t="shared" si="39"/>
        <v>0.71275221602487127</v>
      </c>
      <c r="CB6" s="20">
        <f t="shared" si="10"/>
        <v>4.0943661844375043</v>
      </c>
      <c r="CC6" s="59">
        <f t="shared" si="11"/>
        <v>297.4276995177708</v>
      </c>
      <c r="CD6" s="59">
        <f ca="1">AVERAGE(OFFSET($CC$3,0,0,'Données projet'!$E$12+1,1))-AVERAGE(OFFSET($H$3,0,0,'Données projet'!$E$12+1,1))</f>
        <v>225.2323446080772</v>
      </c>
      <c r="CE6" s="59">
        <f t="shared" si="40"/>
        <v>222.29030402759292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0.6</v>
      </c>
      <c r="CT6" s="12">
        <f>IF('Données projet'!$A$140&gt;35,CT5+CS6-DB5,IF(A6&lt;'Données projet'!$A$140,$CQ$205^A6,IF(A6='Données projet'!$A$140,'Données projet'!$B$140,CT5+CS6-DB5)))</f>
        <v>1.5518455739153598</v>
      </c>
      <c r="CU6" s="17">
        <f>CT6*VLOOKUP('Données projet'!$B$13,Paramètres!$A$1:$I$89,3,0)*VLOOKUP('Données projet'!$B$13,Paramètres!$A$1:$I$89,5,0)</f>
        <v>1.500945039090936</v>
      </c>
      <c r="CV6" s="13">
        <f t="shared" si="41"/>
        <v>0.65976305582886463</v>
      </c>
      <c r="CW6" s="20">
        <f t="shared" si="13"/>
        <v>3.7632332653186524</v>
      </c>
      <c r="CX6" s="59">
        <f t="shared" si="14"/>
        <v>297.09656659865198</v>
      </c>
      <c r="CY6" s="59">
        <f ca="1">AVERAGE(OFFSET($CX$3,0,0,'Données projet'!$E$13+1,1))-AVERAGE(OFFSET($H$3,0,0,'Données projet'!$E$13+1,1))</f>
        <v>212.32823943192528</v>
      </c>
      <c r="CZ6" s="59">
        <f t="shared" si="42"/>
        <v>209.60834138503003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3.56</v>
      </c>
      <c r="DO6" s="12">
        <f>IF('Données projet'!$A$166&gt;35,DO5+DN6-DW5,IF(A6&lt;'Données projet'!$A$166,$DL$205^A6,IF(A6='Données projet'!$A$166,'Données projet'!$B$166,DO5+DN6-DW5)))</f>
        <v>1.7136684488168334</v>
      </c>
      <c r="DP6" s="17">
        <f>DO6*VLOOKUP('Données projet'!$B$14,Paramètres!$A$1:$I$89,3,0)*VLOOKUP('Données projet'!$B$14,Paramètres!$A$1:$I$89,5,0)</f>
        <v>1.33666139007713</v>
      </c>
      <c r="DQ6" s="13">
        <f t="shared" si="43"/>
        <v>0.59553127926010163</v>
      </c>
      <c r="DR6" s="20">
        <f t="shared" si="16"/>
        <v>3.3652355657623452</v>
      </c>
      <c r="DS6" s="59">
        <f t="shared" si="17"/>
        <v>296.69856889909568</v>
      </c>
      <c r="DT6" s="59">
        <f ca="1">AVERAGE(OFFSET($DS$3,0,0,'Données projet'!$E$14+1,1))-AVERAGE(OFFSET($H$3,0,0,'Données projet'!$E$14+1,1))</f>
        <v>215.84581110302656</v>
      </c>
      <c r="DU6" s="59">
        <f t="shared" si="44"/>
        <v>193.88588526156104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6">
        <f t="shared" si="1"/>
        <v>298.11530352234041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8.5833333333333339</v>
      </c>
      <c r="N7" s="13">
        <f>IF('Données projet'!$A$36&gt;35,N6+M7-V6,IF(A7&lt;'Données projet'!$A$36,$K$205^A7,IF(A7='Données projet'!$A$36,'Données projet'!$B$36,N6+M7-V6)))</f>
        <v>4.6875481476535983</v>
      </c>
      <c r="O7" s="13">
        <f>N7*VLOOKUP('Données projet'!$B$9,Paramètres!$A$1:$I$89,3,0)*VLOOKUP('Données projet'!$B$9,Paramètres!$A$1:$I$89,5,0)</f>
        <v>2.9250300441358457</v>
      </c>
      <c r="P7" s="13">
        <f t="shared" si="33"/>
        <v>1.1896653855660013</v>
      </c>
      <c r="Q7" s="20">
        <f t="shared" si="2"/>
        <v>7.1664278733973825</v>
      </c>
      <c r="R7" s="59">
        <f t="shared" si="0"/>
        <v>300.49976120673068</v>
      </c>
      <c r="S7" s="59">
        <f ca="1">AVERAGE(OFFSET($R$3,0,0,'Données projet'!$E$9+1,1))-AVERAGE(OFFSET($H$3,0,0,'Données projet'!$E$9+1,1))</f>
        <v>269.77739619445515</v>
      </c>
      <c r="T7" s="59">
        <f t="shared" si="34"/>
        <v>347.56964743629885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2.8</v>
      </c>
      <c r="AI7" s="13">
        <f>IF('Données projet'!$A$62&gt;35,AI6+AH7-AQ6,IF(A7&lt;'Données projet'!$A$62,$AF$205^A7,IF(A7='Données projet'!$A$62,'Données projet'!$B$62,AI6+AH7-AQ6)))</f>
        <v>2.7093585195238274</v>
      </c>
      <c r="AJ7" s="13">
        <f>AI7*VLOOKUP('Données projet'!$B$10,Paramètres!$A$1:$I$89,3,0)*VLOOKUP('Données projet'!$B$10,Paramètres!$A$1:$I$89,5,0)</f>
        <v>1.3384231086447707</v>
      </c>
      <c r="AK7" s="13">
        <f t="shared" si="35"/>
        <v>0.5962247723111409</v>
      </c>
      <c r="AL7" s="20">
        <f t="shared" si="4"/>
        <v>3.3695117259982124</v>
      </c>
      <c r="AM7" s="59">
        <f t="shared" si="5"/>
        <v>296.70284505933154</v>
      </c>
      <c r="AN7" s="59">
        <f ca="1">AVERAGE(OFFSET($AM$3,0,0,'Données projet'!$E$10+1,1))-AVERAGE(OFFSET($H$3,0,0,'Données projet'!$E$10+1,1))</f>
        <v>396.27049617044378</v>
      </c>
      <c r="AO7" s="59">
        <f t="shared" si="36"/>
        <v>335.2680289568774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1.6</v>
      </c>
      <c r="BD7" s="12">
        <f>IF('Données projet'!$A$88&gt;35,BD6+BC7-BL6,IF(A7&lt;'Données projet'!$A$88,$BA$205^A7,IF(A7='Données projet'!$A$88,'Données projet'!$B$88,BD6+BC7-BL6)))</f>
        <v>1.9999999999999996</v>
      </c>
      <c r="BE7" s="13">
        <f>BD7*VLOOKUP('Données projet'!$B$11,Paramètres!$A$1:$I$89,3,0)*VLOOKUP('Données projet'!$B$11,Paramètres!$A$1:$I$89,5,0)</f>
        <v>1.7159999999999997</v>
      </c>
      <c r="BF7" s="13">
        <f t="shared" si="37"/>
        <v>0.74262837066960552</v>
      </c>
      <c r="BG7" s="20">
        <f t="shared" si="7"/>
        <v>4.2821110789162296</v>
      </c>
      <c r="BH7" s="59">
        <f t="shared" si="8"/>
        <v>297.61544441224953</v>
      </c>
      <c r="BI7" s="59">
        <f ca="1">AVERAGE(OFFSET($BH$3,0,0,'Données projet'!$E$11+1,1))-AVERAGE(OFFSET($H$3,0,0,'Données projet'!$E$11+1,1))</f>
        <v>352.61091660077574</v>
      </c>
      <c r="BJ7" s="59">
        <f t="shared" si="38"/>
        <v>186.48649111821521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2.4666666666666668</v>
      </c>
      <c r="BY7" s="12">
        <f>IF('Données projet'!$A$114&gt;35,BY6+BX7-CG6,IF(A7&lt;'Données projet'!$A$114,$BV$205^A7,IF(A7='Données projet'!$A$114,'Données projet'!$B$114,BY6+BX7-CG6)))</f>
        <v>2.6193113595857573</v>
      </c>
      <c r="BZ7" s="13">
        <f>BY7*VLOOKUP('Données projet'!$B$12,Paramètres!$A$1:$I$89,3,0)*VLOOKUP('Données projet'!$B$12,Paramètres!$A$1:$I$89,5,0)</f>
        <v>2.0839241176864287</v>
      </c>
      <c r="CA7" s="13">
        <f t="shared" si="39"/>
        <v>0.88169040068036508</v>
      </c>
      <c r="CB7" s="20">
        <f t="shared" si="10"/>
        <v>5.1651119528221656</v>
      </c>
      <c r="CC7" s="59">
        <f t="shared" si="11"/>
        <v>298.49844528615546</v>
      </c>
      <c r="CD7" s="59">
        <f ca="1">AVERAGE(OFFSET($CC$3,0,0,'Données projet'!$E$12+1,1))-AVERAGE(OFFSET($H$3,0,0,'Données projet'!$E$12+1,1))</f>
        <v>225.2323446080772</v>
      </c>
      <c r="CE7" s="59">
        <f t="shared" si="40"/>
        <v>222.29030402759292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0.6</v>
      </c>
      <c r="CT7" s="12">
        <f>IF('Données projet'!$A$140&gt;35,CT6+CS7-DB6,IF(A7&lt;'Données projet'!$A$140,$CQ$205^A7,IF(A7='Données projet'!$A$140,'Données projet'!$B$140,CT6+CS7-DB6)))</f>
        <v>1.796654912379124</v>
      </c>
      <c r="CU7" s="17">
        <f>CT7*VLOOKUP('Données projet'!$B$13,Paramètres!$A$1:$I$89,3,0)*VLOOKUP('Données projet'!$B$13,Paramètres!$A$1:$I$89,5,0)</f>
        <v>1.7377246312530887</v>
      </c>
      <c r="CV7" s="13">
        <f t="shared" si="41"/>
        <v>0.75092962577113731</v>
      </c>
      <c r="CW7" s="20">
        <f t="shared" si="13"/>
        <v>4.3344061643171941</v>
      </c>
      <c r="CX7" s="59">
        <f t="shared" si="14"/>
        <v>297.66773949765053</v>
      </c>
      <c r="CY7" s="59">
        <f ca="1">AVERAGE(OFFSET($CX$3,0,0,'Données projet'!$E$13+1,1))-AVERAGE(OFFSET($H$3,0,0,'Données projet'!$E$13+1,1))</f>
        <v>212.32823943192528</v>
      </c>
      <c r="CZ7" s="59">
        <f t="shared" si="42"/>
        <v>209.60834138503003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3.56</v>
      </c>
      <c r="DO7" s="12">
        <f>IF('Données projet'!$A$166&gt;35,DO6+DN7-DW6,IF(A7&lt;'Données projet'!$A$166,$DL$205^A7,IF(A7='Données projet'!$A$166,'Données projet'!$B$166,DO6+DN7-DW6)))</f>
        <v>2.0507012732339978</v>
      </c>
      <c r="DP7" s="17">
        <f>DO7*VLOOKUP('Données projet'!$B$14,Paramètres!$A$1:$I$89,3,0)*VLOOKUP('Données projet'!$B$14,Paramètres!$A$1:$I$89,5,0)</f>
        <v>1.5995469931225184</v>
      </c>
      <c r="DQ7" s="13">
        <f t="shared" si="43"/>
        <v>0.69791706476400706</v>
      </c>
      <c r="DR7" s="20">
        <f t="shared" si="16"/>
        <v>4.0014165674856983</v>
      </c>
      <c r="DS7" s="59">
        <f t="shared" si="17"/>
        <v>297.33474990081902</v>
      </c>
      <c r="DT7" s="59">
        <f ca="1">AVERAGE(OFFSET($DS$3,0,0,'Données projet'!$E$14+1,1))-AVERAGE(OFFSET($H$3,0,0,'Données projet'!$E$14+1,1))</f>
        <v>215.84581110302656</v>
      </c>
      <c r="DU7" s="59">
        <f t="shared" si="44"/>
        <v>193.88588526156104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6">
        <f t="shared" si="1"/>
        <v>299.26493332067207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8.5833333333333339</v>
      </c>
      <c r="N8" s="13">
        <f>IF('Données projet'!$A$36&gt;35,N7+M8-V7,IF(A8&lt;'Données projet'!$A$36,$K$205^A8,IF(A8='Données projet'!$A$36,'Données projet'!$B$36,N7+M8-V7)))</f>
        <v>6.89734861063911</v>
      </c>
      <c r="O8" s="13">
        <f>N8*VLOOKUP('Données projet'!$B$9,Paramètres!$A$1:$I$89,3,0)*VLOOKUP('Données projet'!$B$9,Paramètres!$A$1:$I$89,5,0)</f>
        <v>4.3039455330388048</v>
      </c>
      <c r="P8" s="13">
        <f t="shared" si="33"/>
        <v>1.6735424770035323</v>
      </c>
      <c r="Q8" s="20">
        <f t="shared" si="2"/>
        <v>10.410791617490402</v>
      </c>
      <c r="R8" s="59">
        <f t="shared" si="0"/>
        <v>303.74412495082373</v>
      </c>
      <c r="S8" s="59">
        <f ca="1">AVERAGE(OFFSET($R$3,0,0,'Données projet'!$E$9+1,1))-AVERAGE(OFFSET($H$3,0,0,'Données projet'!$E$9+1,1))</f>
        <v>269.77739619445515</v>
      </c>
      <c r="T8" s="59">
        <f t="shared" si="34"/>
        <v>347.56964743629885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2.8</v>
      </c>
      <c r="AI8" s="13">
        <f>IF('Données projet'!$A$62&gt;35,AI7+AH8-AQ7,IF(A8&lt;'Données projet'!$A$62,$AF$205^A8,IF(A8='Données projet'!$A$62,'Données projet'!$B$62,AI7+AH8-AQ7)))</f>
        <v>3.4760266448864483</v>
      </c>
      <c r="AJ8" s="13">
        <f>AI8*VLOOKUP('Données projet'!$B$10,Paramètres!$A$1:$I$89,3,0)*VLOOKUP('Données projet'!$B$10,Paramètres!$A$1:$I$89,5,0)</f>
        <v>1.7171571625739055</v>
      </c>
      <c r="AK8" s="13">
        <f t="shared" si="35"/>
        <v>0.74307084420309244</v>
      </c>
      <c r="AL8" s="20">
        <f t="shared" si="4"/>
        <v>4.2848971118032706</v>
      </c>
      <c r="AM8" s="59">
        <f t="shared" si="5"/>
        <v>297.61823044513659</v>
      </c>
      <c r="AN8" s="59">
        <f ca="1">AVERAGE(OFFSET($AM$3,0,0,'Données projet'!$E$10+1,1))-AVERAGE(OFFSET($H$3,0,0,'Données projet'!$E$10+1,1))</f>
        <v>396.27049617044378</v>
      </c>
      <c r="AO8" s="59">
        <f t="shared" si="36"/>
        <v>335.2680289568774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1.6</v>
      </c>
      <c r="BD8" s="12">
        <f>IF('Données projet'!$A$88&gt;35,BD7+BC8-BL7,IF(A8&lt;'Données projet'!$A$88,$BA$205^A8,IF(A8='Données projet'!$A$88,'Données projet'!$B$88,BD7+BC8-BL7)))</f>
        <v>2.3784142300054416</v>
      </c>
      <c r="BE8" s="13">
        <f>BD8*VLOOKUP('Données projet'!$B$11,Paramètres!$A$1:$I$89,3,0)*VLOOKUP('Données projet'!$B$11,Paramètres!$A$1:$I$89,5,0)</f>
        <v>2.0406794093446692</v>
      </c>
      <c r="BF8" s="13">
        <f t="shared" si="37"/>
        <v>0.86550396667632346</v>
      </c>
      <c r="BG8" s="20">
        <f t="shared" si="7"/>
        <v>5.061602713236562</v>
      </c>
      <c r="BH8" s="59">
        <f t="shared" si="8"/>
        <v>298.39493604656985</v>
      </c>
      <c r="BI8" s="59">
        <f ca="1">AVERAGE(OFFSET($BH$3,0,0,'Données projet'!$E$11+1,1))-AVERAGE(OFFSET($H$3,0,0,'Données projet'!$E$11+1,1))</f>
        <v>352.61091660077574</v>
      </c>
      <c r="BJ8" s="59">
        <f t="shared" si="38"/>
        <v>186.48649111821521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2.4666666666666668</v>
      </c>
      <c r="BY8" s="12">
        <f>IF('Données projet'!$A$114&gt;35,BY7+BX8-CG7,IF(A8&lt;'Données projet'!$A$114,$BV$205^A8,IF(A8='Données projet'!$A$114,'Données projet'!$B$114,BY7+BX8-CG7)))</f>
        <v>3.332221851645953</v>
      </c>
      <c r="BZ8" s="13">
        <f>BY8*VLOOKUP('Données projet'!$B$12,Paramètres!$A$1:$I$89,3,0)*VLOOKUP('Données projet'!$B$12,Paramètres!$A$1:$I$89,5,0)</f>
        <v>2.6511157051695204</v>
      </c>
      <c r="CA8" s="13">
        <f t="shared" si="39"/>
        <v>1.0906707059957799</v>
      </c>
      <c r="CB8" s="20">
        <f t="shared" si="10"/>
        <v>6.5169446661128978</v>
      </c>
      <c r="CC8" s="59">
        <f t="shared" si="11"/>
        <v>299.85027799944623</v>
      </c>
      <c r="CD8" s="59">
        <f ca="1">AVERAGE(OFFSET($CC$3,0,0,'Données projet'!$E$12+1,1))-AVERAGE(OFFSET($H$3,0,0,'Données projet'!$E$12+1,1))</f>
        <v>225.2323446080772</v>
      </c>
      <c r="CE8" s="59">
        <f t="shared" si="40"/>
        <v>222.29030402759292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0.6</v>
      </c>
      <c r="CT8" s="12">
        <f>IF('Données projet'!$A$140&gt;35,CT7+CS8-DB7,IF(A8&lt;'Données projet'!$A$140,$CQ$205^A8,IF(A8='Données projet'!$A$140,'Données projet'!$B$140,CT7+CS8-DB7)))</f>
        <v>2.0800838230519041</v>
      </c>
      <c r="CU8" s="17">
        <f>CT8*VLOOKUP('Données projet'!$B$13,Paramètres!$A$1:$I$89,3,0)*VLOOKUP('Données projet'!$B$13,Paramètres!$A$1:$I$89,5,0)</f>
        <v>2.0118570736558015</v>
      </c>
      <c r="CV8" s="13">
        <f t="shared" si="41"/>
        <v>0.85469366294291071</v>
      </c>
      <c r="CW8" s="20">
        <f t="shared" si="13"/>
        <v>4.9925758662427562</v>
      </c>
      <c r="CX8" s="59">
        <f t="shared" si="14"/>
        <v>298.32590919957607</v>
      </c>
      <c r="CY8" s="59">
        <f ca="1">AVERAGE(OFFSET($CX$3,0,0,'Données projet'!$E$13+1,1))-AVERAGE(OFFSET($H$3,0,0,'Données projet'!$E$13+1,1))</f>
        <v>212.32823943192528</v>
      </c>
      <c r="CZ8" s="59">
        <f t="shared" si="42"/>
        <v>209.60834138503003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3.56</v>
      </c>
      <c r="DO8" s="12">
        <f>IF('Données projet'!$A$166&gt;35,DO7+DN8-DW7,IF(A8&lt;'Données projet'!$A$166,$DL$205^A8,IF(A8='Données projet'!$A$166,'Données projet'!$B$166,DO7+DN8-DW7)))</f>
        <v>2.4540194545491301</v>
      </c>
      <c r="DP8" s="17">
        <f>DO8*VLOOKUP('Données projet'!$B$14,Paramètres!$A$1:$I$89,3,0)*VLOOKUP('Données projet'!$B$14,Paramètres!$A$1:$I$89,5,0)</f>
        <v>1.9141351745483215</v>
      </c>
      <c r="DQ8" s="13">
        <f t="shared" si="43"/>
        <v>0.81790536660639246</v>
      </c>
      <c r="DR8" s="20">
        <f t="shared" si="16"/>
        <v>4.7583039425111266</v>
      </c>
      <c r="DS8" s="59">
        <f t="shared" si="17"/>
        <v>298.09163727584445</v>
      </c>
      <c r="DT8" s="59">
        <f ca="1">AVERAGE(OFFSET($DS$3,0,0,'Données projet'!$E$14+1,1))-AVERAGE(OFFSET($H$3,0,0,'Données projet'!$E$14+1,1))</f>
        <v>215.84581110302656</v>
      </c>
      <c r="DU8" s="59">
        <f t="shared" si="44"/>
        <v>193.88588526156104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6">
        <f t="shared" si="1"/>
        <v>300.40733532985558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8.5833333333333339</v>
      </c>
      <c r="N9" s="13">
        <f>IF('Données projet'!$A$36&gt;35,N8+M9-V8,IF(A9&lt;'Données projet'!$A$36,$K$205^A9,IF(A9='Données projet'!$A$36,'Données projet'!$B$36,N8+M9-V8)))</f>
        <v>10.148891565092221</v>
      </c>
      <c r="O9" s="13">
        <f>N9*VLOOKUP('Données projet'!$B$9,Paramètres!$A$1:$I$89,3,0)*VLOOKUP('Données projet'!$B$9,Paramètres!$A$1:$I$89,5,0)</f>
        <v>6.3329083366175452</v>
      </c>
      <c r="P9" s="13">
        <f t="shared" si="33"/>
        <v>2.3542287237369877</v>
      </c>
      <c r="Q9" s="20">
        <f t="shared" si="2"/>
        <v>15.130097046784146</v>
      </c>
      <c r="R9" s="59">
        <f t="shared" si="0"/>
        <v>308.46343038011747</v>
      </c>
      <c r="S9" s="59">
        <f ca="1">AVERAGE(OFFSET($R$3,0,0,'Données projet'!$E$9+1,1))-AVERAGE(OFFSET($H$3,0,0,'Données projet'!$E$9+1,1))</f>
        <v>269.77739619445515</v>
      </c>
      <c r="T9" s="59">
        <f t="shared" si="34"/>
        <v>347.56964743629885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2.8</v>
      </c>
      <c r="AI9" s="13">
        <f>IF('Données projet'!$A$62&gt;35,AI8+AH9-AQ8,IF(A9&lt;'Données projet'!$A$62,$AF$205^A9,IF(A9='Données projet'!$A$62,'Données projet'!$B$62,AI8+AH9-AQ8)))</f>
        <v>4.4596391171162164</v>
      </c>
      <c r="AJ9" s="13">
        <f>AI9*VLOOKUP('Données projet'!$B$10,Paramètres!$A$1:$I$89,3,0)*VLOOKUP('Données projet'!$B$10,Paramètres!$A$1:$I$89,5,0)</f>
        <v>2.2030617238554107</v>
      </c>
      <c r="AK9" s="13">
        <f t="shared" si="35"/>
        <v>0.92608409637926592</v>
      </c>
      <c r="AL9" s="20">
        <f t="shared" si="4"/>
        <v>5.4499289702420617</v>
      </c>
      <c r="AM9" s="59">
        <f t="shared" si="5"/>
        <v>298.78326230357538</v>
      </c>
      <c r="AN9" s="59">
        <f ca="1">AVERAGE(OFFSET($AM$3,0,0,'Données projet'!$E$10+1,1))-AVERAGE(OFFSET($H$3,0,0,'Données projet'!$E$10+1,1))</f>
        <v>396.27049617044378</v>
      </c>
      <c r="AO9" s="59">
        <f t="shared" si="36"/>
        <v>335.2680289568774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1.6</v>
      </c>
      <c r="BD9" s="12">
        <f>IF('Données projet'!$A$88&gt;35,BD8+BC9-BL8,IF(A9&lt;'Données projet'!$A$88,$BA$205^A9,IF(A9='Données projet'!$A$88,'Données projet'!$B$88,BD8+BC9-BL8)))</f>
        <v>2.8284271247461894</v>
      </c>
      <c r="BE9" s="13">
        <f>BD9*VLOOKUP('Données projet'!$B$11,Paramètres!$A$1:$I$89,3,0)*VLOOKUP('Données projet'!$B$11,Paramètres!$A$1:$I$89,5,0)</f>
        <v>2.4267904730322307</v>
      </c>
      <c r="BF9" s="13">
        <f t="shared" si="37"/>
        <v>1.0087106093953995</v>
      </c>
      <c r="BG9" s="20">
        <f t="shared" si="7"/>
        <v>5.9834977185614555</v>
      </c>
      <c r="BH9" s="59">
        <f t="shared" si="8"/>
        <v>299.31683105189478</v>
      </c>
      <c r="BI9" s="59">
        <f ca="1">AVERAGE(OFFSET($BH$3,0,0,'Données projet'!$E$11+1,1))-AVERAGE(OFFSET($H$3,0,0,'Données projet'!$E$11+1,1))</f>
        <v>352.61091660077574</v>
      </c>
      <c r="BJ9" s="59">
        <f t="shared" si="38"/>
        <v>186.48649111821521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2.4666666666666668</v>
      </c>
      <c r="BY9" s="12">
        <f>IF('Données projet'!$A$114&gt;35,BY8+BX9-CG8,IF(A9&lt;'Données projet'!$A$114,$BV$205^A9,IF(A9='Données projet'!$A$114,'Données projet'!$B$114,BY8+BX9-CG8)))</f>
        <v>4.2391685997738069</v>
      </c>
      <c r="BZ9" s="13">
        <f>BY9*VLOOKUP('Données projet'!$B$12,Paramètres!$A$1:$I$89,3,0)*VLOOKUP('Données projet'!$B$12,Paramètres!$A$1:$I$89,5,0)</f>
        <v>3.3726825379800407</v>
      </c>
      <c r="CA9" s="13">
        <f t="shared" si="39"/>
        <v>1.3491840083541735</v>
      </c>
      <c r="CB9" s="20">
        <f t="shared" si="10"/>
        <v>8.2239175681987557</v>
      </c>
      <c r="CC9" s="59">
        <f t="shared" si="11"/>
        <v>301.55725090153209</v>
      </c>
      <c r="CD9" s="59">
        <f ca="1">AVERAGE(OFFSET($CC$3,0,0,'Données projet'!$E$12+1,1))-AVERAGE(OFFSET($H$3,0,0,'Données projet'!$E$12+1,1))</f>
        <v>225.2323446080772</v>
      </c>
      <c r="CE9" s="59">
        <f t="shared" si="40"/>
        <v>222.29030402759292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0.6</v>
      </c>
      <c r="CT9" s="12">
        <f>IF('Données projet'!$A$140&gt;35,CT8+CS9-DB8,IF(A9&lt;'Données projet'!$A$140,$CQ$205^A9,IF(A9='Données projet'!$A$140,'Données projet'!$B$140,CT8+CS9-DB8)))</f>
        <v>2.4082246852806919</v>
      </c>
      <c r="CU9" s="17">
        <f>CT9*VLOOKUP('Données projet'!$B$13,Paramètres!$A$1:$I$89,3,0)*VLOOKUP('Données projet'!$B$13,Paramètres!$A$1:$I$89,5,0)</f>
        <v>2.3292349156034851</v>
      </c>
      <c r="CV9" s="13">
        <f t="shared" si="41"/>
        <v>0.97279589512081199</v>
      </c>
      <c r="CW9" s="20">
        <f t="shared" si="13"/>
        <v>5.7510369953448164</v>
      </c>
      <c r="CX9" s="59">
        <f t="shared" si="14"/>
        <v>299.08437032867812</v>
      </c>
      <c r="CY9" s="59">
        <f ca="1">AVERAGE(OFFSET($CX$3,0,0,'Données projet'!$E$13+1,1))-AVERAGE(OFFSET($H$3,0,0,'Données projet'!$E$13+1,1))</f>
        <v>212.32823943192528</v>
      </c>
      <c r="CZ9" s="59">
        <f t="shared" si="42"/>
        <v>209.60834138503003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3.56</v>
      </c>
      <c r="DO9" s="12">
        <f>IF('Données projet'!$A$166&gt;35,DO8+DN9-DW8,IF(A9&lt;'Données projet'!$A$166,$DL$205^A9,IF(A9='Données projet'!$A$166,'Données projet'!$B$166,DO8+DN9-DW8)))</f>
        <v>2.9366595524702919</v>
      </c>
      <c r="DP9" s="17">
        <f>DO9*VLOOKUP('Données projet'!$B$14,Paramètres!$A$1:$I$89,3,0)*VLOOKUP('Données projet'!$B$14,Paramètres!$A$1:$I$89,5,0)</f>
        <v>2.2905944509268279</v>
      </c>
      <c r="DQ9" s="13">
        <f t="shared" si="43"/>
        <v>0.95852246992949186</v>
      </c>
      <c r="DR9" s="20">
        <f t="shared" si="16"/>
        <v>5.6588786371580904</v>
      </c>
      <c r="DS9" s="59">
        <f t="shared" si="17"/>
        <v>298.99221197049138</v>
      </c>
      <c r="DT9" s="59">
        <f ca="1">AVERAGE(OFFSET($DS$3,0,0,'Données projet'!$E$14+1,1))-AVERAGE(OFFSET($H$3,0,0,'Données projet'!$E$14+1,1))</f>
        <v>215.84581110302656</v>
      </c>
      <c r="DU9" s="59">
        <f t="shared" si="44"/>
        <v>193.88588526156104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6">
        <f t="shared" si="1"/>
        <v>301.54385515707349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8.5833333333333339</v>
      </c>
      <c r="N10" s="13">
        <f>IF('Données projet'!$A$36&gt;35,N9+M10-V9,IF(A10&lt;'Données projet'!$A$36,$K$205^A10,IF(A10='Données projet'!$A$36,'Données projet'!$B$36,N9+M10-V9)))</f>
        <v>14.933274481896314</v>
      </c>
      <c r="O10" s="13">
        <f>N10*VLOOKUP('Données projet'!$B$9,Paramètres!$A$1:$I$89,3,0)*VLOOKUP('Données projet'!$B$9,Paramètres!$A$1:$I$89,5,0)</f>
        <v>9.3183632767033</v>
      </c>
      <c r="P10" s="13">
        <f t="shared" si="33"/>
        <v>3.3117730561532612</v>
      </c>
      <c r="Q10" s="20">
        <f t="shared" si="2"/>
        <v>21.997487446391844</v>
      </c>
      <c r="R10" s="59">
        <f t="shared" si="0"/>
        <v>315.33082077972517</v>
      </c>
      <c r="S10" s="59">
        <f ca="1">AVERAGE(OFFSET($R$3,0,0,'Données projet'!$E$9+1,1))-AVERAGE(OFFSET($H$3,0,0,'Données projet'!$E$9+1,1))</f>
        <v>269.77739619445515</v>
      </c>
      <c r="T10" s="59">
        <f t="shared" si="34"/>
        <v>347.56964743629885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2.8</v>
      </c>
      <c r="AI10" s="13">
        <f>IF('Données projet'!$A$62&gt;35,AI9+AH10-AQ9,IF(A10&lt;'Données projet'!$A$62,$AF$205^A10,IF(A10='Données projet'!$A$62,'Données projet'!$B$62,AI9+AH10-AQ9)))</f>
        <v>5.7215847537218165</v>
      </c>
      <c r="AJ10" s="13">
        <f>AI10*VLOOKUP('Données projet'!$B$10,Paramètres!$A$1:$I$89,3,0)*VLOOKUP('Données projet'!$B$10,Paramètres!$A$1:$I$89,5,0)</f>
        <v>2.8264628683385773</v>
      </c>
      <c r="AK10" s="13">
        <f t="shared" si="35"/>
        <v>1.1541722572716064</v>
      </c>
      <c r="AL10" s="20">
        <f t="shared" si="4"/>
        <v>6.9329395104377367</v>
      </c>
      <c r="AM10" s="59">
        <f t="shared" si="5"/>
        <v>300.26627284377105</v>
      </c>
      <c r="AN10" s="59">
        <f ca="1">AVERAGE(OFFSET($AM$3,0,0,'Données projet'!$E$10+1,1))-AVERAGE(OFFSET($H$3,0,0,'Données projet'!$E$10+1,1))</f>
        <v>396.27049617044378</v>
      </c>
      <c r="AO10" s="59">
        <f t="shared" si="36"/>
        <v>335.2680289568774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1.6</v>
      </c>
      <c r="BD10" s="12">
        <f>IF('Données projet'!$A$88&gt;35,BD9+BC10-BL9,IF(A10&lt;'Données projet'!$A$88,$BA$205^A10,IF(A10='Données projet'!$A$88,'Données projet'!$B$88,BD9+BC10-BL9)))</f>
        <v>3.3635856610148567</v>
      </c>
      <c r="BE10" s="13">
        <f>BD10*VLOOKUP('Données projet'!$B$11,Paramètres!$A$1:$I$89,3,0)*VLOOKUP('Données projet'!$B$11,Paramètres!$A$1:$I$89,5,0)</f>
        <v>2.8859564971507474</v>
      </c>
      <c r="BF10" s="13">
        <f t="shared" si="37"/>
        <v>1.1756122821876749</v>
      </c>
      <c r="BG10" s="20">
        <f t="shared" si="7"/>
        <v>7.073898957347752</v>
      </c>
      <c r="BH10" s="59">
        <f t="shared" si="8"/>
        <v>300.40723229068107</v>
      </c>
      <c r="BI10" s="59">
        <f ca="1">AVERAGE(OFFSET($BH$3,0,0,'Données projet'!$E$11+1,1))-AVERAGE(OFFSET($H$3,0,0,'Données projet'!$E$11+1,1))</f>
        <v>352.61091660077574</v>
      </c>
      <c r="BJ10" s="59">
        <f t="shared" si="38"/>
        <v>186.48649111821521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2.4666666666666668</v>
      </c>
      <c r="BY10" s="12">
        <f>IF('Données projet'!$A$114&gt;35,BY9+BX10-CG9,IF(A10&lt;'Données projet'!$A$114,$BV$205^A10,IF(A10='Données projet'!$A$114,'Données projet'!$B$114,BY9+BX10-CG9)))</f>
        <v>5.3929633792034757</v>
      </c>
      <c r="BZ10" s="13">
        <f>BY10*VLOOKUP('Données projet'!$B$12,Paramètres!$A$1:$I$89,3,0)*VLOOKUP('Données projet'!$B$12,Paramètres!$A$1:$I$89,5,0)</f>
        <v>4.2906416644942853</v>
      </c>
      <c r="CA10" s="13">
        <f t="shared" si="39"/>
        <v>1.6689707336887791</v>
      </c>
      <c r="CB10" s="20">
        <f t="shared" si="10"/>
        <v>10.379658260168837</v>
      </c>
      <c r="CC10" s="59">
        <f t="shared" si="11"/>
        <v>303.71299159350212</v>
      </c>
      <c r="CD10" s="59">
        <f ca="1">AVERAGE(OFFSET($CC$3,0,0,'Données projet'!$E$12+1,1))-AVERAGE(OFFSET($H$3,0,0,'Données projet'!$E$12+1,1))</f>
        <v>225.2323446080772</v>
      </c>
      <c r="CE10" s="59">
        <f t="shared" si="40"/>
        <v>222.29030402759292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0.6</v>
      </c>
      <c r="CT10" s="12">
        <f>IF('Données projet'!$A$140&gt;35,CT9+CS10-DB9,IF(A10&lt;'Données projet'!$A$140,$CQ$205^A10,IF(A10='Données projet'!$A$140,'Données projet'!$B$140,CT9+CS10-DB9)))</f>
        <v>2.788130973628832</v>
      </c>
      <c r="CU10" s="17">
        <f>CT10*VLOOKUP('Données projet'!$B$13,Paramètres!$A$1:$I$89,3,0)*VLOOKUP('Données projet'!$B$13,Paramètres!$A$1:$I$89,5,0)</f>
        <v>2.6966802776938064</v>
      </c>
      <c r="CV10" s="13">
        <f t="shared" si="41"/>
        <v>1.1072175851935762</v>
      </c>
      <c r="CW10" s="20">
        <f t="shared" si="13"/>
        <v>6.6251221111955241</v>
      </c>
      <c r="CX10" s="59">
        <f t="shared" si="14"/>
        <v>299.95845544452885</v>
      </c>
      <c r="CY10" s="59">
        <f ca="1">AVERAGE(OFFSET($CX$3,0,0,'Données projet'!$E$13+1,1))-AVERAGE(OFFSET($H$3,0,0,'Données projet'!$E$13+1,1))</f>
        <v>212.32823943192528</v>
      </c>
      <c r="CZ10" s="59">
        <f t="shared" si="42"/>
        <v>209.60834138503003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3.56</v>
      </c>
      <c r="DO10" s="12">
        <f>IF('Données projet'!$A$166&gt;35,DO9+DN10-DW9,IF(A10&lt;'Données projet'!$A$166,$DL$205^A10,IF(A10='Données projet'!$A$166,'Données projet'!$B$166,DO9+DN10-DW9)))</f>
        <v>3.5142220698896103</v>
      </c>
      <c r="DP10" s="17">
        <f>DO10*VLOOKUP('Données projet'!$B$14,Paramètres!$A$1:$I$89,3,0)*VLOOKUP('Données projet'!$B$14,Paramètres!$A$1:$I$89,5,0)</f>
        <v>2.7410932145138962</v>
      </c>
      <c r="DQ10" s="13">
        <f t="shared" si="43"/>
        <v>1.1233149492242895</v>
      </c>
      <c r="DR10" s="20">
        <f t="shared" si="16"/>
        <v>6.730510885177341</v>
      </c>
      <c r="DS10" s="59">
        <f t="shared" si="17"/>
        <v>300.06384421851067</v>
      </c>
      <c r="DT10" s="59">
        <f ca="1">AVERAGE(OFFSET($DS$3,0,0,'Données projet'!$E$14+1,1))-AVERAGE(OFFSET($H$3,0,0,'Données projet'!$E$14+1,1))</f>
        <v>215.84581110302656</v>
      </c>
      <c r="DU10" s="59">
        <f t="shared" si="44"/>
        <v>193.88588526156104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6">
        <f t="shared" si="1"/>
        <v>302.675430070853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8.5833333333333339</v>
      </c>
      <c r="N11" s="13">
        <f>IF('Données projet'!$A$36&gt;35,N10+M11-V10,IF(A11&lt;'Données projet'!$A$36,$K$205^A11,IF(A11='Données projet'!$A$36,'Données projet'!$B$36,N10+M11-V10)))</f>
        <v>21.973107636570681</v>
      </c>
      <c r="O11" s="13">
        <f>N11*VLOOKUP('Données projet'!$B$9,Paramètres!$A$1:$I$89,3,0)*VLOOKUP('Données projet'!$B$9,Paramètres!$A$1:$I$89,5,0)</f>
        <v>13.711219165220106</v>
      </c>
      <c r="P11" s="13">
        <f t="shared" si="33"/>
        <v>4.6587830081577177</v>
      </c>
      <c r="Q11" s="20">
        <f t="shared" si="2"/>
        <v>31.994420451966377</v>
      </c>
      <c r="R11" s="59">
        <f t="shared" si="0"/>
        <v>325.32775378529971</v>
      </c>
      <c r="S11" s="59">
        <f ca="1">AVERAGE(OFFSET($R$3,0,0,'Données projet'!$E$9+1,1))-AVERAGE(OFFSET($H$3,0,0,'Données projet'!$E$9+1,1))</f>
        <v>269.77739619445515</v>
      </c>
      <c r="T11" s="59">
        <f t="shared" si="34"/>
        <v>347.56964743629885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2.8</v>
      </c>
      <c r="AI11" s="13">
        <f>IF('Données projet'!$A$62&gt;35,AI10+AH11-AQ10,IF(A11&lt;'Données projet'!$A$62,$AF$205^A11,IF(A11='Données projet'!$A$62,'Données projet'!$B$62,AI10+AH11-AQ10)))</f>
        <v>7.3406235873163457</v>
      </c>
      <c r="AJ11" s="13">
        <f>AI11*VLOOKUP('Données projet'!$B$10,Paramètres!$A$1:$I$89,3,0)*VLOOKUP('Données projet'!$B$10,Paramètres!$A$1:$I$89,5,0)</f>
        <v>3.6262680521342747</v>
      </c>
      <c r="AK11" s="13">
        <f t="shared" si="35"/>
        <v>1.4384369677264006</v>
      </c>
      <c r="AL11" s="20">
        <f t="shared" si="4"/>
        <v>8.8210279095906756</v>
      </c>
      <c r="AM11" s="59">
        <f t="shared" si="5"/>
        <v>302.15436124292398</v>
      </c>
      <c r="AN11" s="59">
        <f ca="1">AVERAGE(OFFSET($AM$3,0,0,'Données projet'!$E$10+1,1))-AVERAGE(OFFSET($H$3,0,0,'Données projet'!$E$10+1,1))</f>
        <v>396.27049617044378</v>
      </c>
      <c r="AO11" s="59">
        <f t="shared" si="36"/>
        <v>335.2680289568774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1.6</v>
      </c>
      <c r="BD11" s="12">
        <f>IF('Données projet'!$A$88&gt;35,BD10+BC11-BL10,IF(A11&lt;'Données projet'!$A$88,$BA$205^A11,IF(A11='Données projet'!$A$88,'Données projet'!$B$88,BD10+BC11-BL10)))</f>
        <v>3.9999999999999982</v>
      </c>
      <c r="BE11" s="13">
        <f>BD11*VLOOKUP('Données projet'!$B$11,Paramètres!$A$1:$I$89,3,0)*VLOOKUP('Données projet'!$B$11,Paramètres!$A$1:$I$89,5,0)</f>
        <v>3.4319999999999991</v>
      </c>
      <c r="BF11" s="13">
        <f t="shared" si="37"/>
        <v>1.3701295744860806</v>
      </c>
      <c r="BG11" s="20">
        <f t="shared" si="7"/>
        <v>8.3637090088965884</v>
      </c>
      <c r="BH11" s="59">
        <f t="shared" si="8"/>
        <v>301.69704234222991</v>
      </c>
      <c r="BI11" s="59">
        <f ca="1">AVERAGE(OFFSET($BH$3,0,0,'Données projet'!$E$11+1,1))-AVERAGE(OFFSET($H$3,0,0,'Données projet'!$E$11+1,1))</f>
        <v>352.61091660077574</v>
      </c>
      <c r="BJ11" s="59">
        <f t="shared" si="38"/>
        <v>186.48649111821521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2.4666666666666668</v>
      </c>
      <c r="BY11" s="12">
        <f>IF('Données projet'!$A$114&gt;35,BY10+BX11-CG10,IF(A11&lt;'Données projet'!$A$114,$BV$205^A11,IF(A11='Données projet'!$A$114,'Données projet'!$B$114,BY10+BX11-CG10)))</f>
        <v>6.8607919984549888</v>
      </c>
      <c r="BZ11" s="13">
        <f>BY11*VLOOKUP('Données projet'!$B$12,Paramètres!$A$1:$I$89,3,0)*VLOOKUP('Données projet'!$B$12,Paramètres!$A$1:$I$89,5,0)</f>
        <v>5.4584461139707896</v>
      </c>
      <c r="CA11" s="13">
        <f t="shared" si="39"/>
        <v>2.0645540509389519</v>
      </c>
      <c r="CB11" s="20">
        <f t="shared" si="10"/>
        <v>13.102558620551131</v>
      </c>
      <c r="CC11" s="59">
        <f t="shared" si="11"/>
        <v>306.43589195388444</v>
      </c>
      <c r="CD11" s="59">
        <f ca="1">AVERAGE(OFFSET($CC$3,0,0,'Données projet'!$E$12+1,1))-AVERAGE(OFFSET($H$3,0,0,'Données projet'!$E$12+1,1))</f>
        <v>225.2323446080772</v>
      </c>
      <c r="CE11" s="59">
        <f t="shared" si="40"/>
        <v>222.29030402759292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0.6</v>
      </c>
      <c r="CT11" s="12">
        <f>IF('Données projet'!$A$140&gt;35,CT10+CS11-DB10,IF(A11&lt;'Données projet'!$A$140,$CQ$205^A11,IF(A11='Données projet'!$A$140,'Données projet'!$B$140,CT10+CS11-DB10)))</f>
        <v>3.227968874176038</v>
      </c>
      <c r="CU11" s="17">
        <f>CT11*VLOOKUP('Données projet'!$B$13,Paramètres!$A$1:$I$89,3,0)*VLOOKUP('Données projet'!$B$13,Paramètres!$A$1:$I$89,5,0)</f>
        <v>3.1220914951030641</v>
      </c>
      <c r="CV11" s="13">
        <f t="shared" si="41"/>
        <v>1.2602137684900954</v>
      </c>
      <c r="CW11" s="20">
        <f t="shared" si="13"/>
        <v>7.6325150007580858</v>
      </c>
      <c r="CX11" s="59">
        <f t="shared" si="14"/>
        <v>300.96584833409139</v>
      </c>
      <c r="CY11" s="59">
        <f ca="1">AVERAGE(OFFSET($CX$3,0,0,'Données projet'!$E$13+1,1))-AVERAGE(OFFSET($H$3,0,0,'Données projet'!$E$13+1,1))</f>
        <v>212.32823943192528</v>
      </c>
      <c r="CZ11" s="59">
        <f t="shared" si="42"/>
        <v>209.60834138503003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3.56</v>
      </c>
      <c r="DO11" s="12">
        <f>IF('Données projet'!$A$166&gt;35,DO10+DN11-DW10,IF(A11&lt;'Données projet'!$A$166,$DL$205^A11,IF(A11='Données projet'!$A$166,'Données projet'!$B$166,DO10+DN11-DW10)))</f>
        <v>4.2053757120435398</v>
      </c>
      <c r="DP11" s="17">
        <f>DO11*VLOOKUP('Données projet'!$B$14,Paramètres!$A$1:$I$89,3,0)*VLOOKUP('Données projet'!$B$14,Paramètres!$A$1:$I$89,5,0)</f>
        <v>3.2801930553939611</v>
      </c>
      <c r="DQ11" s="13">
        <f t="shared" si="43"/>
        <v>1.3164391182645805</v>
      </c>
      <c r="DR11" s="20">
        <f t="shared" si="16"/>
        <v>8.0058010357886271</v>
      </c>
      <c r="DS11" s="59">
        <f t="shared" si="17"/>
        <v>301.33913436912195</v>
      </c>
      <c r="DT11" s="59">
        <f ca="1">AVERAGE(OFFSET($DS$3,0,0,'Données projet'!$E$14+1,1))-AVERAGE(OFFSET($H$3,0,0,'Données projet'!$E$14+1,1))</f>
        <v>215.84581110302656</v>
      </c>
      <c r="DU11" s="59">
        <f t="shared" si="44"/>
        <v>193.88588526156104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6">
        <f t="shared" si="1"/>
        <v>303.80274897548452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8.5833333333333339</v>
      </c>
      <c r="N12" s="13">
        <f>IF('Données projet'!$A$36&gt;35,N11+M12-V11,IF(A12&lt;'Données projet'!$A$36,$K$205^A12,IF(A12='Données projet'!$A$36,'Données projet'!$B$36,N11+M12-V11)))</f>
        <v>32.331653703522484</v>
      </c>
      <c r="O12" s="13">
        <f>N12*VLOOKUP('Données projet'!$B$9,Paramètres!$A$1:$I$89,3,0)*VLOOKUP('Données projet'!$B$9,Paramètres!$A$1:$I$89,5,0)</f>
        <v>20.174951910998029</v>
      </c>
      <c r="P12" s="13">
        <f t="shared" si="33"/>
        <v>6.55366740084217</v>
      </c>
      <c r="Q12" s="20">
        <f t="shared" si="2"/>
        <v>46.552345301455006</v>
      </c>
      <c r="R12" s="59">
        <f t="shared" si="0"/>
        <v>339.88567863478829</v>
      </c>
      <c r="S12" s="59">
        <f ca="1">AVERAGE(OFFSET($R$3,0,0,'Données projet'!$E$9+1,1))-AVERAGE(OFFSET($H$3,0,0,'Données projet'!$E$9+1,1))</f>
        <v>269.77739619445515</v>
      </c>
      <c r="T12" s="59">
        <f t="shared" si="34"/>
        <v>347.56964743629885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2.8</v>
      </c>
      <c r="AI12" s="13">
        <f>IF('Données projet'!$A$62&gt;35,AI11+AH12-AQ11,IF(A12&lt;'Données projet'!$A$62,$AF$205^A12,IF(A12='Données projet'!$A$62,'Données projet'!$B$62,AI11+AH12-AQ11)))</f>
        <v>9.4178024044149247</v>
      </c>
      <c r="AJ12" s="13">
        <f>AI12*VLOOKUP('Données projet'!$B$10,Paramètres!$A$1:$I$89,3,0)*VLOOKUP('Données projet'!$B$10,Paramètres!$A$1:$I$89,5,0)</f>
        <v>4.6523943877809728</v>
      </c>
      <c r="AK12" s="13">
        <f t="shared" si="35"/>
        <v>1.7927141265838018</v>
      </c>
      <c r="AL12" s="20">
        <f t="shared" si="4"/>
        <v>11.225230662518648</v>
      </c>
      <c r="AM12" s="59">
        <f t="shared" si="5"/>
        <v>304.55856399585196</v>
      </c>
      <c r="AN12" s="59">
        <f ca="1">AVERAGE(OFFSET($AM$3,0,0,'Données projet'!$E$10+1,1))-AVERAGE(OFFSET($H$3,0,0,'Données projet'!$E$10+1,1))</f>
        <v>396.27049617044378</v>
      </c>
      <c r="AO12" s="59">
        <f t="shared" si="36"/>
        <v>335.2680289568774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1.6</v>
      </c>
      <c r="BD12" s="12">
        <f>IF('Données projet'!$A$88&gt;35,BD11+BC12-BL11,IF(A12&lt;'Données projet'!$A$88,$BA$205^A12,IF(A12='Données projet'!$A$88,'Données projet'!$B$88,BD11+BC12-BL11)))</f>
        <v>4.7568284600108823</v>
      </c>
      <c r="BE12" s="13">
        <f>BD12*VLOOKUP('Données projet'!$B$11,Paramètres!$A$1:$I$89,3,0)*VLOOKUP('Données projet'!$B$11,Paramètres!$A$1:$I$89,5,0)</f>
        <v>4.0813588186893375</v>
      </c>
      <c r="BF12" s="13">
        <f t="shared" si="37"/>
        <v>1.5968317780655192</v>
      </c>
      <c r="BG12" s="20">
        <f t="shared" si="7"/>
        <v>9.8895152893480418</v>
      </c>
      <c r="BH12" s="59">
        <f t="shared" si="8"/>
        <v>303.22284862268134</v>
      </c>
      <c r="BI12" s="59">
        <f ca="1">AVERAGE(OFFSET($BH$3,0,0,'Données projet'!$E$11+1,1))-AVERAGE(OFFSET($H$3,0,0,'Données projet'!$E$11+1,1))</f>
        <v>352.61091660077574</v>
      </c>
      <c r="BJ12" s="59">
        <f t="shared" si="38"/>
        <v>186.48649111821521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2.4666666666666668</v>
      </c>
      <c r="BY12" s="12">
        <f>IF('Données projet'!$A$114&gt;35,BY11+BX12-CG11,IF(A12&lt;'Données projet'!$A$114,$BV$205^A12,IF(A12='Données projet'!$A$114,'Données projet'!$B$114,BY11+BX12-CG11)))</f>
        <v>8.7281265486761299</v>
      </c>
      <c r="BZ12" s="13">
        <f>BY12*VLOOKUP('Données projet'!$B$12,Paramètres!$A$1:$I$89,3,0)*VLOOKUP('Données projet'!$B$12,Paramètres!$A$1:$I$89,5,0)</f>
        <v>6.9440974821267289</v>
      </c>
      <c r="CA12" s="13">
        <f t="shared" si="39"/>
        <v>2.5538994442566798</v>
      </c>
      <c r="CB12" s="20">
        <f t="shared" si="10"/>
        <v>16.542344646784436</v>
      </c>
      <c r="CC12" s="59">
        <f t="shared" si="11"/>
        <v>309.87567798011776</v>
      </c>
      <c r="CD12" s="59">
        <f ca="1">AVERAGE(OFFSET($CC$3,0,0,'Données projet'!$E$12+1,1))-AVERAGE(OFFSET($H$3,0,0,'Données projet'!$E$12+1,1))</f>
        <v>225.2323446080772</v>
      </c>
      <c r="CE12" s="59">
        <f t="shared" si="40"/>
        <v>222.29030402759292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0.6</v>
      </c>
      <c r="CT12" s="12">
        <f>IF('Données projet'!$A$140&gt;35,CT11+CS12-DB11,IF(A12&lt;'Données projet'!$A$140,$CQ$205^A12,IF(A12='Données projet'!$A$140,'Données projet'!$B$140,CT11+CS12-DB11)))</f>
        <v>3.7371928188465526</v>
      </c>
      <c r="CU12" s="17">
        <f>CT12*VLOOKUP('Données projet'!$B$13,Paramètres!$A$1:$I$89,3,0)*VLOOKUP('Données projet'!$B$13,Paramètres!$A$1:$I$89,5,0)</f>
        <v>3.6146128943883862</v>
      </c>
      <c r="CV12" s="13">
        <f t="shared" si="41"/>
        <v>1.4343510828671959</v>
      </c>
      <c r="CW12" s="20">
        <f t="shared" si="13"/>
        <v>8.793612260386805</v>
      </c>
      <c r="CX12" s="59">
        <f t="shared" si="14"/>
        <v>302.12694559372011</v>
      </c>
      <c r="CY12" s="59">
        <f ca="1">AVERAGE(OFFSET($CX$3,0,0,'Données projet'!$E$13+1,1))-AVERAGE(OFFSET($H$3,0,0,'Données projet'!$E$13+1,1))</f>
        <v>212.32823943192528</v>
      </c>
      <c r="CZ12" s="59">
        <f t="shared" si="42"/>
        <v>209.60834138503003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3.56</v>
      </c>
      <c r="DO12" s="12">
        <f>IF('Données projet'!$A$166&gt;35,DO11+DN12-DW11,IF(A12&lt;'Données projet'!$A$166,$DL$205^A12,IF(A12='Données projet'!$A$166,'Données projet'!$B$166,DO11+DN12-DW11)))</f>
        <v>5.0324608199849017</v>
      </c>
      <c r="DP12" s="17">
        <f>DO12*VLOOKUP('Données projet'!$B$14,Paramètres!$A$1:$I$89,3,0)*VLOOKUP('Données projet'!$B$14,Paramètres!$A$1:$I$89,5,0)</f>
        <v>3.9253194395882236</v>
      </c>
      <c r="DQ12" s="13">
        <f t="shared" si="43"/>
        <v>1.5427658585813051</v>
      </c>
      <c r="DR12" s="20">
        <f t="shared" si="16"/>
        <v>9.5235818943119295</v>
      </c>
      <c r="DS12" s="59">
        <f t="shared" si="17"/>
        <v>302.85691522764523</v>
      </c>
      <c r="DT12" s="59">
        <f ca="1">AVERAGE(OFFSET($DS$3,0,0,'Données projet'!$E$14+1,1))-AVERAGE(OFFSET($H$3,0,0,'Données projet'!$E$14+1,1))</f>
        <v>215.84581110302656</v>
      </c>
      <c r="DU12" s="59">
        <f t="shared" si="44"/>
        <v>193.88588526156104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6">
        <f t="shared" si="1"/>
        <v>304.92633870438061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8.5833333333333339</v>
      </c>
      <c r="N13" s="13">
        <f>IF('Données projet'!$A$36&gt;35,N12+M13-V12,IF(A13&lt;'Données projet'!$A$36,$K$205^A13,IF(A13='Données projet'!$A$36,'Données projet'!$B$36,N12+M13-V12)))</f>
        <v>47.573417856685268</v>
      </c>
      <c r="O13" s="13">
        <f>N13*VLOOKUP('Données projet'!$B$9,Paramètres!$A$1:$I$89,3,0)*VLOOKUP('Données projet'!$B$9,Paramètres!$A$1:$I$89,5,0)</f>
        <v>29.685812742571606</v>
      </c>
      <c r="P13" s="13">
        <f t="shared" si="33"/>
        <v>9.2192652728519882</v>
      </c>
      <c r="Q13" s="20">
        <f t="shared" si="2"/>
        <v>67.759677543529421</v>
      </c>
      <c r="R13" s="59">
        <f t="shared" si="0"/>
        <v>361.09301087686276</v>
      </c>
      <c r="S13" s="59">
        <f ca="1">AVERAGE(OFFSET($R$3,0,0,'Données projet'!$E$9+1,1))-AVERAGE(OFFSET($H$3,0,0,'Données projet'!$E$9+1,1))</f>
        <v>269.77739619445515</v>
      </c>
      <c r="T13" s="59">
        <f t="shared" si="34"/>
        <v>347.56964743629885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2.8</v>
      </c>
      <c r="AI13" s="13">
        <f>IF('Données projet'!$A$62&gt;35,AI12+AH13-AQ12,IF(A13&lt;'Données projet'!$A$62,$AF$205^A13,IF(A13='Données projet'!$A$62,'Données projet'!$B$62,AI12+AH13-AQ12)))</f>
        <v>12.08276123596054</v>
      </c>
      <c r="AJ13" s="13">
        <f>AI13*VLOOKUP('Données projet'!$B$10,Paramètres!$A$1:$I$89,3,0)*VLOOKUP('Données projet'!$B$10,Paramètres!$A$1:$I$89,5,0)</f>
        <v>5.9688840505645064</v>
      </c>
      <c r="AK13" s="13">
        <f t="shared" si="35"/>
        <v>2.2342473196673369</v>
      </c>
      <c r="AL13" s="20">
        <f t="shared" si="4"/>
        <v>14.287120469820463</v>
      </c>
      <c r="AM13" s="59">
        <f t="shared" si="5"/>
        <v>307.62045380315379</v>
      </c>
      <c r="AN13" s="59">
        <f ca="1">AVERAGE(OFFSET($AM$3,0,0,'Données projet'!$E$10+1,1))-AVERAGE(OFFSET($H$3,0,0,'Données projet'!$E$10+1,1))</f>
        <v>396.27049617044378</v>
      </c>
      <c r="AO13" s="59">
        <f t="shared" si="36"/>
        <v>335.2680289568774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1.6</v>
      </c>
      <c r="BD13" s="12">
        <f>IF('Données projet'!$A$88&gt;35,BD12+BC13-BL12,IF(A13&lt;'Données projet'!$A$88,$BA$205^A13,IF(A13='Données projet'!$A$88,'Données projet'!$B$88,BD12+BC13-BL12)))</f>
        <v>5.656854249492377</v>
      </c>
      <c r="BE13" s="13">
        <f>BD13*VLOOKUP('Données projet'!$B$11,Paramètres!$A$1:$I$89,3,0)*VLOOKUP('Données projet'!$B$11,Paramètres!$A$1:$I$89,5,0)</f>
        <v>4.8535809460644597</v>
      </c>
      <c r="BF13" s="13">
        <f t="shared" si="37"/>
        <v>1.8610442215994896</v>
      </c>
      <c r="BG13" s="20">
        <f t="shared" si="7"/>
        <v>11.694638833681379</v>
      </c>
      <c r="BH13" s="59">
        <f t="shared" si="8"/>
        <v>305.0279721670147</v>
      </c>
      <c r="BI13" s="59">
        <f ca="1">AVERAGE(OFFSET($BH$3,0,0,'Données projet'!$E$11+1,1))-AVERAGE(OFFSET($H$3,0,0,'Données projet'!$E$11+1,1))</f>
        <v>352.61091660077574</v>
      </c>
      <c r="BJ13" s="59">
        <f t="shared" si="38"/>
        <v>186.48649111821521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2.4666666666666668</v>
      </c>
      <c r="BY13" s="12">
        <f>IF('Données projet'!$A$114&gt;35,BY12+BX13-CG12,IF(A13&lt;'Données projet'!$A$114,$BV$205^A13,IF(A13='Données projet'!$A$114,'Données projet'!$B$114,BY12+BX13-CG12)))</f>
        <v>11.103702468586782</v>
      </c>
      <c r="BZ13" s="13">
        <f>BY13*VLOOKUP('Données projet'!$B$12,Paramètres!$A$1:$I$89,3,0)*VLOOKUP('Données projet'!$B$12,Paramètres!$A$1:$I$89,5,0)</f>
        <v>8.8341056840076444</v>
      </c>
      <c r="CA13" s="13">
        <f t="shared" si="39"/>
        <v>3.1592306185484516</v>
      </c>
      <c r="CB13" s="20">
        <f t="shared" si="10"/>
        <v>20.888394060285197</v>
      </c>
      <c r="CC13" s="59">
        <f t="shared" si="11"/>
        <v>314.22172739361849</v>
      </c>
      <c r="CD13" s="59">
        <f ca="1">AVERAGE(OFFSET($CC$3,0,0,'Données projet'!$E$12+1,1))-AVERAGE(OFFSET($H$3,0,0,'Données projet'!$E$12+1,1))</f>
        <v>225.2323446080772</v>
      </c>
      <c r="CE13" s="59">
        <f t="shared" si="40"/>
        <v>222.29030402759292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0.6</v>
      </c>
      <c r="CT13" s="12">
        <f>IF('Données projet'!$A$140&gt;35,CT12+CS13-DB12,IF(A13&lt;'Données projet'!$A$140,$CQ$205^A13,IF(A13='Données projet'!$A$140,'Données projet'!$B$140,CT12+CS13-DB12)))</f>
        <v>4.3267487109222253</v>
      </c>
      <c r="CU13" s="17">
        <f>CT13*VLOOKUP('Données projet'!$B$13,Paramètres!$A$1:$I$89,3,0)*VLOOKUP('Données projet'!$B$13,Paramètres!$A$1:$I$89,5,0)</f>
        <v>4.1848313532039763</v>
      </c>
      <c r="CV13" s="13">
        <f t="shared" si="41"/>
        <v>1.6325508261882367</v>
      </c>
      <c r="CW13" s="20">
        <f t="shared" si="13"/>
        <v>10.131940629108104</v>
      </c>
      <c r="CX13" s="59">
        <f t="shared" si="14"/>
        <v>303.46527396244142</v>
      </c>
      <c r="CY13" s="59">
        <f ca="1">AVERAGE(OFFSET($CX$3,0,0,'Données projet'!$E$13+1,1))-AVERAGE(OFFSET($H$3,0,0,'Données projet'!$E$13+1,1))</f>
        <v>212.32823943192528</v>
      </c>
      <c r="CZ13" s="59">
        <f t="shared" si="42"/>
        <v>209.60834138503003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3.56</v>
      </c>
      <c r="DO13" s="12">
        <f>IF('Données projet'!$A$166&gt;35,DO12+DN13-DW12,IF(A13&lt;'Données projet'!$A$166,$DL$205^A13,IF(A13='Données projet'!$A$166,'Données projet'!$B$166,DO12+DN13-DW12)))</f>
        <v>6.0222114833056102</v>
      </c>
      <c r="DP13" s="17">
        <f>DO13*VLOOKUP('Données projet'!$B$14,Paramètres!$A$1:$I$89,3,0)*VLOOKUP('Données projet'!$B$14,Paramètres!$A$1:$I$89,5,0)</f>
        <v>4.6973249569783757</v>
      </c>
      <c r="DQ13" s="13">
        <f t="shared" si="43"/>
        <v>1.8080034704086858</v>
      </c>
      <c r="DR13" s="20">
        <f t="shared" si="16"/>
        <v>11.330113677699131</v>
      </c>
      <c r="DS13" s="59">
        <f t="shared" si="17"/>
        <v>304.66344701103242</v>
      </c>
      <c r="DT13" s="59">
        <f ca="1">AVERAGE(OFFSET($DS$3,0,0,'Données projet'!$E$14+1,1))-AVERAGE(OFFSET($H$3,0,0,'Données projet'!$E$14+1,1))</f>
        <v>215.84581110302656</v>
      </c>
      <c r="DU13" s="59">
        <f t="shared" si="44"/>
        <v>193.88588526156104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6">
        <f t="shared" si="1"/>
        <v>306.04661462698317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8.5833333333333339</v>
      </c>
      <c r="N14" s="13">
        <f>IF('Données projet'!$A$36&gt;35,N13+M14-V13,IF(A14&lt;'Données projet'!$A$36,$K$205^A14,IF(A14='Données projet'!$A$36,'Données projet'!$B$36,N13+M14-V13)))</f>
        <v>70.000443136015818</v>
      </c>
      <c r="O14" s="13">
        <f>N14*VLOOKUP('Données projet'!$B$9,Paramètres!$A$1:$I$89,3,0)*VLOOKUP('Données projet'!$B$9,Paramètres!$A$1:$I$89,5,0)</f>
        <v>43.680276516873867</v>
      </c>
      <c r="P14" s="13">
        <f t="shared" si="33"/>
        <v>12.969051825897136</v>
      </c>
      <c r="Q14" s="20">
        <f t="shared" si="2"/>
        <v>98.664246863659471</v>
      </c>
      <c r="R14" s="59">
        <f t="shared" si="0"/>
        <v>391.99758019699277</v>
      </c>
      <c r="S14" s="59">
        <f ca="1">AVERAGE(OFFSET($R$3,0,0,'Données projet'!$E$9+1,1))-AVERAGE(OFFSET($H$3,0,0,'Données projet'!$E$9+1,1))</f>
        <v>269.77739619445515</v>
      </c>
      <c r="T14" s="59">
        <f t="shared" si="34"/>
        <v>347.56964743629885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2.8</v>
      </c>
      <c r="AI14" s="13">
        <f>IF('Données projet'!$A$62&gt;35,AI13+AH14-AQ13,IF(A14&lt;'Données projet'!$A$62,$AF$205^A14,IF(A14='Données projet'!$A$62,'Données projet'!$B$62,AI13+AH14-AQ13)))</f>
        <v>15.501824397673841</v>
      </c>
      <c r="AJ14" s="13">
        <f>AI14*VLOOKUP('Données projet'!$B$10,Paramètres!$A$1:$I$89,3,0)*VLOOKUP('Données projet'!$B$10,Paramètres!$A$1:$I$89,5,0)</f>
        <v>7.6579012524508778</v>
      </c>
      <c r="AK14" s="13">
        <f t="shared" si="35"/>
        <v>2.7845271097144622</v>
      </c>
      <c r="AL14" s="20">
        <f t="shared" si="4"/>
        <v>18.187229397437967</v>
      </c>
      <c r="AM14" s="59">
        <f t="shared" si="5"/>
        <v>311.5205627307713</v>
      </c>
      <c r="AN14" s="59">
        <f ca="1">AVERAGE(OFFSET($AM$3,0,0,'Données projet'!$E$10+1,1))-AVERAGE(OFFSET($H$3,0,0,'Données projet'!$E$10+1,1))</f>
        <v>396.27049617044378</v>
      </c>
      <c r="AO14" s="59">
        <f t="shared" si="36"/>
        <v>335.2680289568774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1.6</v>
      </c>
      <c r="BD14" s="12">
        <f>IF('Données projet'!$A$88&gt;35,BD13+BC14-BL13,IF(A14&lt;'Données projet'!$A$88,$BA$205^A14,IF(A14='Données projet'!$A$88,'Données projet'!$B$88,BD13+BC14-BL13)))</f>
        <v>6.7271713220297125</v>
      </c>
      <c r="BE14" s="13">
        <f>BD14*VLOOKUP('Données projet'!$B$11,Paramètres!$A$1:$I$89,3,0)*VLOOKUP('Données projet'!$B$11,Paramètres!$A$1:$I$89,5,0)</f>
        <v>5.771912994301494</v>
      </c>
      <c r="BF14" s="13">
        <f t="shared" si="37"/>
        <v>2.1689733648366443</v>
      </c>
      <c r="BG14" s="20">
        <f t="shared" si="7"/>
        <v>13.830377075498925</v>
      </c>
      <c r="BH14" s="59">
        <f t="shared" si="8"/>
        <v>307.16371040883223</v>
      </c>
      <c r="BI14" s="59">
        <f ca="1">AVERAGE(OFFSET($BH$3,0,0,'Données projet'!$E$11+1,1))-AVERAGE(OFFSET($H$3,0,0,'Données projet'!$E$11+1,1))</f>
        <v>352.61091660077574</v>
      </c>
      <c r="BJ14" s="59">
        <f t="shared" si="38"/>
        <v>186.48649111821521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2.4666666666666668</v>
      </c>
      <c r="BY14" s="12">
        <f>IF('Données projet'!$A$114&gt;35,BY13+BX14-CG13,IF(A14&lt;'Données projet'!$A$114,$BV$205^A14,IF(A14='Données projet'!$A$114,'Données projet'!$B$114,BY13+BX14-CG13)))</f>
        <v>14.125850240977657</v>
      </c>
      <c r="BZ14" s="13">
        <f>BY14*VLOOKUP('Données projet'!$B$12,Paramètres!$A$1:$I$89,3,0)*VLOOKUP('Données projet'!$B$12,Paramètres!$A$1:$I$89,5,0)</f>
        <v>11.238526451721825</v>
      </c>
      <c r="CA14" s="13">
        <f t="shared" si="39"/>
        <v>3.9080387928425129</v>
      </c>
      <c r="CB14" s="20">
        <f t="shared" si="10"/>
        <v>26.380267800949554</v>
      </c>
      <c r="CC14" s="59">
        <f t="shared" si="11"/>
        <v>319.71360113428284</v>
      </c>
      <c r="CD14" s="59">
        <f ca="1">AVERAGE(OFFSET($CC$3,0,0,'Données projet'!$E$12+1,1))-AVERAGE(OFFSET($H$3,0,0,'Données projet'!$E$12+1,1))</f>
        <v>225.2323446080772</v>
      </c>
      <c r="CE14" s="59">
        <f t="shared" si="40"/>
        <v>222.29030402759292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0.6</v>
      </c>
      <c r="CT14" s="12">
        <f>IF('Données projet'!$A$140&gt;35,CT13+CS14-DB13,IF(A14&lt;'Données projet'!$A$140,$CQ$205^A14,IF(A14='Données projet'!$A$140,'Données projet'!$B$140,CT13+CS14-DB13)))</f>
        <v>5.0093092101266317</v>
      </c>
      <c r="CU14" s="17">
        <f>CT14*VLOOKUP('Données projet'!$B$13,Paramètres!$A$1:$I$89,3,0)*VLOOKUP('Données projet'!$B$13,Paramètres!$A$1:$I$89,5,0)</f>
        <v>4.8450038680344782</v>
      </c>
      <c r="CV14" s="13">
        <f t="shared" si="41"/>
        <v>1.8581379635174471</v>
      </c>
      <c r="CW14" s="20">
        <f t="shared" si="13"/>
        <v>11.674638689952936</v>
      </c>
      <c r="CX14" s="59">
        <f t="shared" si="14"/>
        <v>305.00797202328624</v>
      </c>
      <c r="CY14" s="59">
        <f ca="1">AVERAGE(OFFSET($CX$3,0,0,'Données projet'!$E$13+1,1))-AVERAGE(OFFSET($H$3,0,0,'Données projet'!$E$13+1,1))</f>
        <v>212.32823943192528</v>
      </c>
      <c r="CZ14" s="59">
        <f t="shared" si="42"/>
        <v>209.60834138503003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3.56</v>
      </c>
      <c r="DO14" s="12">
        <f>IF('Données projet'!$A$166&gt;35,DO13+DN14-DW13,IF(A14&lt;'Données projet'!$A$166,$DL$205^A14,IF(A14='Données projet'!$A$166,'Données projet'!$B$166,DO13+DN14-DW13)))</f>
        <v>7.206619673149639</v>
      </c>
      <c r="DP14" s="17">
        <f>DO14*VLOOKUP('Données projet'!$B$14,Paramètres!$A$1:$I$89,3,0)*VLOOKUP('Données projet'!$B$14,Paramètres!$A$1:$I$89,5,0)</f>
        <v>5.6211633450567184</v>
      </c>
      <c r="DQ14" s="13">
        <f t="shared" si="43"/>
        <v>2.1188416445874947</v>
      </c>
      <c r="DR14" s="20">
        <f t="shared" si="16"/>
        <v>13.480508690297002</v>
      </c>
      <c r="DS14" s="59">
        <f t="shared" si="17"/>
        <v>306.81384202363034</v>
      </c>
      <c r="DT14" s="59">
        <f ca="1">AVERAGE(OFFSET($DS$3,0,0,'Données projet'!$E$14+1,1))-AVERAGE(OFFSET($H$3,0,0,'Données projet'!$E$14+1,1))</f>
        <v>215.84581110302656</v>
      </c>
      <c r="DU14" s="59">
        <f t="shared" si="44"/>
        <v>193.88588526156104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6">
        <f t="shared" si="1"/>
        <v>307.1639122593399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103</v>
      </c>
      <c r="L15" s="12">
        <f>VLOOKUP(A15,'Données projet'!$A$35:$I$55,9,0)</f>
        <v>8.5833333333333339</v>
      </c>
      <c r="M15" s="12">
        <f t="array" ref="M15">INDEX(L:L,MIN(IF(ISNUMBER(L15:L211),ROW(L15:L211),"")))</f>
        <v>8.5833333333333339</v>
      </c>
      <c r="N15" s="13">
        <f>IF('Données projet'!$A$36&gt;35,N14+M15-V14,IF(A15&lt;'Données projet'!$A$36,$K$205^A15,IF(A15='Données projet'!$A$36,'Données projet'!$B$36,N14+M15-V14)))</f>
        <v>103</v>
      </c>
      <c r="O15" s="13">
        <f>N15*VLOOKUP('Données projet'!$B$9,Paramètres!$A$1:$I$89,3,0)*VLOOKUP('Données projet'!$B$9,Paramètres!$A$1:$I$89,5,0)</f>
        <v>64.272000000000006</v>
      </c>
      <c r="P15" s="13">
        <f t="shared" si="33"/>
        <v>18.244003213368217</v>
      </c>
      <c r="Q15" s="20">
        <f t="shared" si="2"/>
        <v>143.71537226328297</v>
      </c>
      <c r="R15" s="59">
        <f t="shared" si="0"/>
        <v>437.04870559661629</v>
      </c>
      <c r="S15" s="59">
        <f ca="1">AVERAGE(OFFSET($R$3,0,0,'Données projet'!$E$9+1,1))-AVERAGE(OFFSET($H$3,0,0,'Données projet'!$E$9+1,1))</f>
        <v>269.77739619445515</v>
      </c>
      <c r="T15" s="59">
        <f t="shared" si="34"/>
        <v>347.56964743629885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18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12.717233165817262</v>
      </c>
      <c r="AC15" s="22">
        <f t="shared" si="3"/>
        <v>12.717233165817262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2.8</v>
      </c>
      <c r="AI15" s="13">
        <f>IF('Données projet'!$A$62&gt;35,AI14+AH15-AQ14,IF(A15&lt;'Données projet'!$A$62,$AF$205^A15,IF(A15='Données projet'!$A$62,'Données projet'!$B$62,AI14+AH15-AQ14)))</f>
        <v>19.888381054913101</v>
      </c>
      <c r="AJ15" s="13">
        <f>AI15*VLOOKUP('Données projet'!$B$10,Paramètres!$A$1:$I$89,3,0)*VLOOKUP('Données projet'!$B$10,Paramètres!$A$1:$I$89,5,0)</f>
        <v>9.8248602411270713</v>
      </c>
      <c r="AK15" s="13">
        <f t="shared" si="35"/>
        <v>3.4703370376602853</v>
      </c>
      <c r="AL15" s="20">
        <f t="shared" si="4"/>
        <v>23.155801927221308</v>
      </c>
      <c r="AM15" s="59">
        <f t="shared" si="5"/>
        <v>316.48913526055463</v>
      </c>
      <c r="AN15" s="59">
        <f ca="1">AVERAGE(OFFSET($AM$3,0,0,'Données projet'!$E$10+1,1))-AVERAGE(OFFSET($H$3,0,0,'Données projet'!$E$10+1,1))</f>
        <v>396.27049617044378</v>
      </c>
      <c r="AO15" s="59">
        <f t="shared" si="36"/>
        <v>335.2680289568774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1.6</v>
      </c>
      <c r="BD15" s="12">
        <f>IF('Données projet'!$A$88&gt;35,BD14+BC15-BL14,IF(A15&lt;'Données projet'!$A$88,$BA$205^A15,IF(A15='Données projet'!$A$88,'Données projet'!$B$88,BD14+BC15-BL14)))</f>
        <v>7.9999999999999947</v>
      </c>
      <c r="BE15" s="13">
        <f>BD15*VLOOKUP('Données projet'!$B$11,Paramètres!$A$1:$I$89,3,0)*VLOOKUP('Données projet'!$B$11,Paramètres!$A$1:$I$89,5,0)</f>
        <v>6.8639999999999963</v>
      </c>
      <c r="BF15" s="13">
        <f t="shared" si="37"/>
        <v>2.5278525909113112</v>
      </c>
      <c r="BG15" s="20">
        <f t="shared" si="7"/>
        <v>16.357476595837191</v>
      </c>
      <c r="BH15" s="59">
        <f t="shared" si="8"/>
        <v>309.69080992917048</v>
      </c>
      <c r="BI15" s="59">
        <f ca="1">AVERAGE(OFFSET($BH$3,0,0,'Données projet'!$E$11+1,1))-AVERAGE(OFFSET($H$3,0,0,'Données projet'!$E$11+1,1))</f>
        <v>352.61091660077574</v>
      </c>
      <c r="BJ15" s="59">
        <f t="shared" si="38"/>
        <v>186.48649111821521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2.4666666666666668</v>
      </c>
      <c r="BY15" s="12">
        <f>IF('Données projet'!$A$114&gt;35,BY14+BX15-CG14,IF(A15&lt;'Données projet'!$A$114,$BV$205^A15,IF(A15='Données projet'!$A$114,'Données projet'!$B$114,BY14+BX15-CG14)))</f>
        <v>17.970550417308221</v>
      </c>
      <c r="BZ15" s="13">
        <f>BY15*VLOOKUP('Données projet'!$B$12,Paramètres!$A$1:$I$89,3,0)*VLOOKUP('Données projet'!$B$12,Paramètres!$A$1:$I$89,5,0)</f>
        <v>14.297369912010421</v>
      </c>
      <c r="CA15" s="13">
        <f t="shared" si="39"/>
        <v>4.8343312187127445</v>
      </c>
      <c r="CB15" s="20">
        <f t="shared" si="10"/>
        <v>33.321046136009507</v>
      </c>
      <c r="CC15" s="59">
        <f t="shared" si="11"/>
        <v>326.65437946934281</v>
      </c>
      <c r="CD15" s="59">
        <f ca="1">AVERAGE(OFFSET($CC$3,0,0,'Données projet'!$E$12+1,1))-AVERAGE(OFFSET($H$3,0,0,'Données projet'!$E$12+1,1))</f>
        <v>225.2323446080772</v>
      </c>
      <c r="CE15" s="59">
        <f t="shared" si="40"/>
        <v>222.29030402759292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0.6</v>
      </c>
      <c r="CT15" s="12">
        <f>IF('Données projet'!$A$140&gt;35,CT14+CS15-DB14,IF(A15&lt;'Données projet'!$A$140,$CQ$205^A15,IF(A15='Données projet'!$A$140,'Données projet'!$B$140,CT14+CS15-DB14)))</f>
        <v>5.799546134795289</v>
      </c>
      <c r="CU15" s="17">
        <f>CT15*VLOOKUP('Données projet'!$B$13,Paramètres!$A$1:$I$89,3,0)*VLOOKUP('Données projet'!$B$13,Paramètres!$A$1:$I$89,5,0)</f>
        <v>5.6093210215740035</v>
      </c>
      <c r="CV15" s="13">
        <f t="shared" si="41"/>
        <v>2.1148969061663148</v>
      </c>
      <c r="CW15" s="20">
        <f t="shared" si="13"/>
        <v>13.453012890814385</v>
      </c>
      <c r="CX15" s="59">
        <f t="shared" si="14"/>
        <v>306.78634622414768</v>
      </c>
      <c r="CY15" s="59">
        <f ca="1">AVERAGE(OFFSET($CX$3,0,0,'Données projet'!$E$13+1,1))-AVERAGE(OFFSET($H$3,0,0,'Données projet'!$E$13+1,1))</f>
        <v>212.32823943192528</v>
      </c>
      <c r="CZ15" s="59">
        <f t="shared" si="42"/>
        <v>209.60834138503003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3.56</v>
      </c>
      <c r="DO15" s="12">
        <f>IF('Données projet'!$A$166&gt;35,DO14+DN15-DW14,IF(A15&lt;'Données projet'!$A$166,$DL$205^A15,IF(A15='Données projet'!$A$166,'Données projet'!$B$166,DO14+DN15-DW14)))</f>
        <v>8.6239693271150166</v>
      </c>
      <c r="DP15" s="17">
        <f>DO15*VLOOKUP('Données projet'!$B$14,Paramètres!$A$1:$I$89,3,0)*VLOOKUP('Données projet'!$B$14,Paramètres!$A$1:$I$89,5,0)</f>
        <v>6.7266960751497136</v>
      </c>
      <c r="DQ15" s="13">
        <f t="shared" si="43"/>
        <v>2.4831201866130401</v>
      </c>
      <c r="DR15" s="20">
        <f t="shared" si="16"/>
        <v>16.040429989236795</v>
      </c>
      <c r="DS15" s="59">
        <f t="shared" si="17"/>
        <v>309.37376332257008</v>
      </c>
      <c r="DT15" s="59">
        <f ca="1">AVERAGE(OFFSET($DS$3,0,0,'Données projet'!$E$14+1,1))-AVERAGE(OFFSET($H$3,0,0,'Données projet'!$E$14+1,1))</f>
        <v>215.84581110302656</v>
      </c>
      <c r="DU15" s="59">
        <f t="shared" si="44"/>
        <v>193.88588526156104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6">
        <f t="shared" si="1"/>
        <v>308.27850800940064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23</v>
      </c>
      <c r="N16" s="13">
        <f>IF('Données projet'!$A$36&gt;35,N15+M16-V15,IF(A16&lt;'Données projet'!$A$36,$K$205^A16,IF(A16='Données projet'!$A$36,'Données projet'!$B$36,N15+M16-V15)))</f>
        <v>108</v>
      </c>
      <c r="O16" s="13">
        <f>N16*VLOOKUP('Données projet'!$B$9,Paramètres!$A$1:$I$89,3,0)*VLOOKUP('Données projet'!$B$9,Paramètres!$A$1:$I$89,5,0)</f>
        <v>67.391999999999996</v>
      </c>
      <c r="P16" s="13">
        <f t="shared" si="33"/>
        <v>19.02437502991798</v>
      </c>
      <c r="Q16" s="20">
        <f t="shared" si="2"/>
        <v>150.5085198437738</v>
      </c>
      <c r="R16" s="59">
        <f t="shared" si="0"/>
        <v>443.84185317710711</v>
      </c>
      <c r="S16" s="59">
        <f ca="1">AVERAGE(OFFSET($R$3,0,0,'Données projet'!$E$9+1,1))-AVERAGE(OFFSET($H$3,0,0,'Données projet'!$E$9+1,1))</f>
        <v>269.77739619445515</v>
      </c>
      <c r="T16" s="59">
        <f t="shared" si="34"/>
        <v>347.56964743629885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8.9924418094798533</v>
      </c>
      <c r="AC16" s="22">
        <f t="shared" si="3"/>
        <v>8.9924418094798533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2.8</v>
      </c>
      <c r="AI16" s="13">
        <f>IF('Données projet'!$A$62&gt;35,AI15+AH16-AQ15,IF(A16&lt;'Données projet'!$A$62,$AF$205^A16,IF(A16='Données projet'!$A$62,'Données projet'!$B$62,AI15+AH16-AQ15)))</f>
        <v>25.51620317959356</v>
      </c>
      <c r="AJ16" s="13">
        <f>AI16*VLOOKUP('Données projet'!$B$10,Paramètres!$A$1:$I$89,3,0)*VLOOKUP('Données projet'!$B$10,Paramètres!$A$1:$I$89,5,0)</f>
        <v>12.60500437071922</v>
      </c>
      <c r="AK16" s="13">
        <f t="shared" si="35"/>
        <v>4.325057246862908</v>
      </c>
      <c r="AL16" s="20">
        <f t="shared" si="4"/>
        <v>29.486523983955536</v>
      </c>
      <c r="AM16" s="59">
        <f t="shared" si="5"/>
        <v>322.81985731728884</v>
      </c>
      <c r="AN16" s="59">
        <f ca="1">AVERAGE(OFFSET($AM$3,0,0,'Données projet'!$E$10+1,1))-AVERAGE(OFFSET($H$3,0,0,'Données projet'!$E$10+1,1))</f>
        <v>396.27049617044378</v>
      </c>
      <c r="AO16" s="59">
        <f t="shared" si="36"/>
        <v>335.2680289568774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1.6</v>
      </c>
      <c r="BD16" s="12">
        <f>IF('Données projet'!$A$88&gt;35,BD15+BC16-BL15,IF(A16&lt;'Données projet'!$A$88,$BA$205^A16,IF(A16='Données projet'!$A$88,'Données projet'!$B$88,BD15+BC16-BL15)))</f>
        <v>9.5136569200217629</v>
      </c>
      <c r="BE16" s="13">
        <f>BD16*VLOOKUP('Données projet'!$B$11,Paramètres!$A$1:$I$89,3,0)*VLOOKUP('Données projet'!$B$11,Paramètres!$A$1:$I$89,5,0)</f>
        <v>8.1627176373786732</v>
      </c>
      <c r="BF16" s="13">
        <f t="shared" si="37"/>
        <v>2.946112121509751</v>
      </c>
      <c r="BG16" s="20">
        <f t="shared" si="7"/>
        <v>19.347878496730672</v>
      </c>
      <c r="BH16" s="59">
        <f t="shared" si="8"/>
        <v>312.681211830064</v>
      </c>
      <c r="BI16" s="59">
        <f ca="1">AVERAGE(OFFSET($BH$3,0,0,'Données projet'!$E$11+1,1))-AVERAGE(OFFSET($H$3,0,0,'Données projet'!$E$11+1,1))</f>
        <v>352.61091660077574</v>
      </c>
      <c r="BJ16" s="59">
        <f t="shared" si="38"/>
        <v>186.48649111821521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2.4666666666666668</v>
      </c>
      <c r="BY16" s="12">
        <f>IF('Données projet'!$A$114&gt;35,BY15+BX16-CG15,IF(A16&lt;'Données projet'!$A$114,$BV$205^A16,IF(A16='Données projet'!$A$114,'Données projet'!$B$114,BY15+BX16-CG15)))</f>
        <v>22.86168101684942</v>
      </c>
      <c r="BZ16" s="13">
        <f>BY16*VLOOKUP('Données projet'!$B$12,Paramètres!$A$1:$I$89,3,0)*VLOOKUP('Données projet'!$B$12,Paramètres!$A$1:$I$89,5,0)</f>
        <v>18.188753417005401</v>
      </c>
      <c r="CA16" s="13">
        <f t="shared" si="39"/>
        <v>5.9801756254374139</v>
      </c>
      <c r="CB16" s="20">
        <f t="shared" si="10"/>
        <v>42.094218082254564</v>
      </c>
      <c r="CC16" s="59">
        <f t="shared" si="11"/>
        <v>335.42755141558786</v>
      </c>
      <c r="CD16" s="59">
        <f ca="1">AVERAGE(OFFSET($CC$3,0,0,'Données projet'!$E$12+1,1))-AVERAGE(OFFSET($H$3,0,0,'Données projet'!$E$12+1,1))</f>
        <v>225.2323446080772</v>
      </c>
      <c r="CE16" s="59">
        <f t="shared" si="40"/>
        <v>222.29030402759292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0.6</v>
      </c>
      <c r="CT16" s="12">
        <f>IF('Données projet'!$A$140&gt;35,CT15+CS16-DB15,IF(A16&lt;'Données projet'!$A$140,$CQ$205^A16,IF(A16='Données projet'!$A$140,'Données projet'!$B$140,CT15+CS16-DB15)))</f>
        <v>6.7144458364886441</v>
      </c>
      <c r="CU16" s="17">
        <f>CT16*VLOOKUP('Données projet'!$B$13,Paramètres!$A$1:$I$89,3,0)*VLOOKUP('Données projet'!$B$13,Paramètres!$A$1:$I$89,5,0)</f>
        <v>6.4942120130518175</v>
      </c>
      <c r="CV16" s="13">
        <f t="shared" si="41"/>
        <v>2.4071349983318155</v>
      </c>
      <c r="CW16" s="20">
        <f t="shared" si="13"/>
        <v>15.503179378159826</v>
      </c>
      <c r="CX16" s="59">
        <f t="shared" si="14"/>
        <v>308.83651271149313</v>
      </c>
      <c r="CY16" s="59">
        <f ca="1">AVERAGE(OFFSET($CX$3,0,0,'Données projet'!$E$13+1,1))-AVERAGE(OFFSET($H$3,0,0,'Données projet'!$E$13+1,1))</f>
        <v>212.32823943192528</v>
      </c>
      <c r="CZ16" s="59">
        <f t="shared" si="42"/>
        <v>209.60834138503003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3.56</v>
      </c>
      <c r="DO16" s="12">
        <f>IF('Données projet'!$A$166&gt;35,DO15+DN16-DW15,IF(A16&lt;'Données projet'!$A$166,$DL$205^A16,IF(A16='Données projet'!$A$166,'Données projet'!$B$166,DO15+DN16-DW15)))</f>
        <v>10.320073811043248</v>
      </c>
      <c r="DP16" s="17">
        <f>DO16*VLOOKUP('Données projet'!$B$14,Paramètres!$A$1:$I$89,3,0)*VLOOKUP('Données projet'!$B$14,Paramètres!$A$1:$I$89,5,0)</f>
        <v>8.049657572613734</v>
      </c>
      <c r="DQ16" s="13">
        <f t="shared" si="43"/>
        <v>2.9100267483017022</v>
      </c>
      <c r="DR16" s="20">
        <f t="shared" si="16"/>
        <v>19.088116858927716</v>
      </c>
      <c r="DS16" s="59">
        <f t="shared" si="17"/>
        <v>312.42145019226103</v>
      </c>
      <c r="DT16" s="59">
        <f ca="1">AVERAGE(OFFSET($DS$3,0,0,'Données projet'!$E$14+1,1))-AVERAGE(OFFSET($H$3,0,0,'Données projet'!$E$14+1,1))</f>
        <v>215.84581110302656</v>
      </c>
      <c r="DU16" s="59">
        <f t="shared" si="44"/>
        <v>193.88588526156104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6">
        <f t="shared" si="1"/>
        <v>309.39063334516135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23</v>
      </c>
      <c r="N17" s="13">
        <f>IF('Données projet'!$A$36&gt;35,N16+M17-V16,IF(A17&lt;'Données projet'!$A$36,$K$205^A17,IF(A17='Données projet'!$A$36,'Données projet'!$B$36,N16+M17-V16)))</f>
        <v>131</v>
      </c>
      <c r="O17" s="13">
        <f>N17*VLOOKUP('Données projet'!$B$9,Paramètres!$A$1:$I$89,3,0)*VLOOKUP('Données projet'!$B$9,Paramètres!$A$1:$I$89,5,0)</f>
        <v>81.744</v>
      </c>
      <c r="P17" s="13">
        <f t="shared" si="33"/>
        <v>22.563064513367394</v>
      </c>
      <c r="Q17" s="20">
        <f t="shared" si="2"/>
        <v>181.66813736078151</v>
      </c>
      <c r="R17" s="59">
        <f t="shared" si="0"/>
        <v>475.0014706941148</v>
      </c>
      <c r="S17" s="59">
        <f ca="1">AVERAGE(OFFSET($R$3,0,0,'Données projet'!$E$9+1,1))-AVERAGE(OFFSET($H$3,0,0,'Données projet'!$E$9+1,1))</f>
        <v>269.77739619445515</v>
      </c>
      <c r="T17" s="59">
        <f t="shared" si="34"/>
        <v>347.56964743629885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6.358616582908633</v>
      </c>
      <c r="AC17" s="22">
        <f t="shared" si="3"/>
        <v>6.358616582908633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2.8</v>
      </c>
      <c r="AI17" s="13">
        <f>IF('Données projet'!$A$62&gt;35,AI16+AH17-AQ16,IF(A17&lt;'Données projet'!$A$62,$AF$205^A17,IF(A17='Données projet'!$A$62,'Données projet'!$B$62,AI16+AH17-AQ16)))</f>
        <v>32.736532094021939</v>
      </c>
      <c r="AJ17" s="13">
        <f>AI17*VLOOKUP('Données projet'!$B$10,Paramètres!$A$1:$I$89,3,0)*VLOOKUP('Données projet'!$B$10,Paramètres!$A$1:$I$89,5,0)</f>
        <v>16.171846854446841</v>
      </c>
      <c r="AK17" s="13">
        <f t="shared" si="35"/>
        <v>5.390289181033868</v>
      </c>
      <c r="AL17" s="20">
        <f t="shared" si="4"/>
        <v>37.554053595128899</v>
      </c>
      <c r="AM17" s="59">
        <f t="shared" si="5"/>
        <v>330.88738692846221</v>
      </c>
      <c r="AN17" s="59">
        <f ca="1">AVERAGE(OFFSET($AM$3,0,0,'Données projet'!$E$10+1,1))-AVERAGE(OFFSET($H$3,0,0,'Données projet'!$E$10+1,1))</f>
        <v>396.27049617044378</v>
      </c>
      <c r="AO17" s="59">
        <f t="shared" si="36"/>
        <v>335.2680289568774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1.6</v>
      </c>
      <c r="BD17" s="12">
        <f>IF('Données projet'!$A$88&gt;35,BD16+BC17-BL16,IF(A17&lt;'Données projet'!$A$88,$BA$205^A17,IF(A17='Données projet'!$A$88,'Données projet'!$B$88,BD16+BC17-BL16)))</f>
        <v>11.313708498984752</v>
      </c>
      <c r="BE17" s="13">
        <f>BD17*VLOOKUP('Données projet'!$B$11,Paramètres!$A$1:$I$89,3,0)*VLOOKUP('Données projet'!$B$11,Paramètres!$A$1:$I$89,5,0)</f>
        <v>9.7071618921289176</v>
      </c>
      <c r="BF17" s="13">
        <f t="shared" si="37"/>
        <v>3.433577046269785</v>
      </c>
      <c r="BG17" s="20">
        <f t="shared" si="7"/>
        <v>22.886786984377736</v>
      </c>
      <c r="BH17" s="59">
        <f t="shared" si="8"/>
        <v>316.22012031771106</v>
      </c>
      <c r="BI17" s="59">
        <f ca="1">AVERAGE(OFFSET($BH$3,0,0,'Données projet'!$E$11+1,1))-AVERAGE(OFFSET($H$3,0,0,'Données projet'!$E$11+1,1))</f>
        <v>352.61091660077574</v>
      </c>
      <c r="BJ17" s="59">
        <f t="shared" si="38"/>
        <v>186.48649111821521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2.4666666666666668</v>
      </c>
      <c r="BY17" s="12">
        <f>IF('Données projet'!$A$114&gt;35,BY16+BX17-CG16,IF(A17&lt;'Données projet'!$A$114,$BV$205^A17,IF(A17='Données projet'!$A$114,'Données projet'!$B$114,BY16+BX17-CG16)))</f>
        <v>29.084054009429774</v>
      </c>
      <c r="BZ17" s="13">
        <f>BY17*VLOOKUP('Données projet'!$B$12,Paramètres!$A$1:$I$89,3,0)*VLOOKUP('Données projet'!$B$12,Paramètres!$A$1:$I$89,5,0)</f>
        <v>23.13927336990233</v>
      </c>
      <c r="CA17" s="13">
        <f t="shared" si="39"/>
        <v>7.3976107331343286</v>
      </c>
      <c r="CB17" s="20">
        <f t="shared" si="10"/>
        <v>53.185073146122171</v>
      </c>
      <c r="CC17" s="59">
        <f t="shared" si="11"/>
        <v>346.51840647945551</v>
      </c>
      <c r="CD17" s="59">
        <f ca="1">AVERAGE(OFFSET($CC$3,0,0,'Données projet'!$E$12+1,1))-AVERAGE(OFFSET($H$3,0,0,'Données projet'!$E$12+1,1))</f>
        <v>225.2323446080772</v>
      </c>
      <c r="CE17" s="59">
        <f t="shared" si="40"/>
        <v>222.29030402759292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0.6</v>
      </c>
      <c r="CT17" s="12">
        <f>IF('Données projet'!$A$140&gt;35,CT16+CS17-DB16,IF(A17&lt;'Données projet'!$A$140,$CQ$205^A17,IF(A17='Données projet'!$A$140,'Données projet'!$B$140,CT16+CS17-DB16)))</f>
        <v>7.7736743261084582</v>
      </c>
      <c r="CU17" s="17">
        <f>CT17*VLOOKUP('Données projet'!$B$13,Paramètres!$A$1:$I$89,3,0)*VLOOKUP('Données projet'!$B$13,Paramètres!$A$1:$I$89,5,0)</f>
        <v>7.5186978082121012</v>
      </c>
      <c r="CV17" s="13">
        <f t="shared" si="41"/>
        <v>2.7397547763674512</v>
      </c>
      <c r="CW17" s="20">
        <f t="shared" si="13"/>
        <v>17.866804918142723</v>
      </c>
      <c r="CX17" s="59">
        <f t="shared" si="14"/>
        <v>311.20013825147606</v>
      </c>
      <c r="CY17" s="59">
        <f ca="1">AVERAGE(OFFSET($CX$3,0,0,'Données projet'!$E$13+1,1))-AVERAGE(OFFSET($H$3,0,0,'Données projet'!$E$13+1,1))</f>
        <v>212.32823943192528</v>
      </c>
      <c r="CZ17" s="59">
        <f t="shared" si="42"/>
        <v>209.60834138503003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3.56</v>
      </c>
      <c r="DO17" s="12">
        <f>IF('Données projet'!$A$166&gt;35,DO16+DN17-DW16,IF(A17&lt;'Données projet'!$A$166,$DL$205^A17,IF(A17='Données projet'!$A$166,'Données projet'!$B$166,DO16+DN17-DW16)))</f>
        <v>12.349756756499216</v>
      </c>
      <c r="DP17" s="17">
        <f>DO17*VLOOKUP('Données projet'!$B$14,Paramètres!$A$1:$I$89,3,0)*VLOOKUP('Données projet'!$B$14,Paramètres!$A$1:$I$89,5,0)</f>
        <v>9.6328102700693883</v>
      </c>
      <c r="DQ17" s="13">
        <f t="shared" si="43"/>
        <v>3.4103285541655652</v>
      </c>
      <c r="DR17" s="20">
        <f t="shared" si="16"/>
        <v>22.716800118875877</v>
      </c>
      <c r="DS17" s="59">
        <f t="shared" si="17"/>
        <v>316.0501334522092</v>
      </c>
      <c r="DT17" s="59">
        <f ca="1">AVERAGE(OFFSET($DS$3,0,0,'Données projet'!$E$14+1,1))-AVERAGE(OFFSET($H$3,0,0,'Données projet'!$E$14+1,1))</f>
        <v>215.84581110302656</v>
      </c>
      <c r="DU17" s="59">
        <f t="shared" si="44"/>
        <v>193.88588526156104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6">
        <f t="shared" si="1"/>
        <v>310.50048479403728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23</v>
      </c>
      <c r="N18" s="13">
        <f>IF('Données projet'!$A$36&gt;35,N17+M18-V17,IF(A18&lt;'Données projet'!$A$36,$K$205^A18,IF(A18='Données projet'!$A$36,'Données projet'!$B$36,N17+M18-V17)))</f>
        <v>154</v>
      </c>
      <c r="O18" s="13">
        <f>N18*VLOOKUP('Données projet'!$B$9,Paramètres!$A$1:$I$89,3,0)*VLOOKUP('Données projet'!$B$9,Paramètres!$A$1:$I$89,5,0)</f>
        <v>96.096000000000004</v>
      </c>
      <c r="P18" s="13">
        <f t="shared" si="33"/>
        <v>26.029778784173352</v>
      </c>
      <c r="Q18" s="20">
        <f t="shared" si="2"/>
        <v>212.70239804910193</v>
      </c>
      <c r="R18" s="59">
        <f t="shared" si="0"/>
        <v>506.03573138243524</v>
      </c>
      <c r="S18" s="59">
        <f ca="1">AVERAGE(OFFSET($R$3,0,0,'Données projet'!$E$9+1,1))-AVERAGE(OFFSET($H$3,0,0,'Données projet'!$E$9+1,1))</f>
        <v>269.77739619445515</v>
      </c>
      <c r="T18" s="59">
        <f t="shared" si="34"/>
        <v>347.56964743629885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4.4962209047399275</v>
      </c>
      <c r="AC18" s="22">
        <f t="shared" si="3"/>
        <v>4.4962209047399275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42</v>
      </c>
      <c r="AG18" s="12">
        <f>VLOOKUP(A18,'Données projet'!$A$61:$I$81,9,0)</f>
        <v>2.8</v>
      </c>
      <c r="AH18" s="12">
        <f t="array" ref="AH18">INDEX(AG:AG,MIN(IF(ISNUMBER(AG18:AG214),ROW(AG18:AG214),"")))</f>
        <v>2.8</v>
      </c>
      <c r="AI18" s="13">
        <f>IF('Données projet'!$A$62&gt;35,AI17+AH18-AQ17,IF(A18&lt;'Données projet'!$A$62,$AF$205^A18,IF(A18='Données projet'!$A$62,'Données projet'!$B$62,AI17+AH18-AQ17)))</f>
        <v>42</v>
      </c>
      <c r="AJ18" s="13">
        <f>AI18*VLOOKUP('Données projet'!$B$10,Paramètres!$A$1:$I$89,3,0)*VLOOKUP('Données projet'!$B$10,Paramètres!$A$1:$I$89,5,0)</f>
        <v>20.748000000000001</v>
      </c>
      <c r="AK18" s="13">
        <f t="shared" si="35"/>
        <v>6.7178804341249814</v>
      </c>
      <c r="AL18" s="20">
        <f t="shared" si="4"/>
        <v>47.836408422767676</v>
      </c>
      <c r="AM18" s="59">
        <f t="shared" si="5"/>
        <v>341.16974175610096</v>
      </c>
      <c r="AN18" s="59">
        <f ca="1">AVERAGE(OFFSET($AM$3,0,0,'Données projet'!$E$10+1,1))-AVERAGE(OFFSET($H$3,0,0,'Données projet'!$E$10+1,1))</f>
        <v>396.27049617044378</v>
      </c>
      <c r="AO18" s="59">
        <f t="shared" si="36"/>
        <v>335.2680289568774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1.6</v>
      </c>
      <c r="BD18" s="12">
        <f>IF('Données projet'!$A$88&gt;35,BD17+BC18-BL17,IF(A18&lt;'Données projet'!$A$88,$BA$205^A18,IF(A18='Données projet'!$A$88,'Données projet'!$B$88,BD17+BC18-BL17)))</f>
        <v>13.454342644059421</v>
      </c>
      <c r="BE18" s="13">
        <f>BD18*VLOOKUP('Données projet'!$B$11,Paramètres!$A$1:$I$89,3,0)*VLOOKUP('Données projet'!$B$11,Paramètres!$A$1:$I$89,5,0)</f>
        <v>11.543825988602984</v>
      </c>
      <c r="BF18" s="13">
        <f t="shared" si="37"/>
        <v>4.0016981182064377</v>
      </c>
      <c r="BG18" s="20">
        <f t="shared" si="7"/>
        <v>27.075121152693075</v>
      </c>
      <c r="BH18" s="59">
        <f t="shared" si="8"/>
        <v>320.40845448602641</v>
      </c>
      <c r="BI18" s="59">
        <f ca="1">AVERAGE(OFFSET($BH$3,0,0,'Données projet'!$E$11+1,1))-AVERAGE(OFFSET($H$3,0,0,'Données projet'!$E$11+1,1))</f>
        <v>352.61091660077574</v>
      </c>
      <c r="BJ18" s="59">
        <f t="shared" si="38"/>
        <v>186.48649111821521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>
        <f>VLOOKUP(A18,'Données projet'!$A$113:$I$133,2,0)</f>
        <v>37</v>
      </c>
      <c r="BW18" s="12">
        <f>VLOOKUP(A18,'Données projet'!$A$113:$I$133,9,0)</f>
        <v>2.4666666666666668</v>
      </c>
      <c r="BX18" s="12">
        <f t="array" ref="BX18">INDEX(BW:BW,MIN(IF(ISNUMBER(BW18:BW214),ROW(BW18:BW214),"")))</f>
        <v>2.4666666666666668</v>
      </c>
      <c r="BY18" s="12">
        <f>IF('Données projet'!$A$114&gt;35,BY17+BX18-CG17,IF(A18&lt;'Données projet'!$A$114,$BV$205^A18,IF(A18='Données projet'!$A$114,'Données projet'!$B$114,BY17+BX18-CG17)))</f>
        <v>37</v>
      </c>
      <c r="BZ18" s="13">
        <f>BY18*VLOOKUP('Données projet'!$B$12,Paramètres!$A$1:$I$89,3,0)*VLOOKUP('Données projet'!$B$12,Paramètres!$A$1:$I$89,5,0)</f>
        <v>29.437200000000004</v>
      </c>
      <c r="CA18" s="13">
        <f t="shared" si="39"/>
        <v>9.1510096001539196</v>
      </c>
      <c r="CB18" s="20">
        <f t="shared" si="10"/>
        <v>67.207798386934755</v>
      </c>
      <c r="CC18" s="59">
        <f t="shared" si="11"/>
        <v>360.54113172026808</v>
      </c>
      <c r="CD18" s="59">
        <f ca="1">AVERAGE(OFFSET($CC$3,0,0,'Données projet'!$E$12+1,1))-AVERAGE(OFFSET($H$3,0,0,'Données projet'!$E$12+1,1))</f>
        <v>225.2323446080772</v>
      </c>
      <c r="CE18" s="59">
        <f t="shared" si="40"/>
        <v>222.29030402759292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15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>
        <f>VLOOKUP(A18,'Données projet'!$A$139:$I$159,2,0)</f>
        <v>9</v>
      </c>
      <c r="CR18" s="12">
        <f>VLOOKUP(A18,'Données projet'!$A$139:$I$159,9,0)</f>
        <v>0.6</v>
      </c>
      <c r="CS18" s="12">
        <f t="array" ref="CS18">INDEX(CR:CR,MIN(IF(ISNUMBER(CR18:CR214),ROW(CR18:CR214),"")))</f>
        <v>0.6</v>
      </c>
      <c r="CT18" s="12">
        <f>IF('Données projet'!$A$140&gt;35,CT17+CS18-DB17,IF(A18&lt;'Données projet'!$A$140,$CQ$205^A18,IF(A18='Données projet'!$A$140,'Données projet'!$B$140,CT17+CS18-DB17)))</f>
        <v>9</v>
      </c>
      <c r="CU18" s="17">
        <f>CT18*VLOOKUP('Données projet'!$B$13,Paramètres!$A$1:$I$89,3,0)*VLOOKUP('Données projet'!$B$13,Paramètres!$A$1:$I$89,5,0)</f>
        <v>8.7048000000000005</v>
      </c>
      <c r="CV18" s="13">
        <f t="shared" si="41"/>
        <v>3.1183362128963368</v>
      </c>
      <c r="CW18" s="20">
        <f t="shared" si="13"/>
        <v>20.591962237461122</v>
      </c>
      <c r="CX18" s="59">
        <f t="shared" si="14"/>
        <v>313.92529557079445</v>
      </c>
      <c r="CY18" s="59">
        <f ca="1">AVERAGE(OFFSET($CX$3,0,0,'Données projet'!$E$13+1,1))-AVERAGE(OFFSET($H$3,0,0,'Données projet'!$E$13+1,1))</f>
        <v>212.32823943192528</v>
      </c>
      <c r="CZ18" s="59">
        <f t="shared" si="42"/>
        <v>209.60834138503003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3.56</v>
      </c>
      <c r="DO18" s="12">
        <f>IF('Données projet'!$A$166&gt;35,DO17+DN18-DW17,IF(A18&lt;'Données projet'!$A$166,$DL$205^A18,IF(A18='Données projet'!$A$166,'Données projet'!$B$166,DO17+DN18-DW17)))</f>
        <v>14.778624139441142</v>
      </c>
      <c r="DP18" s="17">
        <f>DO18*VLOOKUP('Données projet'!$B$14,Paramètres!$A$1:$I$89,3,0)*VLOOKUP('Données projet'!$B$14,Paramètres!$A$1:$I$89,5,0)</f>
        <v>11.527326828764091</v>
      </c>
      <c r="DQ18" s="13">
        <f t="shared" si="43"/>
        <v>3.9966439669822584</v>
      </c>
      <c r="DR18" s="20">
        <f t="shared" si="16"/>
        <v>27.037582469258226</v>
      </c>
      <c r="DS18" s="59">
        <f t="shared" si="17"/>
        <v>320.37091580259153</v>
      </c>
      <c r="DT18" s="59">
        <f ca="1">AVERAGE(OFFSET($DS$3,0,0,'Données projet'!$E$14+1,1))-AVERAGE(OFFSET($H$3,0,0,'Données projet'!$E$14+1,1))</f>
        <v>215.84581110302656</v>
      </c>
      <c r="DU18" s="59">
        <f t="shared" si="44"/>
        <v>193.88588526156104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6">
        <f t="shared" si="1"/>
        <v>311.60823119732669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23</v>
      </c>
      <c r="N19" s="13">
        <f>IF('Données projet'!$A$36&gt;35,N18+M19-V18,IF(A19&lt;'Données projet'!$A$36,$K$205^A19,IF(A19='Données projet'!$A$36,'Données projet'!$B$36,N18+M19-V18)))</f>
        <v>177</v>
      </c>
      <c r="O19" s="13">
        <f>N19*VLOOKUP('Données projet'!$B$9,Paramètres!$A$1:$I$89,3,0)*VLOOKUP('Données projet'!$B$9,Paramètres!$A$1:$I$89,5,0)</f>
        <v>110.44799999999999</v>
      </c>
      <c r="P19" s="13">
        <f t="shared" si="33"/>
        <v>29.436511885319565</v>
      </c>
      <c r="Q19" s="20">
        <f t="shared" si="2"/>
        <v>243.63219153359822</v>
      </c>
      <c r="R19" s="59">
        <f t="shared" si="0"/>
        <v>536.96552486693156</v>
      </c>
      <c r="S19" s="59">
        <f ca="1">AVERAGE(OFFSET($R$3,0,0,'Données projet'!$E$9+1,1))-AVERAGE(OFFSET($H$3,0,0,'Données projet'!$E$9+1,1))</f>
        <v>269.77739619445515</v>
      </c>
      <c r="T19" s="59">
        <f t="shared" si="34"/>
        <v>347.56964743629885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3.1793082914543169</v>
      </c>
      <c r="AC19" s="22">
        <f t="shared" si="3"/>
        <v>3.1793082914543169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22.8</v>
      </c>
      <c r="AI19" s="13">
        <f>IF('Données projet'!$A$62&gt;35,AI18+AH19-AQ18,IF(A19&lt;'Données projet'!$A$62,$AF$205^A19,IF(A19='Données projet'!$A$62,'Données projet'!$B$62,AI18+AH19-AQ18)))</f>
        <v>64.8</v>
      </c>
      <c r="AJ19" s="13">
        <f>AI19*VLOOKUP('Données projet'!$B$10,Paramètres!$A$1:$I$89,3,0)*VLOOKUP('Données projet'!$B$10,Paramètres!$A$1:$I$89,5,0)</f>
        <v>32.011200000000002</v>
      </c>
      <c r="AK19" s="13">
        <f t="shared" si="35"/>
        <v>9.8545516964045792</v>
      </c>
      <c r="AL19" s="20">
        <f t="shared" si="4"/>
        <v>72.916184204571309</v>
      </c>
      <c r="AM19" s="59">
        <f t="shared" si="5"/>
        <v>366.24951753790464</v>
      </c>
      <c r="AN19" s="59">
        <f ca="1">AVERAGE(OFFSET($AM$3,0,0,'Données projet'!$E$10+1,1))-AVERAGE(OFFSET($H$3,0,0,'Données projet'!$E$10+1,1))</f>
        <v>396.27049617044378</v>
      </c>
      <c r="AO19" s="59">
        <f t="shared" si="36"/>
        <v>335.2680289568774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1.6</v>
      </c>
      <c r="BD19" s="12">
        <f>IF('Données projet'!$A$88&gt;35,BD18+BC19-BL18,IF(A19&lt;'Données projet'!$A$88,$BA$205^A19,IF(A19='Données projet'!$A$88,'Données projet'!$B$88,BD18+BC19-BL18)))</f>
        <v>15.999999999999986</v>
      </c>
      <c r="BE19" s="13">
        <f>BD19*VLOOKUP('Données projet'!$B$11,Paramètres!$A$1:$I$89,3,0)*VLOOKUP('Données projet'!$B$11,Paramètres!$A$1:$I$89,5,0)</f>
        <v>13.727999999999991</v>
      </c>
      <c r="BF19" s="13">
        <f t="shared" si="37"/>
        <v>4.6638207366437268</v>
      </c>
      <c r="BG19" s="20">
        <f t="shared" si="7"/>
        <v>32.032421116321139</v>
      </c>
      <c r="BH19" s="59">
        <f t="shared" si="8"/>
        <v>325.36575444965445</v>
      </c>
      <c r="BI19" s="59">
        <f ca="1">AVERAGE(OFFSET($BH$3,0,0,'Données projet'!$E$11+1,1))-AVERAGE(OFFSET($H$3,0,0,'Données projet'!$E$11+1,1))</f>
        <v>352.61091660077574</v>
      </c>
      <c r="BJ19" s="59">
        <f t="shared" si="38"/>
        <v>186.48649111821521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11.6</v>
      </c>
      <c r="BY19" s="12">
        <f>IF('Données projet'!$A$114&gt;35,BY18+BX19-CG18,IF(A19&lt;'Données projet'!$A$114,$BV$205^A19,IF(A19='Données projet'!$A$114,'Données projet'!$B$114,BY18+BX19-CG18)))</f>
        <v>33.6</v>
      </c>
      <c r="BZ19" s="13">
        <f>BY19*VLOOKUP('Données projet'!$B$12,Paramètres!$A$1:$I$89,3,0)*VLOOKUP('Données projet'!$B$12,Paramètres!$A$1:$I$89,5,0)</f>
        <v>26.732160000000004</v>
      </c>
      <c r="CA19" s="13">
        <f t="shared" si="39"/>
        <v>8.4038705306032053</v>
      </c>
      <c r="CB19" s="20">
        <f t="shared" si="10"/>
        <v>61.195253174133917</v>
      </c>
      <c r="CC19" s="59">
        <f t="shared" si="11"/>
        <v>354.52858650746725</v>
      </c>
      <c r="CD19" s="59">
        <f ca="1">AVERAGE(OFFSET($CC$3,0,0,'Données projet'!$E$12+1,1))-AVERAGE(OFFSET($H$3,0,0,'Données projet'!$E$12+1,1))</f>
        <v>225.2323446080772</v>
      </c>
      <c r="CE19" s="59">
        <f t="shared" si="40"/>
        <v>222.29030402759292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9.6</v>
      </c>
      <c r="CT19" s="12">
        <f>IF('Données projet'!$A$140&gt;35,CT18+CS19-DB18,IF(A19&lt;'Données projet'!$A$140,$CQ$205^A19,IF(A19='Données projet'!$A$140,'Données projet'!$B$140,CT18+CS19-DB18)))</f>
        <v>18.600000000000001</v>
      </c>
      <c r="CU19" s="17">
        <f>CT19*VLOOKUP('Données projet'!$B$13,Paramètres!$A$1:$I$89,3,0)*VLOOKUP('Données projet'!$B$13,Paramètres!$A$1:$I$89,5,0)</f>
        <v>17.989920000000001</v>
      </c>
      <c r="CV19" s="13">
        <f t="shared" si="41"/>
        <v>5.9223748803717786</v>
      </c>
      <c r="CW19" s="20">
        <f t="shared" si="13"/>
        <v>41.647246916647511</v>
      </c>
      <c r="CX19" s="59">
        <f t="shared" si="14"/>
        <v>334.98058024998085</v>
      </c>
      <c r="CY19" s="59">
        <f ca="1">AVERAGE(OFFSET($CX$3,0,0,'Données projet'!$E$13+1,1))-AVERAGE(OFFSET($H$3,0,0,'Données projet'!$E$13+1,1))</f>
        <v>212.32823943192528</v>
      </c>
      <c r="CZ19" s="59">
        <f t="shared" si="42"/>
        <v>209.60834138503003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3.56</v>
      </c>
      <c r="DO19" s="12">
        <f>IF('Données projet'!$A$166&gt;35,DO18+DN19-DW18,IF(A19&lt;'Données projet'!$A$166,$DL$205^A19,IF(A19='Données projet'!$A$166,'Données projet'!$B$166,DO18+DN19-DW18)))</f>
        <v>17.68518487944571</v>
      </c>
      <c r="DP19" s="17">
        <f>DO19*VLOOKUP('Données projet'!$B$14,Paramètres!$A$1:$I$89,3,0)*VLOOKUP('Données projet'!$B$14,Paramètres!$A$1:$I$89,5,0)</f>
        <v>13.794444205967654</v>
      </c>
      <c r="DQ19" s="13">
        <f t="shared" si="43"/>
        <v>4.6837607418514473</v>
      </c>
      <c r="DR19" s="20">
        <f t="shared" si="16"/>
        <v>32.182873617451598</v>
      </c>
      <c r="DS19" s="59">
        <f t="shared" si="17"/>
        <v>325.51620695078492</v>
      </c>
      <c r="DT19" s="59">
        <f ca="1">AVERAGE(OFFSET($DS$3,0,0,'Données projet'!$E$14+1,1))-AVERAGE(OFFSET($H$3,0,0,'Données projet'!$E$14+1,1))</f>
        <v>215.84581110302656</v>
      </c>
      <c r="DU19" s="59">
        <f t="shared" si="44"/>
        <v>193.88588526156104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6">
        <f t="shared" si="1"/>
        <v>312.7140190982978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200</v>
      </c>
      <c r="O20" s="13">
        <f>N20*VLOOKUP('Données projet'!$B$9,Paramètres!$A$1:$I$89,3,0)*VLOOKUP('Données projet'!$B$9,Paramètres!$A$1:$I$89,5,0)</f>
        <v>124.80000000000001</v>
      </c>
      <c r="P20" s="13">
        <f t="shared" si="33"/>
        <v>32.791952217579265</v>
      </c>
      <c r="Q20" s="20">
        <f t="shared" si="2"/>
        <v>274.47265011228387</v>
      </c>
      <c r="R20" s="59">
        <f t="shared" si="0"/>
        <v>567.80598344561713</v>
      </c>
      <c r="S20" s="59">
        <f ca="1">AVERAGE(OFFSET($R$3,0,0,'Données projet'!$E$9+1,1))-AVERAGE(OFFSET($H$3,0,0,'Données projet'!$E$9+1,1))</f>
        <v>269.77739619445515</v>
      </c>
      <c r="T20" s="59">
        <f t="shared" si="34"/>
        <v>347.56964743629885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2.2481104523699642</v>
      </c>
      <c r="AC20" s="22">
        <f t="shared" si="3"/>
        <v>2.2481104523699642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22.8</v>
      </c>
      <c r="AI20" s="13">
        <f>IF('Données projet'!$A$62&gt;35,AI19+AH20-AQ19,IF(A20&lt;'Données projet'!$A$62,$AF$205^A20,IF(A20='Données projet'!$A$62,'Données projet'!$B$62,AI19+AH20-AQ19)))</f>
        <v>87.6</v>
      </c>
      <c r="AJ20" s="13">
        <f>AI20*VLOOKUP('Données projet'!$B$10,Paramètres!$A$1:$I$89,3,0)*VLOOKUP('Données projet'!$B$10,Paramètres!$A$1:$I$89,5,0)</f>
        <v>43.2744</v>
      </c>
      <c r="AK20" s="13">
        <f t="shared" si="35"/>
        <v>12.862512953834399</v>
      </c>
      <c r="AL20" s="20">
        <f t="shared" si="4"/>
        <v>97.771790061261569</v>
      </c>
      <c r="AM20" s="59">
        <f t="shared" si="5"/>
        <v>391.1051233945949</v>
      </c>
      <c r="AN20" s="59">
        <f ca="1">AVERAGE(OFFSET($AM$3,0,0,'Données projet'!$E$10+1,1))-AVERAGE(OFFSET($H$3,0,0,'Données projet'!$E$10+1,1))</f>
        <v>396.27049617044378</v>
      </c>
      <c r="AO20" s="59">
        <f t="shared" si="36"/>
        <v>335.2680289568774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1.6</v>
      </c>
      <c r="BD20" s="12">
        <f>IF('Données projet'!$A$88&gt;35,BD19+BC20-BL19,IF(A20&lt;'Données projet'!$A$88,$BA$205^A20,IF(A20='Données projet'!$A$88,'Données projet'!$B$88,BD19+BC20-BL19)))</f>
        <v>19.027313840043519</v>
      </c>
      <c r="BE20" s="13">
        <f>BD20*VLOOKUP('Données projet'!$B$11,Paramètres!$A$1:$I$89,3,0)*VLOOKUP('Données projet'!$B$11,Paramètres!$A$1:$I$89,5,0)</f>
        <v>16.325435274757343</v>
      </c>
      <c r="BF20" s="13">
        <f t="shared" si="37"/>
        <v>5.4354984361731269</v>
      </c>
      <c r="BG20" s="20">
        <f t="shared" si="7"/>
        <v>37.90029287987057</v>
      </c>
      <c r="BH20" s="59">
        <f t="shared" si="8"/>
        <v>331.23362621320388</v>
      </c>
      <c r="BI20" s="59">
        <f ca="1">AVERAGE(OFFSET($BH$3,0,0,'Données projet'!$E$11+1,1))-AVERAGE(OFFSET($H$3,0,0,'Données projet'!$E$11+1,1))</f>
        <v>352.61091660077574</v>
      </c>
      <c r="BJ20" s="59">
        <f t="shared" si="38"/>
        <v>186.48649111821521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11.6</v>
      </c>
      <c r="BY20" s="12">
        <f>IF('Données projet'!$A$114&gt;35,BY19+BX20-CG19,IF(A20&lt;'Données projet'!$A$114,$BV$205^A20,IF(A20='Données projet'!$A$114,'Données projet'!$B$114,BY19+BX20-CG19)))</f>
        <v>45.2</v>
      </c>
      <c r="BZ20" s="13">
        <f>BY20*VLOOKUP('Données projet'!$B$12,Paramètres!$A$1:$I$89,3,0)*VLOOKUP('Données projet'!$B$12,Paramètres!$A$1:$I$89,5,0)</f>
        <v>35.961120000000008</v>
      </c>
      <c r="CA20" s="13">
        <f t="shared" si="39"/>
        <v>10.921600552662685</v>
      </c>
      <c r="CB20" s="20">
        <f t="shared" si="10"/>
        <v>81.654071629220851</v>
      </c>
      <c r="CC20" s="59">
        <f t="shared" si="11"/>
        <v>374.98740496255414</v>
      </c>
      <c r="CD20" s="59">
        <f ca="1">AVERAGE(OFFSET($CC$3,0,0,'Données projet'!$E$12+1,1))-AVERAGE(OFFSET($H$3,0,0,'Données projet'!$E$12+1,1))</f>
        <v>225.2323446080772</v>
      </c>
      <c r="CE20" s="59">
        <f t="shared" si="40"/>
        <v>222.29030402759292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9.6</v>
      </c>
      <c r="CT20" s="12">
        <f>IF('Données projet'!$A$140&gt;35,CT19+CS20-DB19,IF(A20&lt;'Données projet'!$A$140,$CQ$205^A20,IF(A20='Données projet'!$A$140,'Données projet'!$B$140,CT19+CS20-DB19)))</f>
        <v>28.200000000000003</v>
      </c>
      <c r="CU20" s="17">
        <f>CT20*VLOOKUP('Données projet'!$B$13,Paramètres!$A$1:$I$89,3,0)*VLOOKUP('Données projet'!$B$13,Paramètres!$A$1:$I$89,5,0)</f>
        <v>27.275040000000004</v>
      </c>
      <c r="CV20" s="13">
        <f t="shared" si="41"/>
        <v>8.5544948449075093</v>
      </c>
      <c r="CW20" s="20">
        <f t="shared" si="13"/>
        <v>62.403106521547244</v>
      </c>
      <c r="CX20" s="59">
        <f t="shared" si="14"/>
        <v>355.73643985488059</v>
      </c>
      <c r="CY20" s="59">
        <f ca="1">AVERAGE(OFFSET($CX$3,0,0,'Données projet'!$E$13+1,1))-AVERAGE(OFFSET($H$3,0,0,'Données projet'!$E$13+1,1))</f>
        <v>212.32823943192528</v>
      </c>
      <c r="CZ20" s="59">
        <f t="shared" si="42"/>
        <v>209.60834138503003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3.56</v>
      </c>
      <c r="DO20" s="12">
        <f>IF('Données projet'!$A$166&gt;35,DO19+DN20-DW19,IF(A20&lt;'Données projet'!$A$166,$DL$205^A20,IF(A20='Données projet'!$A$166,'Données projet'!$B$166,DO19+DN20-DW19)))</f>
        <v>21.163388504175224</v>
      </c>
      <c r="DP20" s="17">
        <f>DO20*VLOOKUP('Données projet'!$B$14,Paramètres!$A$1:$I$89,3,0)*VLOOKUP('Données projet'!$B$14,Paramètres!$A$1:$I$89,5,0)</f>
        <v>16.507443033256674</v>
      </c>
      <c r="DQ20" s="13">
        <f t="shared" si="43"/>
        <v>5.4890089955831698</v>
      </c>
      <c r="DR20" s="20">
        <f t="shared" si="16"/>
        <v>38.310487283562729</v>
      </c>
      <c r="DS20" s="59">
        <f t="shared" si="17"/>
        <v>331.64382061689605</v>
      </c>
      <c r="DT20" s="59">
        <f ca="1">AVERAGE(OFFSET($DS$3,0,0,'Données projet'!$E$14+1,1))-AVERAGE(OFFSET($H$3,0,0,'Données projet'!$E$14+1,1))</f>
        <v>215.84581110302656</v>
      </c>
      <c r="DU20" s="59">
        <f t="shared" si="44"/>
        <v>193.88588526156104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6">
        <f t="shared" si="1"/>
        <v>313.81797682591258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223</v>
      </c>
      <c r="L21" s="12">
        <f>VLOOKUP(A21,'Données projet'!$A$35:$I$55,9,0)</f>
        <v>23</v>
      </c>
      <c r="M21" s="12">
        <f t="array" ref="M21">INDEX(L:L,MIN(IF(ISNUMBER(L21:L217),ROW(L21:L217),"")))</f>
        <v>23</v>
      </c>
      <c r="N21" s="13">
        <f>IF('Données projet'!$A$36&gt;35,N20+M21-V20,IF(A21&lt;'Données projet'!$A$36,$K$205^A21,IF(A21='Données projet'!$A$36,'Données projet'!$B$36,N20+M21-V20)))</f>
        <v>223</v>
      </c>
      <c r="O21" s="13">
        <f>N21*VLOOKUP('Données projet'!$B$9,Paramètres!$A$1:$I$89,3,0)*VLOOKUP('Données projet'!$B$9,Paramètres!$A$1:$I$89,5,0)</f>
        <v>139.15199999999999</v>
      </c>
      <c r="P21" s="13">
        <f t="shared" si="33"/>
        <v>36.102671964783006</v>
      </c>
      <c r="Q21" s="20">
        <f t="shared" si="2"/>
        <v>305.23522033866374</v>
      </c>
      <c r="R21" s="59">
        <f t="shared" si="0"/>
        <v>598.56855367199705</v>
      </c>
      <c r="S21" s="59">
        <f ca="1">AVERAGE(OFFSET($R$3,0,0,'Données projet'!$E$9+1,1))-AVERAGE(OFFSET($H$3,0,0,'Données projet'!$E$9+1,1))</f>
        <v>269.77739619445515</v>
      </c>
      <c r="T21" s="59">
        <f t="shared" si="34"/>
        <v>347.56964743629885</v>
      </c>
      <c r="U21" s="15">
        <f>IF(ISNA(VLOOKUP(A21,'Données projet'!$A$35:$I$55,3,0)),0,VLOOKUP(A21,'Données projet'!$A$35:$I$55,3,0))</f>
        <v>2</v>
      </c>
      <c r="V21" s="15">
        <f>IF(ISNA(VLOOKUP(A21,'Données projet'!$A$35:$I$55,4,0)),0,VLOOKUP(A21,'Données projet'!$A$35:$I$55,4,0))</f>
        <v>84.3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0.6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41.704067321283624</v>
      </c>
      <c r="AB21" s="21">
        <f>EXP(-LN(2)/2)*AB20+(1-EXP(-LN(2)/2))/(LN(2)/2)*V21*Y21*VLOOKUP('Données projet'!$B$9,Paramètres!$A$1:$I$89,3,0)*0.475*44/12</f>
        <v>1.5896541457271587</v>
      </c>
      <c r="AC21" s="22">
        <f t="shared" si="3"/>
        <v>43.293721467010783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22.8</v>
      </c>
      <c r="AI21" s="13">
        <f>IF('Données projet'!$A$62&gt;35,AI20+AH21-AQ20,IF(A21&lt;'Données projet'!$A$62,$AF$205^A21,IF(A21='Données projet'!$A$62,'Données projet'!$B$62,AI20+AH21-AQ20)))</f>
        <v>110.39999999999999</v>
      </c>
      <c r="AJ21" s="13">
        <f>AI21*VLOOKUP('Données projet'!$B$10,Paramètres!$A$1:$I$89,3,0)*VLOOKUP('Données projet'!$B$10,Paramètres!$A$1:$I$89,5,0)</f>
        <v>54.537599999999998</v>
      </c>
      <c r="AK21" s="13">
        <f t="shared" si="35"/>
        <v>15.779624713844454</v>
      </c>
      <c r="AL21" s="20">
        <f t="shared" si="4"/>
        <v>122.46916637661241</v>
      </c>
      <c r="AM21" s="59">
        <f t="shared" si="5"/>
        <v>415.80249970994572</v>
      </c>
      <c r="AN21" s="59">
        <f ca="1">AVERAGE(OFFSET($AM$3,0,0,'Données projet'!$E$10+1,1))-AVERAGE(OFFSET($H$3,0,0,'Données projet'!$E$10+1,1))</f>
        <v>396.27049617044378</v>
      </c>
      <c r="AO21" s="59">
        <f t="shared" si="36"/>
        <v>335.2680289568774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1.6</v>
      </c>
      <c r="BD21" s="12">
        <f>IF('Données projet'!$A$88&gt;35,BD20+BC21-BL20,IF(A21&lt;'Données projet'!$A$88,$BA$205^A21,IF(A21='Données projet'!$A$88,'Données projet'!$B$88,BD20+BC21-BL20)))</f>
        <v>22.627416997969497</v>
      </c>
      <c r="BE21" s="13">
        <f>BD21*VLOOKUP('Données projet'!$B$11,Paramètres!$A$1:$I$89,3,0)*VLOOKUP('Données projet'!$B$11,Paramètres!$A$1:$I$89,5,0)</f>
        <v>19.414323784257832</v>
      </c>
      <c r="BF21" s="13">
        <f t="shared" si="37"/>
        <v>6.3348582456241713</v>
      </c>
      <c r="BG21" s="20">
        <f t="shared" si="7"/>
        <v>44.846492035377821</v>
      </c>
      <c r="BH21" s="59">
        <f t="shared" si="8"/>
        <v>338.17982536871114</v>
      </c>
      <c r="BI21" s="59">
        <f ca="1">AVERAGE(OFFSET($BH$3,0,0,'Données projet'!$E$11+1,1))-AVERAGE(OFFSET($H$3,0,0,'Données projet'!$E$11+1,1))</f>
        <v>352.61091660077574</v>
      </c>
      <c r="BJ21" s="59">
        <f t="shared" si="38"/>
        <v>186.48649111821521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11.6</v>
      </c>
      <c r="BY21" s="12">
        <f>IF('Données projet'!$A$114&gt;35,BY20+BX21-CG20,IF(A21&lt;'Données projet'!$A$114,$BV$205^A21,IF(A21='Données projet'!$A$114,'Données projet'!$B$114,BY20+BX21-CG20)))</f>
        <v>56.800000000000004</v>
      </c>
      <c r="BZ21" s="13">
        <f>BY21*VLOOKUP('Données projet'!$B$12,Paramètres!$A$1:$I$89,3,0)*VLOOKUP('Données projet'!$B$12,Paramètres!$A$1:$I$89,5,0)</f>
        <v>45.190080000000009</v>
      </c>
      <c r="CA21" s="13">
        <f t="shared" si="39"/>
        <v>13.364359727915414</v>
      </c>
      <c r="CB21" s="20">
        <f t="shared" si="10"/>
        <v>101.98231585945268</v>
      </c>
      <c r="CC21" s="59">
        <f t="shared" si="11"/>
        <v>395.315649192786</v>
      </c>
      <c r="CD21" s="59">
        <f ca="1">AVERAGE(OFFSET($CC$3,0,0,'Données projet'!$E$12+1,1))-AVERAGE(OFFSET($H$3,0,0,'Données projet'!$E$12+1,1))</f>
        <v>225.2323446080772</v>
      </c>
      <c r="CE21" s="59">
        <f t="shared" si="40"/>
        <v>222.29030402759292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9.6</v>
      </c>
      <c r="CT21" s="12">
        <f>IF('Données projet'!$A$140&gt;35,CT20+CS21-DB20,IF(A21&lt;'Données projet'!$A$140,$CQ$205^A21,IF(A21='Données projet'!$A$140,'Données projet'!$B$140,CT20+CS21-DB20)))</f>
        <v>37.800000000000004</v>
      </c>
      <c r="CU21" s="17">
        <f>CT21*VLOOKUP('Données projet'!$B$13,Paramètres!$A$1:$I$89,3,0)*VLOOKUP('Données projet'!$B$13,Paramètres!$A$1:$I$89,5,0)</f>
        <v>36.560160000000003</v>
      </c>
      <c r="CV21" s="13">
        <f t="shared" si="41"/>
        <v>11.082200703355301</v>
      </c>
      <c r="CW21" s="20">
        <f t="shared" si="13"/>
        <v>82.977111558343836</v>
      </c>
      <c r="CX21" s="59">
        <f t="shared" si="14"/>
        <v>376.31044489167715</v>
      </c>
      <c r="CY21" s="59">
        <f ca="1">AVERAGE(OFFSET($CX$3,0,0,'Données projet'!$E$13+1,1))-AVERAGE(OFFSET($H$3,0,0,'Données projet'!$E$13+1,1))</f>
        <v>212.32823943192528</v>
      </c>
      <c r="CZ21" s="59">
        <f t="shared" si="42"/>
        <v>209.60834138503003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3.56</v>
      </c>
      <c r="DO21" s="12">
        <f>IF('Données projet'!$A$166&gt;35,DO20+DN21-DW20,IF(A21&lt;'Données projet'!$A$166,$DL$205^A21,IF(A21='Données projet'!$A$166,'Données projet'!$B$166,DO20+DN21-DW20)))</f>
        <v>25.325661904683113</v>
      </c>
      <c r="DP21" s="17">
        <f>DO21*VLOOKUP('Données projet'!$B$14,Paramètres!$A$1:$I$89,3,0)*VLOOKUP('Données projet'!$B$14,Paramètres!$A$1:$I$89,5,0)</f>
        <v>19.754016285652828</v>
      </c>
      <c r="DQ21" s="13">
        <f t="shared" si="43"/>
        <v>6.4326982982660121</v>
      </c>
      <c r="DR21" s="20">
        <f t="shared" si="16"/>
        <v>45.608527900325306</v>
      </c>
      <c r="DS21" s="59">
        <f t="shared" si="17"/>
        <v>338.94186123365864</v>
      </c>
      <c r="DT21" s="59">
        <f ca="1">AVERAGE(OFFSET($DS$3,0,0,'Données projet'!$E$14+1,1))-AVERAGE(OFFSET($H$3,0,0,'Données projet'!$E$14+1,1))</f>
        <v>215.84581110302656</v>
      </c>
      <c r="DU21" s="59">
        <f t="shared" si="44"/>
        <v>193.88588526156104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6">
        <f t="shared" si="1"/>
        <v>314.92021764503886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19.216666666666669</v>
      </c>
      <c r="N22" s="13">
        <f>IF('Données projet'!$A$36&gt;35,N21+M22-V21,IF(A22&lt;'Données projet'!$A$36,$K$205^A22,IF(A22='Données projet'!$A$36,'Données projet'!$B$36,N21+M22-V21)))</f>
        <v>157.91666666666669</v>
      </c>
      <c r="O22" s="13">
        <f>N22*VLOOKUP('Données projet'!$B$9,Paramètres!$A$1:$I$89,3,0)*VLOOKUP('Données projet'!$B$9,Paramètres!$A$1:$I$89,5,0)</f>
        <v>98.54000000000002</v>
      </c>
      <c r="P22" s="13">
        <f t="shared" si="33"/>
        <v>26.613875509207226</v>
      </c>
      <c r="Q22" s="20">
        <f t="shared" si="2"/>
        <v>217.97633317853592</v>
      </c>
      <c r="R22" s="59">
        <f t="shared" si="0"/>
        <v>511.30966651186924</v>
      </c>
      <c r="S22" s="59">
        <f ca="1">AVERAGE(OFFSET($R$3,0,0,'Données projet'!$E$9+1,1))-AVERAGE(OFFSET($H$3,0,0,'Données projet'!$E$9+1,1))</f>
        <v>269.77739619445515</v>
      </c>
      <c r="T22" s="59">
        <f t="shared" si="34"/>
        <v>347.56964743629885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40.563667407261541</v>
      </c>
      <c r="AB22" s="21">
        <f>EXP(-LN(2)/2)*AB21+(1-EXP(-LN(2)/2))/(LN(2)/2)*V22*Y22*VLOOKUP('Données projet'!$B$9,Paramètres!$A$1:$I$89,3,0)*0.475*44/12</f>
        <v>1.1240552261849821</v>
      </c>
      <c r="AC22" s="22">
        <f t="shared" si="3"/>
        <v>41.687722633446526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22.8</v>
      </c>
      <c r="AI22" s="13">
        <f>IF('Données projet'!$A$62&gt;35,AI21+AH22-AQ21,IF(A22&lt;'Données projet'!$A$62,$AF$205^A22,IF(A22='Données projet'!$A$62,'Données projet'!$B$62,AI21+AH22-AQ21)))</f>
        <v>133.19999999999999</v>
      </c>
      <c r="AJ22" s="13">
        <f>AI22*VLOOKUP('Données projet'!$B$10,Paramètres!$A$1:$I$89,3,0)*VLOOKUP('Données projet'!$B$10,Paramètres!$A$1:$I$89,5,0)</f>
        <v>65.800799999999995</v>
      </c>
      <c r="AK22" s="13">
        <f t="shared" si="35"/>
        <v>18.626923459774289</v>
      </c>
      <c r="AL22" s="20">
        <f t="shared" si="4"/>
        <v>147.04495169244021</v>
      </c>
      <c r="AM22" s="59">
        <f t="shared" si="5"/>
        <v>440.37828502577349</v>
      </c>
      <c r="AN22" s="59">
        <f ca="1">AVERAGE(OFFSET($AM$3,0,0,'Données projet'!$E$10+1,1))-AVERAGE(OFFSET($H$3,0,0,'Données projet'!$E$10+1,1))</f>
        <v>396.27049617044378</v>
      </c>
      <c r="AO22" s="59">
        <f t="shared" si="36"/>
        <v>335.2680289568774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1.6</v>
      </c>
      <c r="BD22" s="12">
        <f>IF('Données projet'!$A$88&gt;35,BD21+BC22-BL21,IF(A22&lt;'Données projet'!$A$88,$BA$205^A22,IF(A22='Données projet'!$A$88,'Données projet'!$B$88,BD21+BC22-BL21)))</f>
        <v>26.908685288118836</v>
      </c>
      <c r="BE22" s="13">
        <f>BD22*VLOOKUP('Données projet'!$B$11,Paramètres!$A$1:$I$89,3,0)*VLOOKUP('Données projet'!$B$11,Paramètres!$A$1:$I$89,5,0)</f>
        <v>23.087651977205965</v>
      </c>
      <c r="BF22" s="13">
        <f t="shared" si="37"/>
        <v>7.3830264994807839</v>
      </c>
      <c r="BG22" s="20">
        <f t="shared" si="7"/>
        <v>53.069765013562751</v>
      </c>
      <c r="BH22" s="59">
        <f t="shared" si="8"/>
        <v>346.40309834689606</v>
      </c>
      <c r="BI22" s="59">
        <f ca="1">AVERAGE(OFFSET($BH$3,0,0,'Données projet'!$E$11+1,1))-AVERAGE(OFFSET($H$3,0,0,'Données projet'!$E$11+1,1))</f>
        <v>352.61091660077574</v>
      </c>
      <c r="BJ22" s="59">
        <f t="shared" si="38"/>
        <v>186.48649111821521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11.6</v>
      </c>
      <c r="BY22" s="12">
        <f>IF('Données projet'!$A$114&gt;35,BY21+BX22-CG21,IF(A22&lt;'Données projet'!$A$114,$BV$205^A22,IF(A22='Données projet'!$A$114,'Données projet'!$B$114,BY21+BX22-CG21)))</f>
        <v>68.400000000000006</v>
      </c>
      <c r="BZ22" s="13">
        <f>BY22*VLOOKUP('Données projet'!$B$12,Paramètres!$A$1:$I$89,3,0)*VLOOKUP('Données projet'!$B$12,Paramètres!$A$1:$I$89,5,0)</f>
        <v>54.419040000000003</v>
      </c>
      <c r="CA22" s="13">
        <f t="shared" si="39"/>
        <v>15.749310274925152</v>
      </c>
      <c r="CB22" s="20">
        <f t="shared" si="10"/>
        <v>122.20987672882796</v>
      </c>
      <c r="CC22" s="59">
        <f t="shared" si="11"/>
        <v>415.54321006216128</v>
      </c>
      <c r="CD22" s="59">
        <f ca="1">AVERAGE(OFFSET($CC$3,0,0,'Données projet'!$E$12+1,1))-AVERAGE(OFFSET($H$3,0,0,'Données projet'!$E$12+1,1))</f>
        <v>225.2323446080772</v>
      </c>
      <c r="CE22" s="59">
        <f t="shared" si="40"/>
        <v>222.29030402759292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9.6</v>
      </c>
      <c r="CT22" s="12">
        <f>IF('Données projet'!$A$140&gt;35,CT21+CS22-DB21,IF(A22&lt;'Données projet'!$A$140,$CQ$205^A22,IF(A22='Données projet'!$A$140,'Données projet'!$B$140,CT21+CS22-DB21)))</f>
        <v>47.400000000000006</v>
      </c>
      <c r="CU22" s="17">
        <f>CT22*VLOOKUP('Données projet'!$B$13,Paramètres!$A$1:$I$89,3,0)*VLOOKUP('Données projet'!$B$13,Paramètres!$A$1:$I$89,5,0)</f>
        <v>45.845280000000002</v>
      </c>
      <c r="CV22" s="13">
        <f t="shared" si="41"/>
        <v>13.535428202298318</v>
      </c>
      <c r="CW22" s="20">
        <f t="shared" si="13"/>
        <v>103.4214001190029</v>
      </c>
      <c r="CX22" s="59">
        <f t="shared" si="14"/>
        <v>396.75473345233621</v>
      </c>
      <c r="CY22" s="59">
        <f ca="1">AVERAGE(OFFSET($CX$3,0,0,'Données projet'!$E$13+1,1))-AVERAGE(OFFSET($H$3,0,0,'Données projet'!$E$13+1,1))</f>
        <v>212.32823943192528</v>
      </c>
      <c r="CZ22" s="59">
        <f t="shared" si="42"/>
        <v>209.60834138503003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3.56</v>
      </c>
      <c r="DO22" s="12">
        <f>IF('Données projet'!$A$166&gt;35,DO21+DN22-DW21,IF(A22&lt;'Données projet'!$A$166,$DL$205^A22,IF(A22='Données projet'!$A$166,'Données projet'!$B$166,DO21+DN22-DW21)))</f>
        <v>30.306543339398647</v>
      </c>
      <c r="DP22" s="17">
        <f>DO22*VLOOKUP('Données projet'!$B$14,Paramètres!$A$1:$I$89,3,0)*VLOOKUP('Données projet'!$B$14,Paramètres!$A$1:$I$89,5,0)</f>
        <v>23.639103804730947</v>
      </c>
      <c r="DQ22" s="13">
        <f t="shared" si="43"/>
        <v>7.5386299111208031</v>
      </c>
      <c r="DR22" s="20">
        <f t="shared" si="16"/>
        <v>54.301219555108467</v>
      </c>
      <c r="DS22" s="59">
        <f t="shared" si="17"/>
        <v>347.63455288844176</v>
      </c>
      <c r="DT22" s="59">
        <f ca="1">AVERAGE(OFFSET($DS$3,0,0,'Données projet'!$E$14+1,1))-AVERAGE(OFFSET($H$3,0,0,'Données projet'!$E$14+1,1))</f>
        <v>215.84581110302656</v>
      </c>
      <c r="DU22" s="59">
        <f t="shared" si="44"/>
        <v>193.88588526156104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6">
        <f t="shared" si="1"/>
        <v>316.02084222454056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19.216666666666669</v>
      </c>
      <c r="N23" s="13">
        <f>IF('Données projet'!$A$36&gt;35,N22+M23-V22,IF(A23&lt;'Données projet'!$A$36,$K$205^A23,IF(A23='Données projet'!$A$36,'Données projet'!$B$36,N22+M23-V22)))</f>
        <v>177.13333333333335</v>
      </c>
      <c r="O23" s="13">
        <f>N23*VLOOKUP('Données projet'!$B$9,Paramètres!$A$1:$I$89,3,0)*VLOOKUP('Données projet'!$B$9,Paramètres!$A$1:$I$89,5,0)</f>
        <v>110.5312</v>
      </c>
      <c r="P23" s="13">
        <f t="shared" si="33"/>
        <v>29.456104323655921</v>
      </c>
      <c r="Q23" s="20">
        <f t="shared" si="2"/>
        <v>243.81122169703403</v>
      </c>
      <c r="R23" s="59">
        <f t="shared" si="0"/>
        <v>537.14455503036731</v>
      </c>
      <c r="S23" s="59">
        <f ca="1">AVERAGE(OFFSET($R$3,0,0,'Données projet'!$E$9+1,1))-AVERAGE(OFFSET($H$3,0,0,'Données projet'!$E$9+1,1))</f>
        <v>269.77739619445515</v>
      </c>
      <c r="T23" s="59">
        <f t="shared" si="34"/>
        <v>347.56964743629885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39.454451788859416</v>
      </c>
      <c r="AB23" s="21">
        <f>EXP(-LN(2)/2)*AB22+(1-EXP(-LN(2)/2))/(LN(2)/2)*V23*Y23*VLOOKUP('Données projet'!$B$9,Paramètres!$A$1:$I$89,3,0)*0.475*44/12</f>
        <v>0.79482707286357934</v>
      </c>
      <c r="AC23" s="22">
        <f t="shared" si="3"/>
        <v>40.249278861722992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156</v>
      </c>
      <c r="AG23" s="12">
        <f>VLOOKUP(A23,'Données projet'!$A$61:$I$81,9,0)</f>
        <v>22.8</v>
      </c>
      <c r="AH23" s="12">
        <f t="array" ref="AH23">INDEX(AG:AG,MIN(IF(ISNUMBER(AG23:AG219),ROW(AG23:AG219),"")))</f>
        <v>22.8</v>
      </c>
      <c r="AI23" s="13">
        <f>IF('Données projet'!$A$62&gt;35,AI22+AH23-AQ22,IF(A23&lt;'Données projet'!$A$62,$AF$205^A23,IF(A23='Données projet'!$A$62,'Données projet'!$B$62,AI22+AH23-AQ22)))</f>
        <v>156</v>
      </c>
      <c r="AJ23" s="13">
        <f>AI23*VLOOKUP('Données projet'!$B$10,Paramètres!$A$1:$I$89,3,0)*VLOOKUP('Données projet'!$B$10,Paramètres!$A$1:$I$89,5,0)</f>
        <v>77.064000000000007</v>
      </c>
      <c r="AK23" s="13">
        <f t="shared" si="35"/>
        <v>21.417762186678065</v>
      </c>
      <c r="AL23" s="20">
        <f t="shared" si="4"/>
        <v>171.52240247513097</v>
      </c>
      <c r="AM23" s="59">
        <f t="shared" si="5"/>
        <v>464.85573580846426</v>
      </c>
      <c r="AN23" s="59">
        <f ca="1">AVERAGE(OFFSET($AM$3,0,0,'Données projet'!$E$10+1,1))-AVERAGE(OFFSET($H$3,0,0,'Données projet'!$E$10+1,1))</f>
        <v>396.27049617044378</v>
      </c>
      <c r="AO23" s="59">
        <f t="shared" si="36"/>
        <v>335.2680289568774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22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1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12.305100609517631</v>
      </c>
      <c r="AX23" s="21">
        <f t="shared" si="6"/>
        <v>12.305100609517631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32</v>
      </c>
      <c r="BB23" s="12">
        <f>VLOOKUP(A23,'Données projet'!$A$87:$I$107,9,0)</f>
        <v>1.6</v>
      </c>
      <c r="BC23" s="12">
        <f t="array" ref="BC23">INDEX(BB:BB,MIN(IF(ISNUMBER(BB23:BB219),ROW(BB23:BB219),"")))</f>
        <v>1.6</v>
      </c>
      <c r="BD23" s="12">
        <f>IF('Données projet'!$A$88&gt;35,BD22+BC23-BL22,IF(A23&lt;'Données projet'!$A$88,$BA$205^A23,IF(A23='Données projet'!$A$88,'Données projet'!$B$88,BD22+BC23-BL22)))</f>
        <v>32</v>
      </c>
      <c r="BE23" s="13">
        <f>BD23*VLOOKUP('Données projet'!$B$11,Paramètres!$A$1:$I$89,3,0)*VLOOKUP('Données projet'!$B$11,Paramètres!$A$1:$I$89,5,0)</f>
        <v>27.456000000000003</v>
      </c>
      <c r="BF23" s="13">
        <f t="shared" si="37"/>
        <v>8.604625104229898</v>
      </c>
      <c r="BG23" s="20">
        <f t="shared" si="7"/>
        <v>62.805588723200408</v>
      </c>
      <c r="BH23" s="59">
        <f t="shared" si="8"/>
        <v>356.13892205653372</v>
      </c>
      <c r="BI23" s="59">
        <f ca="1">AVERAGE(OFFSET($BH$3,0,0,'Données projet'!$E$11+1,1))-AVERAGE(OFFSET($H$3,0,0,'Données projet'!$E$11+1,1))</f>
        <v>352.61091660077574</v>
      </c>
      <c r="BJ23" s="59">
        <f t="shared" si="38"/>
        <v>186.48649111821521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80</v>
      </c>
      <c r="BW23" s="12">
        <f>VLOOKUP(A23,'Données projet'!$A$113:$I$133,9,0)</f>
        <v>11.6</v>
      </c>
      <c r="BX23" s="12">
        <f t="array" ref="BX23">INDEX(BW:BW,MIN(IF(ISNUMBER(BW23:BW219),ROW(BW23:BW219),"")))</f>
        <v>11.6</v>
      </c>
      <c r="BY23" s="12">
        <f>IF('Données projet'!$A$114&gt;35,BY22+BX23-CG22,IF(A23&lt;'Données projet'!$A$114,$BV$205^A23,IF(A23='Données projet'!$A$114,'Données projet'!$B$114,BY22+BX23-CG22)))</f>
        <v>80</v>
      </c>
      <c r="BZ23" s="13">
        <f>BY23*VLOOKUP('Données projet'!$B$12,Paramètres!$A$1:$I$89,3,0)*VLOOKUP('Données projet'!$B$12,Paramètres!$A$1:$I$89,5,0)</f>
        <v>63.647999999999996</v>
      </c>
      <c r="CA23" s="13">
        <f t="shared" si="39"/>
        <v>18.087405707268363</v>
      </c>
      <c r="CB23" s="20">
        <f t="shared" si="10"/>
        <v>142.35583160682572</v>
      </c>
      <c r="CC23" s="59">
        <f t="shared" si="11"/>
        <v>435.689164940159</v>
      </c>
      <c r="CD23" s="59">
        <f ca="1">AVERAGE(OFFSET($CC$3,0,0,'Données projet'!$E$12+1,1))-AVERAGE(OFFSET($H$3,0,0,'Données projet'!$E$12+1,1))</f>
        <v>225.2323446080772</v>
      </c>
      <c r="CE23" s="59">
        <f t="shared" si="40"/>
        <v>222.29030402759292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28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57</v>
      </c>
      <c r="CR23" s="12">
        <f>VLOOKUP(A23,'Données projet'!$A$139:$I$159,9,0)</f>
        <v>9.6</v>
      </c>
      <c r="CS23" s="12">
        <f t="array" ref="CS23">INDEX(CR:CR,MIN(IF(ISNUMBER(CR23:CR219),ROW(CR23:CR219),"")))</f>
        <v>9.6</v>
      </c>
      <c r="CT23" s="12">
        <f>IF('Données projet'!$A$140&gt;35,CT22+CS23-DB22,IF(A23&lt;'Données projet'!$A$140,$CQ$205^A23,IF(A23='Données projet'!$A$140,'Données projet'!$B$140,CT22+CS23-DB22)))</f>
        <v>57.000000000000007</v>
      </c>
      <c r="CU23" s="17">
        <f>CT23*VLOOKUP('Données projet'!$B$13,Paramètres!$A$1:$I$89,3,0)*VLOOKUP('Données projet'!$B$13,Paramètres!$A$1:$I$89,5,0)</f>
        <v>55.130400000000009</v>
      </c>
      <c r="CV23" s="13">
        <f t="shared" si="41"/>
        <v>15.931082230000035</v>
      </c>
      <c r="CW23" s="20">
        <f t="shared" si="13"/>
        <v>123.76541488391672</v>
      </c>
      <c r="CX23" s="59">
        <f t="shared" si="14"/>
        <v>417.09874821725003</v>
      </c>
      <c r="CY23" s="59">
        <f ca="1">AVERAGE(OFFSET($CX$3,0,0,'Données projet'!$E$13+1,1))-AVERAGE(OFFSET($H$3,0,0,'Données projet'!$E$13+1,1))</f>
        <v>212.32823943192528</v>
      </c>
      <c r="CZ23" s="59">
        <f t="shared" si="42"/>
        <v>209.60834138503003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21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3.56</v>
      </c>
      <c r="DO23" s="12">
        <f>IF('Données projet'!$A$166&gt;35,DO22+DN23-DW22,IF(A23&lt;'Données projet'!$A$166,$DL$205^A23,IF(A23='Données projet'!$A$166,'Données projet'!$B$166,DO22+DN23-DW22)))</f>
        <v>36.267031149657967</v>
      </c>
      <c r="DP23" s="17">
        <f>DO23*VLOOKUP('Données projet'!$B$14,Paramètres!$A$1:$I$89,3,0)*VLOOKUP('Données projet'!$B$14,Paramètres!$A$1:$I$89,5,0)</f>
        <v>28.288284296733217</v>
      </c>
      <c r="DQ23" s="13">
        <f t="shared" si="43"/>
        <v>8.834697090047662</v>
      </c>
      <c r="DR23" s="20">
        <f t="shared" si="16"/>
        <v>64.655859248643353</v>
      </c>
      <c r="DS23" s="59">
        <f t="shared" si="17"/>
        <v>357.98919258197668</v>
      </c>
      <c r="DT23" s="59">
        <f ca="1">AVERAGE(OFFSET($DS$3,0,0,'Données projet'!$E$14+1,1))-AVERAGE(OFFSET($H$3,0,0,'Données projet'!$E$14+1,1))</f>
        <v>215.84581110302656</v>
      </c>
      <c r="DU23" s="59">
        <f t="shared" si="44"/>
        <v>193.88588526156104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6">
        <f t="shared" si="1"/>
        <v>317.11994059772178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19.216666666666669</v>
      </c>
      <c r="N24" s="13">
        <f>IF('Données projet'!$A$36&gt;35,N23+M24-V23,IF(A24&lt;'Données projet'!$A$36,$K$205^A24,IF(A24='Données projet'!$A$36,'Données projet'!$B$36,N23+M24-V23)))</f>
        <v>196.35000000000002</v>
      </c>
      <c r="O24" s="13">
        <f>N24*VLOOKUP('Données projet'!$B$9,Paramètres!$A$1:$I$89,3,0)*VLOOKUP('Données projet'!$B$9,Paramètres!$A$1:$I$89,5,0)</f>
        <v>122.5224</v>
      </c>
      <c r="P24" s="13">
        <f t="shared" si="33"/>
        <v>32.26259352430629</v>
      </c>
      <c r="Q24" s="20">
        <f t="shared" si="2"/>
        <v>269.58386372150011</v>
      </c>
      <c r="R24" s="59">
        <f t="shared" si="0"/>
        <v>562.91719705483342</v>
      </c>
      <c r="S24" s="59">
        <f ca="1">AVERAGE(OFFSET($R$3,0,0,'Données projet'!$E$9+1,1))-AVERAGE(OFFSET($H$3,0,0,'Données projet'!$E$9+1,1))</f>
        <v>269.77739619445515</v>
      </c>
      <c r="T24" s="59">
        <f t="shared" si="34"/>
        <v>347.56964743629885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38.375567729873609</v>
      </c>
      <c r="AB24" s="21">
        <f>EXP(-LN(2)/2)*AB23+(1-EXP(-LN(2)/2))/(LN(2)/2)*V24*Y24*VLOOKUP('Données projet'!$B$9,Paramètres!$A$1:$I$89,3,0)*0.475*44/12</f>
        <v>0.56202761309249105</v>
      </c>
      <c r="AC24" s="22">
        <f t="shared" si="3"/>
        <v>38.937595342966098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27</v>
      </c>
      <c r="AI24" s="13">
        <f>IF('Données projet'!$A$62&gt;35,AI23+AH24-AQ23,IF(A24&lt;'Données projet'!$A$62,$AF$205^A24,IF(A24='Données projet'!$A$62,'Données projet'!$B$62,AI23+AH24-AQ23)))</f>
        <v>161</v>
      </c>
      <c r="AJ24" s="13">
        <f>AI24*VLOOKUP('Données projet'!$B$10,Paramètres!$A$1:$I$89,3,0)*VLOOKUP('Données projet'!$B$10,Paramètres!$A$1:$I$89,5,0)</f>
        <v>79.534000000000006</v>
      </c>
      <c r="AK24" s="13">
        <f t="shared" si="35"/>
        <v>22.023205994903069</v>
      </c>
      <c r="AL24" s="20">
        <f t="shared" si="4"/>
        <v>176.87880044112285</v>
      </c>
      <c r="AM24" s="59">
        <f t="shared" si="5"/>
        <v>470.21213377445616</v>
      </c>
      <c r="AN24" s="59">
        <f ca="1">AVERAGE(OFFSET($AM$3,0,0,'Données projet'!$E$10+1,1))-AVERAGE(OFFSET($H$3,0,0,'Données projet'!$E$10+1,1))</f>
        <v>396.27049617044378</v>
      </c>
      <c r="AO24" s="59">
        <f t="shared" si="36"/>
        <v>335.2680289568774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8.7010200841726366</v>
      </c>
      <c r="AX24" s="21">
        <f t="shared" si="6"/>
        <v>8.7010200841726366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8.8000000000000007</v>
      </c>
      <c r="BD24" s="12">
        <f>IF('Données projet'!$A$88&gt;35,BD23+BC24-BL23,IF(A24&lt;'Données projet'!$A$88,$BA$205^A24,IF(A24='Données projet'!$A$88,'Données projet'!$B$88,BD23+BC24-BL23)))</f>
        <v>40.799999999999997</v>
      </c>
      <c r="BE24" s="13">
        <f>BD24*VLOOKUP('Données projet'!$B$11,Paramètres!$A$1:$I$89,3,0)*VLOOKUP('Données projet'!$B$11,Paramètres!$A$1:$I$89,5,0)</f>
        <v>35.006400000000006</v>
      </c>
      <c r="BF24" s="13">
        <f t="shared" si="37"/>
        <v>10.664997365847841</v>
      </c>
      <c r="BG24" s="20">
        <f t="shared" si="7"/>
        <v>79.544350412184983</v>
      </c>
      <c r="BH24" s="59">
        <f t="shared" si="8"/>
        <v>372.87768374551831</v>
      </c>
      <c r="BI24" s="59">
        <f ca="1">AVERAGE(OFFSET($BH$3,0,0,'Données projet'!$E$11+1,1))-AVERAGE(OFFSET($H$3,0,0,'Données projet'!$E$11+1,1))</f>
        <v>352.61091660077574</v>
      </c>
      <c r="BJ24" s="59">
        <f t="shared" si="38"/>
        <v>186.48649111821521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12.6</v>
      </c>
      <c r="BY24" s="12">
        <f>IF('Données projet'!$A$114&gt;35,BY23+BX24-CG23,IF(A24&lt;'Données projet'!$A$114,$BV$205^A24,IF(A24='Données projet'!$A$114,'Données projet'!$B$114,BY23+BX24-CG23)))</f>
        <v>64.599999999999994</v>
      </c>
      <c r="BZ24" s="13">
        <f>BY24*VLOOKUP('Données projet'!$B$12,Paramètres!$A$1:$I$89,3,0)*VLOOKUP('Données projet'!$B$12,Paramètres!$A$1:$I$89,5,0)</f>
        <v>51.395759999999996</v>
      </c>
      <c r="CA24" s="13">
        <f t="shared" si="39"/>
        <v>14.973641136922506</v>
      </c>
      <c r="CB24" s="20">
        <f t="shared" si="10"/>
        <v>115.59337364680668</v>
      </c>
      <c r="CC24" s="59">
        <f t="shared" si="11"/>
        <v>408.92670698014001</v>
      </c>
      <c r="CD24" s="59">
        <f ca="1">AVERAGE(OFFSET($CC$3,0,0,'Données projet'!$E$12+1,1))-AVERAGE(OFFSET($H$3,0,0,'Données projet'!$E$12+1,1))</f>
        <v>225.2323446080772</v>
      </c>
      <c r="CE24" s="59">
        <f t="shared" si="40"/>
        <v>222.29030402759292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10</v>
      </c>
      <c r="CT24" s="12">
        <f>IF('Données projet'!$A$140&gt;35,CT23+CS24-DB23,IF(A24&lt;'Données projet'!$A$140,$CQ$205^A24,IF(A24='Données projet'!$A$140,'Données projet'!$B$140,CT23+CS24-DB23)))</f>
        <v>46</v>
      </c>
      <c r="CU24" s="17">
        <f>CT24*VLOOKUP('Données projet'!$B$13,Paramètres!$A$1:$I$89,3,0)*VLOOKUP('Données projet'!$B$13,Paramètres!$A$1:$I$89,5,0)</f>
        <v>44.491199999999999</v>
      </c>
      <c r="CV24" s="13">
        <f t="shared" si="41"/>
        <v>13.181568075917836</v>
      </c>
      <c r="CW24" s="20">
        <f t="shared" si="13"/>
        <v>100.44673773222355</v>
      </c>
      <c r="CX24" s="59">
        <f t="shared" si="14"/>
        <v>393.78007106555685</v>
      </c>
      <c r="CY24" s="59">
        <f ca="1">AVERAGE(OFFSET($CX$3,0,0,'Données projet'!$E$13+1,1))-AVERAGE(OFFSET($H$3,0,0,'Données projet'!$E$13+1,1))</f>
        <v>212.32823943192528</v>
      </c>
      <c r="CZ24" s="59">
        <f t="shared" si="42"/>
        <v>209.60834138503003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3.56</v>
      </c>
      <c r="DO24" s="12">
        <f>IF('Données projet'!$A$166&gt;35,DO23+DN24-DW23,IF(A24&lt;'Données projet'!$A$166,$DL$205^A24,IF(A24='Données projet'!$A$166,'Données projet'!$B$166,DO23+DN24-DW23)))</f>
        <v>43.399787751457886</v>
      </c>
      <c r="DP24" s="17">
        <f>DO24*VLOOKUP('Données projet'!$B$14,Paramètres!$A$1:$I$89,3,0)*VLOOKUP('Données projet'!$B$14,Paramètres!$A$1:$I$89,5,0)</f>
        <v>33.851834446137154</v>
      </c>
      <c r="DQ24" s="13">
        <f t="shared" si="43"/>
        <v>10.353588595423204</v>
      </c>
      <c r="DR24" s="20">
        <f t="shared" si="16"/>
        <v>76.991111797384278</v>
      </c>
      <c r="DS24" s="59">
        <f t="shared" si="17"/>
        <v>370.32444513071761</v>
      </c>
      <c r="DT24" s="59">
        <f ca="1">AVERAGE(OFFSET($DS$3,0,0,'Données projet'!$E$14+1,1))-AVERAGE(OFFSET($H$3,0,0,'Données projet'!$E$14+1,1))</f>
        <v>215.84581110302656</v>
      </c>
      <c r="DU24" s="59">
        <f t="shared" si="44"/>
        <v>193.88588526156104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6">
        <f t="shared" si="1"/>
        <v>318.21759373877319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19.216666666666669</v>
      </c>
      <c r="N25" s="13">
        <f>IF('Données projet'!$A$36&gt;35,N24+M25-V24,IF(A25&lt;'Données projet'!$A$36,$K$205^A25,IF(A25='Données projet'!$A$36,'Données projet'!$B$36,N24+M25-V24)))</f>
        <v>215.56666666666669</v>
      </c>
      <c r="O25" s="13">
        <f>N25*VLOOKUP('Données projet'!$B$9,Paramètres!$A$1:$I$89,3,0)*VLOOKUP('Données projet'!$B$9,Paramètres!$A$1:$I$89,5,0)</f>
        <v>134.51360000000003</v>
      </c>
      <c r="P25" s="13">
        <f t="shared" si="33"/>
        <v>35.037238995886284</v>
      </c>
      <c r="Q25" s="20">
        <f t="shared" si="2"/>
        <v>295.30104458450194</v>
      </c>
      <c r="R25" s="59">
        <f t="shared" si="0"/>
        <v>588.63437791783531</v>
      </c>
      <c r="S25" s="59">
        <f ca="1">AVERAGE(OFFSET($R$3,0,0,'Données projet'!$E$9+1,1))-AVERAGE(OFFSET($H$3,0,0,'Données projet'!$E$9+1,1))</f>
        <v>269.77739619445515</v>
      </c>
      <c r="T25" s="59">
        <f t="shared" si="34"/>
        <v>347.56964743629885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37.326185812216814</v>
      </c>
      <c r="AB25" s="21">
        <f>EXP(-LN(2)/2)*AB24+(1-EXP(-LN(2)/2))/(LN(2)/2)*V25*Y25*VLOOKUP('Données projet'!$B$9,Paramètres!$A$1:$I$89,3,0)*0.475*44/12</f>
        <v>0.39741353643178967</v>
      </c>
      <c r="AC25" s="22">
        <f t="shared" si="3"/>
        <v>37.723599348648605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27</v>
      </c>
      <c r="AI25" s="13">
        <f>IF('Données projet'!$A$62&gt;35,AI24+AH25-AQ24,IF(A25&lt;'Données projet'!$A$62,$AF$205^A25,IF(A25='Données projet'!$A$62,'Données projet'!$B$62,AI24+AH25-AQ24)))</f>
        <v>188</v>
      </c>
      <c r="AJ25" s="13">
        <f>AI25*VLOOKUP('Données projet'!$B$10,Paramètres!$A$1:$I$89,3,0)*VLOOKUP('Données projet'!$B$10,Paramètres!$A$1:$I$89,5,0)</f>
        <v>92.872</v>
      </c>
      <c r="AK25" s="13">
        <f t="shared" si="35"/>
        <v>25.256610838382159</v>
      </c>
      <c r="AL25" s="20">
        <f t="shared" si="4"/>
        <v>205.74066387684891</v>
      </c>
      <c r="AM25" s="59">
        <f t="shared" si="5"/>
        <v>499.07399721018226</v>
      </c>
      <c r="AN25" s="59">
        <f ca="1">AVERAGE(OFFSET($AM$3,0,0,'Données projet'!$E$10+1,1))-AVERAGE(OFFSET($H$3,0,0,'Données projet'!$E$10+1,1))</f>
        <v>396.27049617044378</v>
      </c>
      <c r="AO25" s="59">
        <f t="shared" si="36"/>
        <v>335.2680289568774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6.1525503047588161</v>
      </c>
      <c r="AX25" s="21">
        <f t="shared" si="6"/>
        <v>6.1525503047588161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8.8000000000000007</v>
      </c>
      <c r="BD25" s="12">
        <f>IF('Données projet'!$A$88&gt;35,BD24+BC25-BL24,IF(A25&lt;'Données projet'!$A$88,$BA$205^A25,IF(A25='Données projet'!$A$88,'Données projet'!$B$88,BD24+BC25-BL24)))</f>
        <v>49.599999999999994</v>
      </c>
      <c r="BE25" s="13">
        <f>BD25*VLOOKUP('Données projet'!$B$11,Paramètres!$A$1:$I$89,3,0)*VLOOKUP('Données projet'!$B$11,Paramètres!$A$1:$I$89,5,0)</f>
        <v>42.556799999999996</v>
      </c>
      <c r="BF25" s="13">
        <f t="shared" si="37"/>
        <v>12.673863978067095</v>
      </c>
      <c r="BG25" s="20">
        <f t="shared" si="7"/>
        <v>96.193406428466844</v>
      </c>
      <c r="BH25" s="59">
        <f t="shared" si="8"/>
        <v>389.52673976180017</v>
      </c>
      <c r="BI25" s="59">
        <f ca="1">AVERAGE(OFFSET($BH$3,0,0,'Données projet'!$E$11+1,1))-AVERAGE(OFFSET($H$3,0,0,'Données projet'!$E$11+1,1))</f>
        <v>352.61091660077574</v>
      </c>
      <c r="BJ25" s="59">
        <f t="shared" si="38"/>
        <v>186.48649111821521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12.6</v>
      </c>
      <c r="BY25" s="12">
        <f>IF('Données projet'!$A$114&gt;35,BY24+BX25-CG24,IF(A25&lt;'Données projet'!$A$114,$BV$205^A25,IF(A25='Données projet'!$A$114,'Données projet'!$B$114,BY24+BX25-CG24)))</f>
        <v>77.199999999999989</v>
      </c>
      <c r="BZ25" s="13">
        <f>BY25*VLOOKUP('Données projet'!$B$12,Paramètres!$A$1:$I$89,3,0)*VLOOKUP('Données projet'!$B$12,Paramètres!$A$1:$I$89,5,0)</f>
        <v>61.42031999999999</v>
      </c>
      <c r="CA25" s="13">
        <f t="shared" si="39"/>
        <v>17.526880037631354</v>
      </c>
      <c r="CB25" s="20">
        <f t="shared" si="10"/>
        <v>137.4997067322079</v>
      </c>
      <c r="CC25" s="59">
        <f t="shared" si="11"/>
        <v>430.83304006554124</v>
      </c>
      <c r="CD25" s="59">
        <f ca="1">AVERAGE(OFFSET($CC$3,0,0,'Données projet'!$E$12+1,1))-AVERAGE(OFFSET($H$3,0,0,'Données projet'!$E$12+1,1))</f>
        <v>225.2323446080772</v>
      </c>
      <c r="CE25" s="59">
        <f t="shared" si="40"/>
        <v>222.29030402759292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10</v>
      </c>
      <c r="CT25" s="12">
        <f>IF('Données projet'!$A$140&gt;35,CT24+CS25-DB24,IF(A25&lt;'Données projet'!$A$140,$CQ$205^A25,IF(A25='Données projet'!$A$140,'Données projet'!$B$140,CT24+CS25-DB24)))</f>
        <v>56</v>
      </c>
      <c r="CU25" s="17">
        <f>CT25*VLOOKUP('Données projet'!$B$13,Paramètres!$A$1:$I$89,3,0)*VLOOKUP('Données projet'!$B$13,Paramètres!$A$1:$I$89,5,0)</f>
        <v>54.163200000000003</v>
      </c>
      <c r="CV25" s="13">
        <f t="shared" si="41"/>
        <v>15.68386868558329</v>
      </c>
      <c r="CW25" s="20">
        <f t="shared" si="13"/>
        <v>121.65031129405757</v>
      </c>
      <c r="CX25" s="59">
        <f t="shared" si="14"/>
        <v>414.9836446273909</v>
      </c>
      <c r="CY25" s="59">
        <f ca="1">AVERAGE(OFFSET($CX$3,0,0,'Données projet'!$E$13+1,1))-AVERAGE(OFFSET($H$3,0,0,'Données projet'!$E$13+1,1))</f>
        <v>212.32823943192528</v>
      </c>
      <c r="CZ25" s="59">
        <f t="shared" si="42"/>
        <v>209.60834138503003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3.56</v>
      </c>
      <c r="DO25" s="12">
        <f>IF('Données projet'!$A$166&gt;35,DO24+DN25-DW24,IF(A25&lt;'Données projet'!$A$166,$DL$205^A25,IF(A25='Données projet'!$A$166,'Données projet'!$B$166,DO24+DN25-DW24)))</f>
        <v>51.935367113427411</v>
      </c>
      <c r="DP25" s="17">
        <f>DO25*VLOOKUP('Données projet'!$B$14,Paramètres!$A$1:$I$89,3,0)*VLOOKUP('Données projet'!$B$14,Paramètres!$A$1:$I$89,5,0)</f>
        <v>40.509586348473384</v>
      </c>
      <c r="DQ25" s="13">
        <f t="shared" si="43"/>
        <v>12.133613151721432</v>
      </c>
      <c r="DR25" s="20">
        <f t="shared" si="16"/>
        <v>91.686905796172638</v>
      </c>
      <c r="DS25" s="59">
        <f t="shared" si="17"/>
        <v>385.02023912950597</v>
      </c>
      <c r="DT25" s="59">
        <f ca="1">AVERAGE(OFFSET($DS$3,0,0,'Données projet'!$E$14+1,1))-AVERAGE(OFFSET($H$3,0,0,'Données projet'!$E$14+1,1))</f>
        <v>215.84581110302656</v>
      </c>
      <c r="DU25" s="59">
        <f t="shared" si="44"/>
        <v>193.88588526156104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6">
        <f t="shared" si="1"/>
        <v>319.31387484448885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19.216666666666669</v>
      </c>
      <c r="N26" s="13">
        <f>IF('Données projet'!$A$36&gt;35,N25+M26-V25,IF(A26&lt;'Données projet'!$A$36,$K$205^A26,IF(A26='Données projet'!$A$36,'Données projet'!$B$36,N25+M26-V25)))</f>
        <v>234.78333333333336</v>
      </c>
      <c r="O26" s="13">
        <f>N26*VLOOKUP('Données projet'!$B$9,Paramètres!$A$1:$I$89,3,0)*VLOOKUP('Données projet'!$B$9,Paramètres!$A$1:$I$89,5,0)</f>
        <v>146.50480000000002</v>
      </c>
      <c r="P26" s="13">
        <f t="shared" si="33"/>
        <v>37.783202245862846</v>
      </c>
      <c r="Q26" s="20">
        <f t="shared" si="2"/>
        <v>320.9682705782111</v>
      </c>
      <c r="R26" s="59">
        <f t="shared" si="0"/>
        <v>614.30160391154436</v>
      </c>
      <c r="S26" s="59">
        <f ca="1">AVERAGE(OFFSET($R$3,0,0,'Données projet'!$E$9+1,1))-AVERAGE(OFFSET($H$3,0,0,'Données projet'!$E$9+1,1))</f>
        <v>269.77739619445515</v>
      </c>
      <c r="T26" s="59">
        <f t="shared" si="34"/>
        <v>347.56964743629885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36.305499298282946</v>
      </c>
      <c r="AB26" s="21">
        <f>EXP(-LN(2)/2)*AB25+(1-EXP(-LN(2)/2))/(LN(2)/2)*V26*Y26*VLOOKUP('Données projet'!$B$9,Paramètres!$A$1:$I$89,3,0)*0.475*44/12</f>
        <v>0.28101380654624553</v>
      </c>
      <c r="AC26" s="22">
        <f t="shared" si="3"/>
        <v>36.586513104829194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27</v>
      </c>
      <c r="AI26" s="13">
        <f>IF('Données projet'!$A$62&gt;35,AI25+AH26-AQ25,IF(A26&lt;'Données projet'!$A$62,$AF$205^A26,IF(A26='Données projet'!$A$62,'Données projet'!$B$62,AI25+AH26-AQ25)))</f>
        <v>215</v>
      </c>
      <c r="AJ26" s="13">
        <f>AI26*VLOOKUP('Données projet'!$B$10,Paramètres!$A$1:$I$89,3,0)*VLOOKUP('Données projet'!$B$10,Paramètres!$A$1:$I$89,5,0)</f>
        <v>106.21000000000001</v>
      </c>
      <c r="AK26" s="13">
        <f t="shared" si="35"/>
        <v>28.436217026228483</v>
      </c>
      <c r="AL26" s="20">
        <f t="shared" si="4"/>
        <v>234.50882798734798</v>
      </c>
      <c r="AM26" s="59">
        <f t="shared" si="5"/>
        <v>527.84216132068127</v>
      </c>
      <c r="AN26" s="59">
        <f ca="1">AVERAGE(OFFSET($AM$3,0,0,'Données projet'!$E$10+1,1))-AVERAGE(OFFSET($H$3,0,0,'Données projet'!$E$10+1,1))</f>
        <v>396.27049617044378</v>
      </c>
      <c r="AO26" s="59">
        <f t="shared" si="36"/>
        <v>335.2680289568774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4.3505100420863192</v>
      </c>
      <c r="AX26" s="21">
        <f t="shared" si="6"/>
        <v>4.3505100420863192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8.8000000000000007</v>
      </c>
      <c r="BD26" s="12">
        <f>IF('Données projet'!$A$88&gt;35,BD25+BC26-BL25,IF(A26&lt;'Données projet'!$A$88,$BA$205^A26,IF(A26='Données projet'!$A$88,'Données projet'!$B$88,BD25+BC26-BL25)))</f>
        <v>58.399999999999991</v>
      </c>
      <c r="BE26" s="13">
        <f>BD26*VLOOKUP('Données projet'!$B$11,Paramètres!$A$1:$I$89,3,0)*VLOOKUP('Données projet'!$B$11,Paramètres!$A$1:$I$89,5,0)</f>
        <v>50.107199999999999</v>
      </c>
      <c r="BF26" s="13">
        <f t="shared" si="37"/>
        <v>14.641441079141797</v>
      </c>
      <c r="BG26" s="20">
        <f t="shared" si="7"/>
        <v>112.77054987950528</v>
      </c>
      <c r="BH26" s="59">
        <f t="shared" si="8"/>
        <v>406.10388321283858</v>
      </c>
      <c r="BI26" s="59">
        <f ca="1">AVERAGE(OFFSET($BH$3,0,0,'Données projet'!$E$11+1,1))-AVERAGE(OFFSET($H$3,0,0,'Données projet'!$E$11+1,1))</f>
        <v>352.61091660077574</v>
      </c>
      <c r="BJ26" s="59">
        <f t="shared" si="38"/>
        <v>186.48649111821521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12.6</v>
      </c>
      <c r="BY26" s="12">
        <f>IF('Données projet'!$A$114&gt;35,BY25+BX26-CG25,IF(A26&lt;'Données projet'!$A$114,$BV$205^A26,IF(A26='Données projet'!$A$114,'Données projet'!$B$114,BY25+BX26-CG25)))</f>
        <v>89.799999999999983</v>
      </c>
      <c r="BZ26" s="13">
        <f>BY26*VLOOKUP('Données projet'!$B$12,Paramètres!$A$1:$I$89,3,0)*VLOOKUP('Données projet'!$B$12,Paramètres!$A$1:$I$89,5,0)</f>
        <v>71.444879999999998</v>
      </c>
      <c r="CA26" s="13">
        <f t="shared" si="39"/>
        <v>20.03184442542841</v>
      </c>
      <c r="CB26" s="20">
        <f t="shared" si="10"/>
        <v>159.32196170762117</v>
      </c>
      <c r="CC26" s="59">
        <f t="shared" si="11"/>
        <v>452.65529504095446</v>
      </c>
      <c r="CD26" s="59">
        <f ca="1">AVERAGE(OFFSET($CC$3,0,0,'Données projet'!$E$12+1,1))-AVERAGE(OFFSET($H$3,0,0,'Données projet'!$E$12+1,1))</f>
        <v>225.2323446080772</v>
      </c>
      <c r="CE26" s="59">
        <f t="shared" si="40"/>
        <v>222.29030402759292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10</v>
      </c>
      <c r="CT26" s="12">
        <f>IF('Données projet'!$A$140&gt;35,CT25+CS26-DB25,IF(A26&lt;'Données projet'!$A$140,$CQ$205^A26,IF(A26='Données projet'!$A$140,'Données projet'!$B$140,CT25+CS26-DB25)))</f>
        <v>66</v>
      </c>
      <c r="CU26" s="17">
        <f>CT26*VLOOKUP('Données projet'!$B$13,Paramètres!$A$1:$I$89,3,0)*VLOOKUP('Données projet'!$B$13,Paramètres!$A$1:$I$89,5,0)</f>
        <v>63.835200000000007</v>
      </c>
      <c r="CV26" s="13">
        <f t="shared" si="41"/>
        <v>18.134403645282525</v>
      </c>
      <c r="CW26" s="20">
        <f t="shared" si="13"/>
        <v>142.7637263488671</v>
      </c>
      <c r="CX26" s="59">
        <f t="shared" si="14"/>
        <v>436.09705968220044</v>
      </c>
      <c r="CY26" s="59">
        <f ca="1">AVERAGE(OFFSET($CX$3,0,0,'Données projet'!$E$13+1,1))-AVERAGE(OFFSET($H$3,0,0,'Données projet'!$E$13+1,1))</f>
        <v>212.32823943192528</v>
      </c>
      <c r="CZ26" s="59">
        <f t="shared" si="42"/>
        <v>209.60834138503003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3.56</v>
      </c>
      <c r="DO26" s="12">
        <f>IF('Données projet'!$A$166&gt;35,DO25+DN26-DW25,IF(A26&lt;'Données projet'!$A$166,$DL$205^A26,IF(A26='Données projet'!$A$166,'Données projet'!$B$166,DO25+DN26-DW25)))</f>
        <v>62.149667013426139</v>
      </c>
      <c r="DP26" s="17">
        <f>DO26*VLOOKUP('Données projet'!$B$14,Paramètres!$A$1:$I$89,3,0)*VLOOKUP('Données projet'!$B$14,Paramètres!$A$1:$I$89,5,0)</f>
        <v>48.476740270472391</v>
      </c>
      <c r="DQ26" s="13">
        <f t="shared" si="43"/>
        <v>14.219665651067873</v>
      </c>
      <c r="DR26" s="20">
        <f t="shared" si="16"/>
        <v>109.19624031334928</v>
      </c>
      <c r="DS26" s="59">
        <f t="shared" si="17"/>
        <v>402.52957364668259</v>
      </c>
      <c r="DT26" s="59">
        <f ca="1">AVERAGE(OFFSET($DS$3,0,0,'Données projet'!$E$14+1,1))-AVERAGE(OFFSET($H$3,0,0,'Données projet'!$E$14+1,1))</f>
        <v>215.84581110302656</v>
      </c>
      <c r="DU26" s="59">
        <f t="shared" si="44"/>
        <v>193.88588526156104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6">
        <f t="shared" si="1"/>
        <v>320.40885038678698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254</v>
      </c>
      <c r="L27" s="12">
        <f>VLOOKUP(A27,'Données projet'!$A$35:$I$55,9,0)</f>
        <v>19.216666666666669</v>
      </c>
      <c r="M27" s="12">
        <f t="array" ref="M27">INDEX(L:L,MIN(IF(ISNUMBER(L27:L223),ROW(L27:L223),"")))</f>
        <v>19.216666666666669</v>
      </c>
      <c r="N27" s="13">
        <f>IF('Données projet'!$A$36&gt;35,N26+M27-V26,IF(A27&lt;'Données projet'!$A$36,$K$205^A27,IF(A27='Données projet'!$A$36,'Données projet'!$B$36,N26+M27-V26)))</f>
        <v>254.00000000000003</v>
      </c>
      <c r="O27" s="13">
        <f>N27*VLOOKUP('Données projet'!$B$9,Paramètres!$A$1:$I$89,3,0)*VLOOKUP('Données projet'!$B$9,Paramètres!$A$1:$I$89,5,0)</f>
        <v>158.49600000000004</v>
      </c>
      <c r="P27" s="13">
        <f t="shared" si="33"/>
        <v>40.503097769376929</v>
      </c>
      <c r="Q27" s="20">
        <f t="shared" si="2"/>
        <v>346.59009528166484</v>
      </c>
      <c r="R27" s="59">
        <f t="shared" si="0"/>
        <v>639.9234286149981</v>
      </c>
      <c r="S27" s="59">
        <f ca="1">AVERAGE(OFFSET($R$3,0,0,'Données projet'!$E$9+1,1))-AVERAGE(OFFSET($H$3,0,0,'Données projet'!$E$9+1,1))</f>
        <v>269.77739619445515</v>
      </c>
      <c r="T27" s="59">
        <f t="shared" si="34"/>
        <v>347.56964743629885</v>
      </c>
      <c r="U27" s="15">
        <f>IF(ISNA(VLOOKUP(A27,'Données projet'!$A$35:$I$55,3,0)),0,VLOOKUP(A27,'Données projet'!$A$35:$I$55,3,0))</f>
        <v>3</v>
      </c>
      <c r="V27" s="15">
        <f>IF(ISNA(VLOOKUP(A27,'Données projet'!$A$35:$I$55,4,0)),0,VLOOKUP(A27,'Données projet'!$A$35:$I$55,4,0))</f>
        <v>73.7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0.6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71.77286303125355</v>
      </c>
      <c r="AB27" s="21">
        <f>EXP(-LN(2)/2)*AB26+(1-EXP(-LN(2)/2))/(LN(2)/2)*V27*Y27*VLOOKUP('Données projet'!$B$9,Paramètres!$A$1:$I$89,3,0)*0.475*44/12</f>
        <v>0.19870676821589484</v>
      </c>
      <c r="AC27" s="22">
        <f t="shared" si="3"/>
        <v>71.971569799469449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27</v>
      </c>
      <c r="AI27" s="13">
        <f>IF('Données projet'!$A$62&gt;35,AI26+AH27-AQ26,IF(A27&lt;'Données projet'!$A$62,$AF$205^A27,IF(A27='Données projet'!$A$62,'Données projet'!$B$62,AI26+AH27-AQ26)))</f>
        <v>242</v>
      </c>
      <c r="AJ27" s="13">
        <f>AI27*VLOOKUP('Données projet'!$B$10,Paramètres!$A$1:$I$89,3,0)*VLOOKUP('Données projet'!$B$10,Paramètres!$A$1:$I$89,5,0)</f>
        <v>119.54800000000002</v>
      </c>
      <c r="AK27" s="13">
        <f t="shared" si="35"/>
        <v>31.569554573828761</v>
      </c>
      <c r="AL27" s="20">
        <f t="shared" si="4"/>
        <v>263.19640754941844</v>
      </c>
      <c r="AM27" s="59">
        <f t="shared" si="5"/>
        <v>556.52974088275175</v>
      </c>
      <c r="AN27" s="59">
        <f ca="1">AVERAGE(OFFSET($AM$3,0,0,'Données projet'!$E$10+1,1))-AVERAGE(OFFSET($H$3,0,0,'Données projet'!$E$10+1,1))</f>
        <v>396.27049617044378</v>
      </c>
      <c r="AO27" s="59">
        <f t="shared" si="36"/>
        <v>335.2680289568774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3.076275152379409</v>
      </c>
      <c r="AX27" s="21">
        <f t="shared" si="6"/>
        <v>3.076275152379409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8.8000000000000007</v>
      </c>
      <c r="BD27" s="12">
        <f>IF('Données projet'!$A$88&gt;35,BD26+BC27-BL26,IF(A27&lt;'Données projet'!$A$88,$BA$205^A27,IF(A27='Données projet'!$A$88,'Données projet'!$B$88,BD26+BC27-BL26)))</f>
        <v>67.199999999999989</v>
      </c>
      <c r="BE27" s="13">
        <f>BD27*VLOOKUP('Données projet'!$B$11,Paramètres!$A$1:$I$89,3,0)*VLOOKUP('Données projet'!$B$11,Paramètres!$A$1:$I$89,5,0)</f>
        <v>57.657599999999995</v>
      </c>
      <c r="BF27" s="13">
        <f t="shared" si="37"/>
        <v>16.574671209026025</v>
      </c>
      <c r="BG27" s="20">
        <f t="shared" si="7"/>
        <v>129.28787235572034</v>
      </c>
      <c r="BH27" s="59">
        <f t="shared" si="8"/>
        <v>422.62120568905368</v>
      </c>
      <c r="BI27" s="59">
        <f ca="1">AVERAGE(OFFSET($BH$3,0,0,'Données projet'!$E$11+1,1))-AVERAGE(OFFSET($H$3,0,0,'Données projet'!$E$11+1,1))</f>
        <v>352.61091660077574</v>
      </c>
      <c r="BJ27" s="59">
        <f t="shared" si="38"/>
        <v>186.48649111821521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12.6</v>
      </c>
      <c r="BY27" s="12">
        <f>IF('Données projet'!$A$114&gt;35,BY26+BX27-CG26,IF(A27&lt;'Données projet'!$A$114,$BV$205^A27,IF(A27='Données projet'!$A$114,'Données projet'!$B$114,BY26+BX27-CG26)))</f>
        <v>102.39999999999998</v>
      </c>
      <c r="BZ27" s="13">
        <f>BY27*VLOOKUP('Données projet'!$B$12,Paramètres!$A$1:$I$89,3,0)*VLOOKUP('Données projet'!$B$12,Paramètres!$A$1:$I$89,5,0)</f>
        <v>81.469439999999992</v>
      </c>
      <c r="CA27" s="13">
        <f t="shared" si="39"/>
        <v>22.496088365195678</v>
      </c>
      <c r="CB27" s="20">
        <f t="shared" si="10"/>
        <v>181.07329523604912</v>
      </c>
      <c r="CC27" s="59">
        <f t="shared" si="11"/>
        <v>474.40662856938241</v>
      </c>
      <c r="CD27" s="59">
        <f ca="1">AVERAGE(OFFSET($CC$3,0,0,'Données projet'!$E$12+1,1))-AVERAGE(OFFSET($H$3,0,0,'Données projet'!$E$12+1,1))</f>
        <v>225.2323446080772</v>
      </c>
      <c r="CE27" s="59">
        <f t="shared" si="40"/>
        <v>222.29030402759292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10</v>
      </c>
      <c r="CT27" s="12">
        <f>IF('Données projet'!$A$140&gt;35,CT26+CS27-DB26,IF(A27&lt;'Données projet'!$A$140,$CQ$205^A27,IF(A27='Données projet'!$A$140,'Données projet'!$B$140,CT26+CS27-DB26)))</f>
        <v>76</v>
      </c>
      <c r="CU27" s="17">
        <f>CT27*VLOOKUP('Données projet'!$B$13,Paramètres!$A$1:$I$89,3,0)*VLOOKUP('Données projet'!$B$13,Paramètres!$A$1:$I$89,5,0)</f>
        <v>73.507199999999997</v>
      </c>
      <c r="CV27" s="13">
        <f t="shared" si="41"/>
        <v>20.541925364615185</v>
      </c>
      <c r="CW27" s="20">
        <f t="shared" si="13"/>
        <v>163.80222667670475</v>
      </c>
      <c r="CX27" s="59">
        <f t="shared" si="14"/>
        <v>457.13556001003803</v>
      </c>
      <c r="CY27" s="59">
        <f ca="1">AVERAGE(OFFSET($CX$3,0,0,'Données projet'!$E$13+1,1))-AVERAGE(OFFSET($H$3,0,0,'Données projet'!$E$13+1,1))</f>
        <v>212.32823943192528</v>
      </c>
      <c r="CZ27" s="59">
        <f t="shared" si="42"/>
        <v>209.60834138503003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3.56</v>
      </c>
      <c r="DO27" s="12">
        <f>IF('Données projet'!$A$166&gt;35,DO26+DN27-DW26,IF(A27&lt;'Données projet'!$A$166,$DL$205^A27,IF(A27='Données projet'!$A$166,'Données projet'!$B$166,DO26+DN27-DW26)))</f>
        <v>74.372846955020648</v>
      </c>
      <c r="DP27" s="17">
        <f>DO27*VLOOKUP('Données projet'!$B$14,Paramètres!$A$1:$I$89,3,0)*VLOOKUP('Données projet'!$B$14,Paramètres!$A$1:$I$89,5,0)</f>
        <v>58.010820624916107</v>
      </c>
      <c r="DQ27" s="13">
        <f t="shared" si="43"/>
        <v>16.664359469831368</v>
      </c>
      <c r="DR27" s="20">
        <f t="shared" si="16"/>
        <v>130.05927199835185</v>
      </c>
      <c r="DS27" s="59">
        <f t="shared" si="17"/>
        <v>423.39260533168516</v>
      </c>
      <c r="DT27" s="59">
        <f ca="1">AVERAGE(OFFSET($DS$3,0,0,'Données projet'!$E$14+1,1))-AVERAGE(OFFSET($H$3,0,0,'Données projet'!$E$14+1,1))</f>
        <v>215.84581110302656</v>
      </c>
      <c r="DU27" s="59">
        <f t="shared" si="44"/>
        <v>193.88588526156104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6">
        <f t="shared" si="1"/>
        <v>321.50258098486643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16.616666666666664</v>
      </c>
      <c r="N28" s="13">
        <f>IF('Données projet'!$A$36&gt;35,N27+M28-V27,IF(A28&lt;'Données projet'!$A$36,$K$205^A28,IF(A28='Données projet'!$A$36,'Données projet'!$B$36,N27+M28-V27)))</f>
        <v>196.91666666666669</v>
      </c>
      <c r="O28" s="13">
        <f>N28*VLOOKUP('Données projet'!$B$9,Paramètres!$A$1:$I$89,3,0)*VLOOKUP('Données projet'!$B$9,Paramètres!$A$1:$I$89,5,0)</f>
        <v>122.87600000000002</v>
      </c>
      <c r="P28" s="13">
        <f t="shared" si="33"/>
        <v>32.344851661523322</v>
      </c>
      <c r="Q28" s="20">
        <f t="shared" si="2"/>
        <v>270.34298331048649</v>
      </c>
      <c r="R28" s="59">
        <f t="shared" si="0"/>
        <v>563.67631664381975</v>
      </c>
      <c r="S28" s="59">
        <f ca="1">AVERAGE(OFFSET($R$3,0,0,'Données projet'!$E$9+1,1))-AVERAGE(OFFSET($H$3,0,0,'Données projet'!$E$9+1,1))</f>
        <v>269.77739619445515</v>
      </c>
      <c r="T28" s="59">
        <f t="shared" si="34"/>
        <v>347.56964743629885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69.81023031729309</v>
      </c>
      <c r="AB28" s="21">
        <f>EXP(-LN(2)/2)*AB27+(1-EXP(-LN(2)/2))/(LN(2)/2)*V28*Y28*VLOOKUP('Données projet'!$B$9,Paramètres!$A$1:$I$89,3,0)*0.475*44/12</f>
        <v>0.14050690327312276</v>
      </c>
      <c r="AC28" s="22">
        <f t="shared" si="3"/>
        <v>69.950737220566211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269</v>
      </c>
      <c r="AG28" s="12">
        <f>VLOOKUP(A28,'Données projet'!$A$61:$I$81,9,0)</f>
        <v>27</v>
      </c>
      <c r="AH28" s="12">
        <f t="array" ref="AH28">INDEX(AG:AG,MIN(IF(ISNUMBER(AG28:AG224),ROW(AG28:AG224),"")))</f>
        <v>27</v>
      </c>
      <c r="AI28" s="13">
        <f>IF('Données projet'!$A$62&gt;35,AI27+AH28-AQ27,IF(A28&lt;'Données projet'!$A$62,$AF$205^A28,IF(A28='Données projet'!$A$62,'Données projet'!$B$62,AI27+AH28-AQ27)))</f>
        <v>269</v>
      </c>
      <c r="AJ28" s="13">
        <f>AI28*VLOOKUP('Données projet'!$B$10,Paramètres!$A$1:$I$89,3,0)*VLOOKUP('Données projet'!$B$10,Paramètres!$A$1:$I$89,5,0)</f>
        <v>132.886</v>
      </c>
      <c r="AK28" s="13">
        <f t="shared" si="35"/>
        <v>34.662374610467417</v>
      </c>
      <c r="AL28" s="20">
        <f t="shared" si="4"/>
        <v>291.81341911323074</v>
      </c>
      <c r="AM28" s="59">
        <f t="shared" si="5"/>
        <v>585.14675244656405</v>
      </c>
      <c r="AN28" s="59">
        <f ca="1">AVERAGE(OFFSET($AM$3,0,0,'Données projet'!$E$10+1,1))-AVERAGE(OFFSET($H$3,0,0,'Données projet'!$E$10+1,1))</f>
        <v>396.27049617044378</v>
      </c>
      <c r="AO28" s="59">
        <f t="shared" si="36"/>
        <v>335.2680289568774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70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0.55000000000000004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25.130589532686646</v>
      </c>
      <c r="AW28" s="21">
        <f>EXP(-LN(2)/2)*AW27+(1-EXP(-LN(2)/2))/(LN(2)/2)*AQ28*AT28*VLOOKUP('Données projet'!$B$10,Paramètres!$A$1:$I$89,3,0)*0.475*44/12</f>
        <v>2.17525502104316</v>
      </c>
      <c r="AX28" s="21">
        <f t="shared" si="6"/>
        <v>27.305844553729806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76</v>
      </c>
      <c r="BB28" s="12">
        <f>VLOOKUP(A28,'Données projet'!$A$87:$I$107,9,0)</f>
        <v>8.8000000000000007</v>
      </c>
      <c r="BC28" s="12">
        <f t="array" ref="BC28">INDEX(BB:BB,MIN(IF(ISNUMBER(BB28:BB224),ROW(BB28:BB224),"")))</f>
        <v>8.8000000000000007</v>
      </c>
      <c r="BD28" s="12">
        <f>IF('Données projet'!$A$88&gt;35,BD27+BC28-BL27,IF(A28&lt;'Données projet'!$A$88,$BA$205^A28,IF(A28='Données projet'!$A$88,'Données projet'!$B$88,BD27+BC28-BL27)))</f>
        <v>75.999999999999986</v>
      </c>
      <c r="BE28" s="13">
        <f>BD28*VLOOKUP('Données projet'!$B$11,Paramètres!$A$1:$I$89,3,0)*VLOOKUP('Données projet'!$B$11,Paramètres!$A$1:$I$89,5,0)</f>
        <v>65.207999999999998</v>
      </c>
      <c r="BF28" s="13">
        <f t="shared" si="37"/>
        <v>18.478568429485204</v>
      </c>
      <c r="BG28" s="20">
        <f t="shared" si="7"/>
        <v>145.75410668135339</v>
      </c>
      <c r="BH28" s="59">
        <f t="shared" si="8"/>
        <v>439.08744001468671</v>
      </c>
      <c r="BI28" s="59">
        <f ca="1">AVERAGE(OFFSET($BH$3,0,0,'Données projet'!$E$11+1,1))-AVERAGE(OFFSET($H$3,0,0,'Données projet'!$E$11+1,1))</f>
        <v>352.61091660077574</v>
      </c>
      <c r="BJ28" s="59">
        <f t="shared" si="38"/>
        <v>186.48649111821521</v>
      </c>
      <c r="BK28" s="15">
        <f>IF(ISNA(VLOOKUP(A28,'Données projet'!$A$87:$I$107,3,0)),0,VLOOKUP(A28,'Données projet'!$A$87:$I$107,3,0))</f>
        <v>1</v>
      </c>
      <c r="BL28" s="15">
        <f>IF(ISNA(VLOOKUP(A28,'Données projet'!$A$87:$I$107,4,0)),0,VLOOKUP(A28,'Données projet'!$A$87:$I$107,4,0))</f>
        <v>7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115</v>
      </c>
      <c r="BW28" s="12">
        <f>VLOOKUP(A28,'Données projet'!$A$113:$I$133,9,0)</f>
        <v>12.6</v>
      </c>
      <c r="BX28" s="12">
        <f t="array" ref="BX28">INDEX(BW:BW,MIN(IF(ISNUMBER(BW28:BW224),ROW(BW28:BW224),"")))</f>
        <v>12.6</v>
      </c>
      <c r="BY28" s="12">
        <f>IF('Données projet'!$A$114&gt;35,BY27+BX28-CG27,IF(A28&lt;'Données projet'!$A$114,$BV$205^A28,IF(A28='Données projet'!$A$114,'Données projet'!$B$114,BY27+BX28-CG27)))</f>
        <v>114.99999999999997</v>
      </c>
      <c r="BZ28" s="13">
        <f>BY28*VLOOKUP('Données projet'!$B$12,Paramètres!$A$1:$I$89,3,0)*VLOOKUP('Données projet'!$B$12,Paramètres!$A$1:$I$89,5,0)</f>
        <v>91.493999999999986</v>
      </c>
      <c r="CA28" s="13">
        <f t="shared" si="39"/>
        <v>24.925195840896517</v>
      </c>
      <c r="CB28" s="20">
        <f t="shared" si="10"/>
        <v>202.76343275622807</v>
      </c>
      <c r="CC28" s="59">
        <f t="shared" si="11"/>
        <v>496.09676608956136</v>
      </c>
      <c r="CD28" s="59">
        <f ca="1">AVERAGE(OFFSET($CC$3,0,0,'Données projet'!$E$12+1,1))-AVERAGE(OFFSET($H$3,0,0,'Données projet'!$E$12+1,1))</f>
        <v>225.2323446080772</v>
      </c>
      <c r="CE28" s="59">
        <f t="shared" si="40"/>
        <v>222.29030402759292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28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>
        <f>VLOOKUP(A28,'Données projet'!$A$139:$I$159,2,0)</f>
        <v>86</v>
      </c>
      <c r="CR28" s="12">
        <f>VLOOKUP(A28,'Données projet'!$A$139:$I$159,9,0)</f>
        <v>10</v>
      </c>
      <c r="CS28" s="12">
        <f t="array" ref="CS28">INDEX(CR:CR,MIN(IF(ISNUMBER(CR28:CR224),ROW(CR28:CR224),"")))</f>
        <v>10</v>
      </c>
      <c r="CT28" s="12">
        <f>IF('Données projet'!$A$140&gt;35,CT27+CS28-DB27,IF(A28&lt;'Données projet'!$A$140,$CQ$205^A28,IF(A28='Données projet'!$A$140,'Données projet'!$B$140,CT27+CS28-DB27)))</f>
        <v>86</v>
      </c>
      <c r="CU28" s="17">
        <f>CT28*VLOOKUP('Données projet'!$B$13,Paramètres!$A$1:$I$89,3,0)*VLOOKUP('Données projet'!$B$13,Paramètres!$A$1:$I$89,5,0)</f>
        <v>83.179200000000009</v>
      </c>
      <c r="CV28" s="13">
        <f t="shared" si="41"/>
        <v>22.912743234826866</v>
      </c>
      <c r="CW28" s="20">
        <f t="shared" si="13"/>
        <v>184.77680113399015</v>
      </c>
      <c r="CX28" s="59">
        <f t="shared" si="14"/>
        <v>478.11013446732346</v>
      </c>
      <c r="CY28" s="59">
        <f ca="1">AVERAGE(OFFSET($CX$3,0,0,'Données projet'!$E$13+1,1))-AVERAGE(OFFSET($H$3,0,0,'Données projet'!$E$13+1,1))</f>
        <v>212.32823943192528</v>
      </c>
      <c r="CZ28" s="59">
        <f t="shared" si="42"/>
        <v>209.60834138503003</v>
      </c>
      <c r="DA28" s="15">
        <f>IF(ISNA(VLOOKUP(A28,'Données projet'!$A$139:$I$159,3,0)),0,VLOOKUP(A28,'Données projet'!$A$139:$I$159,3,0))</f>
        <v>2</v>
      </c>
      <c r="DB28" s="15">
        <f>IF(ISNA(VLOOKUP(A28,'Données projet'!$A$139:$I$159,4,0)),0,VLOOKUP(A28,'Données projet'!$A$139:$I$159,4,0))</f>
        <v>21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>
        <f>VLOOKUP(A28,'Données projet'!$A$165:$I$185,2,0)</f>
        <v>89</v>
      </c>
      <c r="DM28" s="12">
        <f>VLOOKUP(A28,'Données projet'!$A$165:$I$185,9,0)</f>
        <v>3.56</v>
      </c>
      <c r="DN28" s="12">
        <f t="array" ref="DN28">INDEX(DM:DM,MIN(IF(ISNUMBER(DM28:DM224),ROW(DM28:DM224),"")))</f>
        <v>3.56</v>
      </c>
      <c r="DO28" s="12">
        <f>IF('Données projet'!$A$166&gt;35,DO27+DN28-DW27,IF(A28&lt;'Données projet'!$A$166,$DL$205^A28,IF(A28='Données projet'!$A$166,'Données projet'!$B$166,DO27+DN28-DW27)))</f>
        <v>89</v>
      </c>
      <c r="DP28" s="17">
        <f>DO28*VLOOKUP('Données projet'!$B$14,Paramètres!$A$1:$I$89,3,0)*VLOOKUP('Données projet'!$B$14,Paramètres!$A$1:$I$89,5,0)</f>
        <v>69.42</v>
      </c>
      <c r="DQ28" s="13">
        <f t="shared" si="43"/>
        <v>19.529353456978352</v>
      </c>
      <c r="DR28" s="20">
        <f t="shared" si="16"/>
        <v>154.92012393757065</v>
      </c>
      <c r="DS28" s="59">
        <f t="shared" si="17"/>
        <v>448.25345727090394</v>
      </c>
      <c r="DT28" s="59">
        <f ca="1">AVERAGE(OFFSET($DS$3,0,0,'Données projet'!$E$14+1,1))-AVERAGE(OFFSET($H$3,0,0,'Données projet'!$E$14+1,1))</f>
        <v>215.84581110302656</v>
      </c>
      <c r="DU28" s="59">
        <f t="shared" si="44"/>
        <v>193.88588526156104</v>
      </c>
      <c r="DV28" s="15">
        <f>IF(ISNA(VLOOKUP(A28,'Données projet'!$A$165:$I$185,3,0)),0,VLOOKUP(A28,'Données projet'!$A$165:$I$185,3,0))</f>
        <v>1</v>
      </c>
      <c r="DW28" s="15">
        <f>IF(ISNA(VLOOKUP(A28,'Données projet'!$A$165:$I$185,4,0)),0,VLOOKUP(A28,'Données projet'!$A$165:$I$185,4,0))</f>
        <v>28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6">
        <f t="shared" si="1"/>
        <v>322.59512213389104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16.616666666666664</v>
      </c>
      <c r="N29" s="13">
        <f>IF('Données projet'!$A$36&gt;35,N28+M29-V28,IF(A29&lt;'Données projet'!$A$36,$K$205^A29,IF(A29='Données projet'!$A$36,'Données projet'!$B$36,N28+M29-V28)))</f>
        <v>213.53333333333336</v>
      </c>
      <c r="O29" s="13">
        <f>N29*VLOOKUP('Données projet'!$B$9,Paramètres!$A$1:$I$89,3,0)*VLOOKUP('Données projet'!$B$9,Paramètres!$A$1:$I$89,5,0)</f>
        <v>133.24480000000003</v>
      </c>
      <c r="P29" s="13">
        <f t="shared" si="33"/>
        <v>34.745058146398875</v>
      </c>
      <c r="Q29" s="20">
        <f t="shared" si="2"/>
        <v>292.58233627164475</v>
      </c>
      <c r="R29" s="59">
        <f t="shared" si="0"/>
        <v>585.91566960497812</v>
      </c>
      <c r="S29" s="59">
        <f ca="1">AVERAGE(OFFSET($R$3,0,0,'Données projet'!$E$9+1,1))-AVERAGE(OFFSET($H$3,0,0,'Données projet'!$E$9+1,1))</f>
        <v>269.77739619445515</v>
      </c>
      <c r="T29" s="59">
        <f t="shared" si="34"/>
        <v>347.56964743629885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67.901265898106246</v>
      </c>
      <c r="AB29" s="21">
        <f>EXP(-LN(2)/2)*AB28+(1-EXP(-LN(2)/2))/(LN(2)/2)*V29*Y29*VLOOKUP('Données projet'!$B$9,Paramètres!$A$1:$I$89,3,0)*0.475*44/12</f>
        <v>9.9353384107947418E-2</v>
      </c>
      <c r="AC29" s="22">
        <f t="shared" si="3"/>
        <v>68.000619282214188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28.6</v>
      </c>
      <c r="AI29" s="13">
        <f>IF('Données projet'!$A$62&gt;35,AI28+AH29-AQ28,IF(A29&lt;'Données projet'!$A$62,$AF$205^A29,IF(A29='Données projet'!$A$62,'Données projet'!$B$62,AI28+AH29-AQ28)))</f>
        <v>227.60000000000002</v>
      </c>
      <c r="AJ29" s="13">
        <f>AI29*VLOOKUP('Données projet'!$B$10,Paramètres!$A$1:$I$89,3,0)*VLOOKUP('Données projet'!$B$10,Paramètres!$A$1:$I$89,5,0)</f>
        <v>112.43440000000002</v>
      </c>
      <c r="AK29" s="13">
        <f t="shared" si="35"/>
        <v>29.90381545328005</v>
      </c>
      <c r="AL29" s="20">
        <f t="shared" si="4"/>
        <v>247.90572524779614</v>
      </c>
      <c r="AM29" s="59">
        <f t="shared" si="5"/>
        <v>541.23905858112948</v>
      </c>
      <c r="AN29" s="59">
        <f ca="1">AVERAGE(OFFSET($AM$3,0,0,'Données projet'!$E$10+1,1))-AVERAGE(OFFSET($H$3,0,0,'Données projet'!$E$10+1,1))</f>
        <v>396.27049617044378</v>
      </c>
      <c r="AO29" s="59">
        <f t="shared" si="36"/>
        <v>335.2680289568774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24.443392240355063</v>
      </c>
      <c r="AW29" s="21">
        <f>EXP(-LN(2)/2)*AW28+(1-EXP(-LN(2)/2))/(LN(2)/2)*AQ29*AT29*VLOOKUP('Données projet'!$B$10,Paramètres!$A$1:$I$89,3,0)*0.475*44/12</f>
        <v>1.5381375761897047</v>
      </c>
      <c r="AX29" s="21">
        <f t="shared" si="6"/>
        <v>25.981529816544768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9.4</v>
      </c>
      <c r="BD29" s="12">
        <f>IF('Données projet'!$A$88&gt;35,BD28+BC29-BL28,IF(A29&lt;'Données projet'!$A$88,$BA$205^A29,IF(A29='Données projet'!$A$88,'Données projet'!$B$88,BD28+BC29-BL28)))</f>
        <v>78.399999999999991</v>
      </c>
      <c r="BE29" s="13">
        <f>BD29*VLOOKUP('Données projet'!$B$11,Paramètres!$A$1:$I$89,3,0)*VLOOKUP('Données projet'!$B$11,Paramètres!$A$1:$I$89,5,0)</f>
        <v>67.267200000000003</v>
      </c>
      <c r="BF29" s="13">
        <f t="shared" si="37"/>
        <v>18.993242158132926</v>
      </c>
      <c r="BG29" s="20">
        <f t="shared" si="7"/>
        <v>150.23693675874819</v>
      </c>
      <c r="BH29" s="59">
        <f t="shared" si="8"/>
        <v>443.5702700920815</v>
      </c>
      <c r="BI29" s="59">
        <f ca="1">AVERAGE(OFFSET($BH$3,0,0,'Données projet'!$E$11+1,1))-AVERAGE(OFFSET($H$3,0,0,'Données projet'!$E$11+1,1))</f>
        <v>352.61091660077574</v>
      </c>
      <c r="BJ29" s="59">
        <f t="shared" si="38"/>
        <v>186.48649111821521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11.8</v>
      </c>
      <c r="BY29" s="12">
        <f>IF('Données projet'!$A$114&gt;35,BY28+BX29-CG28,IF(A29&lt;'Données projet'!$A$114,$BV$205^A29,IF(A29='Données projet'!$A$114,'Données projet'!$B$114,BY28+BX29-CG28)))</f>
        <v>98.799999999999969</v>
      </c>
      <c r="BZ29" s="13">
        <f>BY29*VLOOKUP('Données projet'!$B$12,Paramètres!$A$1:$I$89,3,0)*VLOOKUP('Données projet'!$B$12,Paramètres!$A$1:$I$89,5,0)</f>
        <v>78.605279999999979</v>
      </c>
      <c r="CA29" s="13">
        <f t="shared" si="39"/>
        <v>21.795819556945734</v>
      </c>
      <c r="CB29" s="20">
        <f t="shared" si="10"/>
        <v>174.86524839501377</v>
      </c>
      <c r="CC29" s="59">
        <f t="shared" si="11"/>
        <v>468.19858172834711</v>
      </c>
      <c r="CD29" s="59">
        <f ca="1">AVERAGE(OFFSET($CC$3,0,0,'Données projet'!$E$12+1,1))-AVERAGE(OFFSET($H$3,0,0,'Données projet'!$E$12+1,1))</f>
        <v>225.2323446080772</v>
      </c>
      <c r="CE29" s="59">
        <f t="shared" si="40"/>
        <v>222.29030402759292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9.8000000000000007</v>
      </c>
      <c r="CT29" s="12">
        <f>IF('Données projet'!$A$140&gt;35,CT28+CS29-DB28,IF(A29&lt;'Données projet'!$A$140,$CQ$205^A29,IF(A29='Données projet'!$A$140,'Données projet'!$B$140,CT28+CS29-DB28)))</f>
        <v>74.8</v>
      </c>
      <c r="CU29" s="17">
        <f>CT29*VLOOKUP('Données projet'!$B$13,Paramètres!$A$1:$I$89,3,0)*VLOOKUP('Données projet'!$B$13,Paramètres!$A$1:$I$89,5,0)</f>
        <v>72.346559999999997</v>
      </c>
      <c r="CV29" s="13">
        <f t="shared" si="41"/>
        <v>20.255068147402529</v>
      </c>
      <c r="CW29" s="20">
        <f t="shared" si="13"/>
        <v>161.28116902339272</v>
      </c>
      <c r="CX29" s="59">
        <f t="shared" si="14"/>
        <v>454.61450235672601</v>
      </c>
      <c r="CY29" s="59">
        <f ca="1">AVERAGE(OFFSET($CX$3,0,0,'Données projet'!$E$13+1,1))-AVERAGE(OFFSET($H$3,0,0,'Données projet'!$E$13+1,1))</f>
        <v>212.32823943192528</v>
      </c>
      <c r="CZ29" s="59">
        <f t="shared" si="42"/>
        <v>209.60834138503003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14.2</v>
      </c>
      <c r="DO29" s="12">
        <f>IF('Données projet'!$A$166&gt;35,DO28+DN29-DW28,IF(A29&lt;'Données projet'!$A$166,$DL$205^A29,IF(A29='Données projet'!$A$166,'Données projet'!$B$166,DO28+DN29-DW28)))</f>
        <v>75.2</v>
      </c>
      <c r="DP29" s="17">
        <f>DO29*VLOOKUP('Données projet'!$B$14,Paramètres!$A$1:$I$89,3,0)*VLOOKUP('Données projet'!$B$14,Paramètres!$A$1:$I$89,5,0)</f>
        <v>58.656000000000006</v>
      </c>
      <c r="DQ29" s="13">
        <f t="shared" si="43"/>
        <v>16.828016909929076</v>
      </c>
      <c r="DR29" s="20">
        <f t="shared" si="16"/>
        <v>131.46799611812648</v>
      </c>
      <c r="DS29" s="59">
        <f t="shared" si="17"/>
        <v>424.80132945145976</v>
      </c>
      <c r="DT29" s="59">
        <f ca="1">AVERAGE(OFFSET($DS$3,0,0,'Données projet'!$E$14+1,1))-AVERAGE(OFFSET($H$3,0,0,'Données projet'!$E$14+1,1))</f>
        <v>215.84581110302656</v>
      </c>
      <c r="DU29" s="59">
        <f t="shared" si="44"/>
        <v>193.88588526156104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6">
        <f t="shared" si="1"/>
        <v>323.68652481841508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16.616666666666664</v>
      </c>
      <c r="N30" s="13">
        <f>IF('Données projet'!$A$36&gt;35,N29+M30-V29,IF(A30&lt;'Données projet'!$A$36,$K$205^A30,IF(A30='Données projet'!$A$36,'Données projet'!$B$36,N29+M30-V29)))</f>
        <v>230.15000000000003</v>
      </c>
      <c r="O30" s="13">
        <f>N30*VLOOKUP('Données projet'!$B$9,Paramètres!$A$1:$I$89,3,0)*VLOOKUP('Données projet'!$B$9,Paramètres!$A$1:$I$89,5,0)</f>
        <v>143.61360000000002</v>
      </c>
      <c r="P30" s="13">
        <f t="shared" si="33"/>
        <v>37.123598716010569</v>
      </c>
      <c r="Q30" s="20">
        <f t="shared" si="2"/>
        <v>314.78395443038511</v>
      </c>
      <c r="R30" s="59">
        <f t="shared" si="0"/>
        <v>608.11728776371842</v>
      </c>
      <c r="S30" s="59">
        <f ca="1">AVERAGE(OFFSET($R$3,0,0,'Données projet'!$E$9+1,1))-AVERAGE(OFFSET($H$3,0,0,'Données projet'!$E$9+1,1))</f>
        <v>269.77739619445515</v>
      </c>
      <c r="T30" s="59">
        <f t="shared" si="34"/>
        <v>347.56964743629885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66.044502211350149</v>
      </c>
      <c r="AB30" s="21">
        <f>EXP(-LN(2)/2)*AB29+(1-EXP(-LN(2)/2))/(LN(2)/2)*V30*Y30*VLOOKUP('Données projet'!$B$9,Paramètres!$A$1:$I$89,3,0)*0.475*44/12</f>
        <v>7.0253451636561381E-2</v>
      </c>
      <c r="AC30" s="22">
        <f t="shared" si="3"/>
        <v>66.11475566298671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28.6</v>
      </c>
      <c r="AI30" s="13">
        <f>IF('Données projet'!$A$62&gt;35,AI29+AH30-AQ29,IF(A30&lt;'Données projet'!$A$62,$AF$205^A30,IF(A30='Données projet'!$A$62,'Données projet'!$B$62,AI29+AH30-AQ29)))</f>
        <v>256.20000000000005</v>
      </c>
      <c r="AJ30" s="13">
        <f>AI30*VLOOKUP('Données projet'!$B$10,Paramètres!$A$1:$I$89,3,0)*VLOOKUP('Données projet'!$B$10,Paramètres!$A$1:$I$89,5,0)</f>
        <v>126.56280000000004</v>
      </c>
      <c r="AK30" s="13">
        <f t="shared" si="35"/>
        <v>33.200888958015447</v>
      </c>
      <c r="AL30" s="20">
        <f t="shared" si="4"/>
        <v>278.25509160187693</v>
      </c>
      <c r="AM30" s="59">
        <f t="shared" si="5"/>
        <v>571.58842493521024</v>
      </c>
      <c r="AN30" s="59">
        <f ca="1">AVERAGE(OFFSET($AM$3,0,0,'Données projet'!$E$10+1,1))-AVERAGE(OFFSET($H$3,0,0,'Données projet'!$E$10+1,1))</f>
        <v>396.27049617044378</v>
      </c>
      <c r="AO30" s="59">
        <f t="shared" si="36"/>
        <v>335.2680289568774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23.774986394120422</v>
      </c>
      <c r="AW30" s="21">
        <f>EXP(-LN(2)/2)*AW29+(1-EXP(-LN(2)/2))/(LN(2)/2)*AQ30*AT30*VLOOKUP('Données projet'!$B$10,Paramètres!$A$1:$I$89,3,0)*0.475*44/12</f>
        <v>1.0876275105215802</v>
      </c>
      <c r="AX30" s="21">
        <f t="shared" si="6"/>
        <v>24.862613904642004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9.4</v>
      </c>
      <c r="BD30" s="12">
        <f>IF('Données projet'!$A$88&gt;35,BD29+BC30-BL29,IF(A30&lt;'Données projet'!$A$88,$BA$205^A30,IF(A30='Données projet'!$A$88,'Données projet'!$B$88,BD29+BC30-BL29)))</f>
        <v>87.8</v>
      </c>
      <c r="BE30" s="13">
        <f>BD30*VLOOKUP('Données projet'!$B$11,Paramètres!$A$1:$I$89,3,0)*VLOOKUP('Données projet'!$B$11,Paramètres!$A$1:$I$89,5,0)</f>
        <v>75.332400000000007</v>
      </c>
      <c r="BF30" s="13">
        <f t="shared" si="37"/>
        <v>20.991969498724234</v>
      </c>
      <c r="BG30" s="20">
        <f t="shared" si="7"/>
        <v>167.76494354361137</v>
      </c>
      <c r="BH30" s="59">
        <f t="shared" si="8"/>
        <v>461.09827687694468</v>
      </c>
      <c r="BI30" s="59">
        <f ca="1">AVERAGE(OFFSET($BH$3,0,0,'Données projet'!$E$11+1,1))-AVERAGE(OFFSET($H$3,0,0,'Données projet'!$E$11+1,1))</f>
        <v>352.61091660077574</v>
      </c>
      <c r="BJ30" s="59">
        <f t="shared" si="38"/>
        <v>186.48649111821521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11.8</v>
      </c>
      <c r="BY30" s="12">
        <f>IF('Données projet'!$A$114&gt;35,BY29+BX30-CG29,IF(A30&lt;'Données projet'!$A$114,$BV$205^A30,IF(A30='Données projet'!$A$114,'Données projet'!$B$114,BY29+BX30-CG29)))</f>
        <v>110.59999999999997</v>
      </c>
      <c r="BZ30" s="13">
        <f>BY30*VLOOKUP('Données projet'!$B$12,Paramètres!$A$1:$I$89,3,0)*VLOOKUP('Données projet'!$B$12,Paramètres!$A$1:$I$89,5,0)</f>
        <v>87.993359999999981</v>
      </c>
      <c r="CA30" s="13">
        <f t="shared" si="39"/>
        <v>24.080638481970816</v>
      </c>
      <c r="CB30" s="20">
        <f t="shared" si="10"/>
        <v>195.19554735609913</v>
      </c>
      <c r="CC30" s="59">
        <f t="shared" si="11"/>
        <v>488.52888068943241</v>
      </c>
      <c r="CD30" s="59">
        <f ca="1">AVERAGE(OFFSET($CC$3,0,0,'Données projet'!$E$12+1,1))-AVERAGE(OFFSET($H$3,0,0,'Données projet'!$E$12+1,1))</f>
        <v>225.2323446080772</v>
      </c>
      <c r="CE30" s="59">
        <f t="shared" si="40"/>
        <v>222.29030402759292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9.8000000000000007</v>
      </c>
      <c r="CT30" s="12">
        <f>IF('Données projet'!$A$140&gt;35,CT29+CS30-DB29,IF(A30&lt;'Données projet'!$A$140,$CQ$205^A30,IF(A30='Données projet'!$A$140,'Données projet'!$B$140,CT29+CS30-DB29)))</f>
        <v>84.6</v>
      </c>
      <c r="CU30" s="17">
        <f>CT30*VLOOKUP('Données projet'!$B$13,Paramètres!$A$1:$I$89,3,0)*VLOOKUP('Données projet'!$B$13,Paramètres!$A$1:$I$89,5,0)</f>
        <v>81.825119999999998</v>
      </c>
      <c r="CV30" s="13">
        <f t="shared" si="41"/>
        <v>22.582847906191663</v>
      </c>
      <c r="CW30" s="20">
        <f t="shared" si="13"/>
        <v>181.84387743661713</v>
      </c>
      <c r="CX30" s="59">
        <f t="shared" si="14"/>
        <v>475.17721076995042</v>
      </c>
      <c r="CY30" s="59">
        <f ca="1">AVERAGE(OFFSET($CX$3,0,0,'Données projet'!$E$13+1,1))-AVERAGE(OFFSET($H$3,0,0,'Données projet'!$E$13+1,1))</f>
        <v>212.32823943192528</v>
      </c>
      <c r="CZ30" s="59">
        <f t="shared" si="42"/>
        <v>209.60834138503003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14.2</v>
      </c>
      <c r="DO30" s="12">
        <f>IF('Données projet'!$A$166&gt;35,DO29+DN30-DW29,IF(A30&lt;'Données projet'!$A$166,$DL$205^A30,IF(A30='Données projet'!$A$166,'Données projet'!$B$166,DO29+DN30-DW29)))</f>
        <v>89.4</v>
      </c>
      <c r="DP30" s="17">
        <f>DO30*VLOOKUP('Données projet'!$B$14,Paramètres!$A$1:$I$89,3,0)*VLOOKUP('Données projet'!$B$14,Paramètres!$A$1:$I$89,5,0)</f>
        <v>69.732000000000014</v>
      </c>
      <c r="DQ30" s="13">
        <f t="shared" si="43"/>
        <v>19.606888874982506</v>
      </c>
      <c r="DR30" s="20">
        <f t="shared" si="16"/>
        <v>155.59856479059454</v>
      </c>
      <c r="DS30" s="59">
        <f t="shared" si="17"/>
        <v>448.93189812392785</v>
      </c>
      <c r="DT30" s="59">
        <f ca="1">AVERAGE(OFFSET($DS$3,0,0,'Données projet'!$E$14+1,1))-AVERAGE(OFFSET($H$3,0,0,'Données projet'!$E$14+1,1))</f>
        <v>215.84581110302656</v>
      </c>
      <c r="DU30" s="59">
        <f t="shared" si="44"/>
        <v>193.88588526156104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6">
        <f t="shared" si="1"/>
        <v>324.77683603237602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16.616666666666664</v>
      </c>
      <c r="N31" s="13">
        <f>IF('Données projet'!$A$36&gt;35,N30+M31-V30,IF(A31&lt;'Données projet'!$A$36,$K$205^A31,IF(A31='Données projet'!$A$36,'Données projet'!$B$36,N30+M31-V30)))</f>
        <v>246.76666666666671</v>
      </c>
      <c r="O31" s="13">
        <f>N31*VLOOKUP('Données projet'!$B$9,Paramètres!$A$1:$I$89,3,0)*VLOOKUP('Données projet'!$B$9,Paramètres!$A$1:$I$89,5,0)</f>
        <v>153.98240000000004</v>
      </c>
      <c r="P31" s="13">
        <f t="shared" si="33"/>
        <v>39.482215533662355</v>
      </c>
      <c r="Q31" s="20">
        <f t="shared" si="2"/>
        <v>336.95087205446197</v>
      </c>
      <c r="R31" s="59">
        <f t="shared" si="0"/>
        <v>630.28420538779528</v>
      </c>
      <c r="S31" s="59">
        <f ca="1">AVERAGE(OFFSET($R$3,0,0,'Données projet'!$E$9+1,1))-AVERAGE(OFFSET($H$3,0,0,'Données projet'!$E$9+1,1))</f>
        <v>269.77739619445515</v>
      </c>
      <c r="T31" s="59">
        <f t="shared" si="34"/>
        <v>347.56964743629885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64.238511825251351</v>
      </c>
      <c r="AB31" s="21">
        <f>EXP(-LN(2)/2)*AB30+(1-EXP(-LN(2)/2))/(LN(2)/2)*V31*Y31*VLOOKUP('Données projet'!$B$9,Paramètres!$A$1:$I$89,3,0)*0.475*44/12</f>
        <v>4.9676692053973709E-2</v>
      </c>
      <c r="AC31" s="22">
        <f t="shared" si="3"/>
        <v>64.288188517305329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28.6</v>
      </c>
      <c r="AI31" s="13">
        <f>IF('Données projet'!$A$62&gt;35,AI30+AH31-AQ30,IF(A31&lt;'Données projet'!$A$62,$AF$205^A31,IF(A31='Données projet'!$A$62,'Données projet'!$B$62,AI30+AH31-AQ30)))</f>
        <v>284.80000000000007</v>
      </c>
      <c r="AJ31" s="13">
        <f>AI31*VLOOKUP('Données projet'!$B$10,Paramètres!$A$1:$I$89,3,0)*VLOOKUP('Données projet'!$B$10,Paramètres!$A$1:$I$89,5,0)</f>
        <v>140.69120000000004</v>
      </c>
      <c r="AK31" s="13">
        <f t="shared" si="35"/>
        <v>36.455304293337086</v>
      </c>
      <c r="AL31" s="20">
        <f t="shared" si="4"/>
        <v>308.53016164422883</v>
      </c>
      <c r="AM31" s="59">
        <f t="shared" si="5"/>
        <v>601.86349497756214</v>
      </c>
      <c r="AN31" s="59">
        <f ca="1">AVERAGE(OFFSET($AM$3,0,0,'Données projet'!$E$10+1,1))-AVERAGE(OFFSET($H$3,0,0,'Données projet'!$E$10+1,1))</f>
        <v>396.27049617044378</v>
      </c>
      <c r="AO31" s="59">
        <f t="shared" si="36"/>
        <v>335.2680289568774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23.124858140901004</v>
      </c>
      <c r="AW31" s="21">
        <f>EXP(-LN(2)/2)*AW30+(1-EXP(-LN(2)/2))/(LN(2)/2)*AQ31*AT31*VLOOKUP('Données projet'!$B$10,Paramètres!$A$1:$I$89,3,0)*0.475*44/12</f>
        <v>0.76906878809485246</v>
      </c>
      <c r="AX31" s="21">
        <f t="shared" si="6"/>
        <v>23.893926928995857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9.4</v>
      </c>
      <c r="BD31" s="12">
        <f>IF('Données projet'!$A$88&gt;35,BD30+BC31-BL30,IF(A31&lt;'Données projet'!$A$88,$BA$205^A31,IF(A31='Données projet'!$A$88,'Données projet'!$B$88,BD30+BC31-BL30)))</f>
        <v>97.2</v>
      </c>
      <c r="BE31" s="13">
        <f>BD31*VLOOKUP('Données projet'!$B$11,Paramètres!$A$1:$I$89,3,0)*VLOOKUP('Données projet'!$B$11,Paramètres!$A$1:$I$89,5,0)</f>
        <v>83.397600000000011</v>
      </c>
      <c r="BF31" s="13">
        <f t="shared" si="37"/>
        <v>22.965893371329315</v>
      </c>
      <c r="BG31" s="20">
        <f t="shared" si="7"/>
        <v>185.24975095506522</v>
      </c>
      <c r="BH31" s="59">
        <f t="shared" si="8"/>
        <v>478.58308428839854</v>
      </c>
      <c r="BI31" s="59">
        <f ca="1">AVERAGE(OFFSET($BH$3,0,0,'Données projet'!$E$11+1,1))-AVERAGE(OFFSET($H$3,0,0,'Données projet'!$E$11+1,1))</f>
        <v>352.61091660077574</v>
      </c>
      <c r="BJ31" s="59">
        <f t="shared" si="38"/>
        <v>186.48649111821521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11.8</v>
      </c>
      <c r="BY31" s="12">
        <f>IF('Données projet'!$A$114&gt;35,BY30+BX31-CG30,IF(A31&lt;'Données projet'!$A$114,$BV$205^A31,IF(A31='Données projet'!$A$114,'Données projet'!$B$114,BY30+BX31-CG30)))</f>
        <v>122.39999999999996</v>
      </c>
      <c r="BZ31" s="13">
        <f>BY31*VLOOKUP('Données projet'!$B$12,Paramètres!$A$1:$I$89,3,0)*VLOOKUP('Données projet'!$B$12,Paramètres!$A$1:$I$89,5,0)</f>
        <v>97.381439999999984</v>
      </c>
      <c r="CA31" s="13">
        <f t="shared" si="39"/>
        <v>26.337201615555198</v>
      </c>
      <c r="CB31" s="20">
        <f t="shared" si="10"/>
        <v>215.47663414709197</v>
      </c>
      <c r="CC31" s="59">
        <f t="shared" si="11"/>
        <v>508.80996748042526</v>
      </c>
      <c r="CD31" s="59">
        <f ca="1">AVERAGE(OFFSET($CC$3,0,0,'Données projet'!$E$12+1,1))-AVERAGE(OFFSET($H$3,0,0,'Données projet'!$E$12+1,1))</f>
        <v>225.2323446080772</v>
      </c>
      <c r="CE31" s="59">
        <f t="shared" si="40"/>
        <v>222.29030402759292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9.8000000000000007</v>
      </c>
      <c r="CT31" s="12">
        <f>IF('Données projet'!$A$140&gt;35,CT30+CS31-DB30,IF(A31&lt;'Données projet'!$A$140,$CQ$205^A31,IF(A31='Données projet'!$A$140,'Données projet'!$B$140,CT30+CS31-DB30)))</f>
        <v>94.399999999999991</v>
      </c>
      <c r="CU31" s="17">
        <f>CT31*VLOOKUP('Données projet'!$B$13,Paramètres!$A$1:$I$89,3,0)*VLOOKUP('Données projet'!$B$13,Paramètres!$A$1:$I$89,5,0)</f>
        <v>91.303679999999986</v>
      </c>
      <c r="CV31" s="13">
        <f t="shared" si="41"/>
        <v>24.879377567883296</v>
      </c>
      <c r="CW31" s="20">
        <f t="shared" si="13"/>
        <v>202.35215859739671</v>
      </c>
      <c r="CX31" s="59">
        <f t="shared" si="14"/>
        <v>495.68549193073</v>
      </c>
      <c r="CY31" s="59">
        <f ca="1">AVERAGE(OFFSET($CX$3,0,0,'Données projet'!$E$13+1,1))-AVERAGE(OFFSET($H$3,0,0,'Données projet'!$E$13+1,1))</f>
        <v>212.32823943192528</v>
      </c>
      <c r="CZ31" s="59">
        <f t="shared" si="42"/>
        <v>209.60834138503003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14.2</v>
      </c>
      <c r="DO31" s="12">
        <f>IF('Données projet'!$A$166&gt;35,DO30+DN31-DW30,IF(A31&lt;'Données projet'!$A$166,$DL$205^A31,IF(A31='Données projet'!$A$166,'Données projet'!$B$166,DO30+DN31-DW30)))</f>
        <v>103.60000000000001</v>
      </c>
      <c r="DP31" s="17">
        <f>DO31*VLOOKUP('Données projet'!$B$14,Paramètres!$A$1:$I$89,3,0)*VLOOKUP('Données projet'!$B$14,Paramètres!$A$1:$I$89,5,0)</f>
        <v>80.808000000000007</v>
      </c>
      <c r="DQ31" s="13">
        <f t="shared" si="43"/>
        <v>22.334628633536209</v>
      </c>
      <c r="DR31" s="20">
        <f t="shared" si="16"/>
        <v>179.64007820340893</v>
      </c>
      <c r="DS31" s="59">
        <f t="shared" si="17"/>
        <v>472.97341153674222</v>
      </c>
      <c r="DT31" s="59">
        <f ca="1">AVERAGE(OFFSET($DS$3,0,0,'Données projet'!$E$14+1,1))-AVERAGE(OFFSET($H$3,0,0,'Données projet'!$E$14+1,1))</f>
        <v>215.84581110302656</v>
      </c>
      <c r="DU31" s="59">
        <f t="shared" si="44"/>
        <v>193.88588526156104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6">
        <f t="shared" si="1"/>
        <v>325.86609922271543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16.616666666666664</v>
      </c>
      <c r="N32" s="13">
        <f>IF('Données projet'!$A$36&gt;35,N31+M32-V31,IF(A32&lt;'Données projet'!$A$36,$K$205^A32,IF(A32='Données projet'!$A$36,'Données projet'!$B$36,N31+M32-V31)))</f>
        <v>263.38333333333338</v>
      </c>
      <c r="O32" s="13">
        <f>N32*VLOOKUP('Données projet'!$B$9,Paramètres!$A$1:$I$89,3,0)*VLOOKUP('Données projet'!$B$9,Paramètres!$A$1:$I$89,5,0)</f>
        <v>164.35120000000003</v>
      </c>
      <c r="P32" s="13">
        <f t="shared" si="33"/>
        <v>41.822402860152515</v>
      </c>
      <c r="Q32" s="20">
        <f t="shared" si="2"/>
        <v>359.08569164809904</v>
      </c>
      <c r="R32" s="59">
        <f t="shared" si="0"/>
        <v>652.41902498143236</v>
      </c>
      <c r="S32" s="59">
        <f ca="1">AVERAGE(OFFSET($R$3,0,0,'Données projet'!$E$9+1,1))-AVERAGE(OFFSET($H$3,0,0,'Données projet'!$E$9+1,1))</f>
        <v>269.77739619445515</v>
      </c>
      <c r="T32" s="59">
        <f t="shared" si="34"/>
        <v>347.56964743629885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62.481906341233334</v>
      </c>
      <c r="AB32" s="21">
        <f>EXP(-LN(2)/2)*AB31+(1-EXP(-LN(2)/2))/(LN(2)/2)*V32*Y32*VLOOKUP('Données projet'!$B$9,Paramètres!$A$1:$I$89,3,0)*0.475*44/12</f>
        <v>3.5126725818280691E-2</v>
      </c>
      <c r="AC32" s="22">
        <f t="shared" si="3"/>
        <v>62.517033067051614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28.6</v>
      </c>
      <c r="AI32" s="13">
        <f>IF('Données projet'!$A$62&gt;35,AI31+AH32-AQ31,IF(A32&lt;'Données projet'!$A$62,$AF$205^A32,IF(A32='Données projet'!$A$62,'Données projet'!$B$62,AI31+AH32-AQ31)))</f>
        <v>313.40000000000009</v>
      </c>
      <c r="AJ32" s="13">
        <f>AI32*VLOOKUP('Données projet'!$B$10,Paramètres!$A$1:$I$89,3,0)*VLOOKUP('Données projet'!$B$10,Paramètres!$A$1:$I$89,5,0)</f>
        <v>154.81960000000007</v>
      </c>
      <c r="AK32" s="13">
        <f t="shared" si="35"/>
        <v>39.671832934054173</v>
      </c>
      <c r="AL32" s="20">
        <f t="shared" si="4"/>
        <v>338.73924569347781</v>
      </c>
      <c r="AM32" s="59">
        <f t="shared" si="5"/>
        <v>632.07257902681113</v>
      </c>
      <c r="AN32" s="59">
        <f ca="1">AVERAGE(OFFSET($AM$3,0,0,'Données projet'!$E$10+1,1))-AVERAGE(OFFSET($H$3,0,0,'Données projet'!$E$10+1,1))</f>
        <v>396.27049617044378</v>
      </c>
      <c r="AO32" s="59">
        <f t="shared" si="36"/>
        <v>335.2680289568774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22.492507678954631</v>
      </c>
      <c r="AW32" s="21">
        <f>EXP(-LN(2)/2)*AW31+(1-EXP(-LN(2)/2))/(LN(2)/2)*AQ32*AT32*VLOOKUP('Données projet'!$B$10,Paramètres!$A$1:$I$89,3,0)*0.475*44/12</f>
        <v>0.54381375526079012</v>
      </c>
      <c r="AX32" s="21">
        <f t="shared" si="6"/>
        <v>23.03632143421542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9.4</v>
      </c>
      <c r="BD32" s="12">
        <f>IF('Données projet'!$A$88&gt;35,BD31+BC32-BL31,IF(A32&lt;'Données projet'!$A$88,$BA$205^A32,IF(A32='Données projet'!$A$88,'Données projet'!$B$88,BD31+BC32-BL31)))</f>
        <v>106.60000000000001</v>
      </c>
      <c r="BE32" s="13">
        <f>BD32*VLOOKUP('Données projet'!$B$11,Paramètres!$A$1:$I$89,3,0)*VLOOKUP('Données projet'!$B$11,Paramètres!$A$1:$I$89,5,0)</f>
        <v>91.462800000000016</v>
      </c>
      <c r="BF32" s="13">
        <f t="shared" si="37"/>
        <v>24.917685409456144</v>
      </c>
      <c r="BG32" s="20">
        <f t="shared" si="7"/>
        <v>202.69601208813614</v>
      </c>
      <c r="BH32" s="59">
        <f t="shared" si="8"/>
        <v>496.02934542146943</v>
      </c>
      <c r="BI32" s="59">
        <f ca="1">AVERAGE(OFFSET($BH$3,0,0,'Données projet'!$E$11+1,1))-AVERAGE(OFFSET($H$3,0,0,'Données projet'!$E$11+1,1))</f>
        <v>352.61091660077574</v>
      </c>
      <c r="BJ32" s="59">
        <f t="shared" si="38"/>
        <v>186.48649111821521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11.8</v>
      </c>
      <c r="BY32" s="12">
        <f>IF('Données projet'!$A$114&gt;35,BY31+BX32-CG31,IF(A32&lt;'Données projet'!$A$114,$BV$205^A32,IF(A32='Données projet'!$A$114,'Données projet'!$B$114,BY31+BX32-CG31)))</f>
        <v>134.19999999999996</v>
      </c>
      <c r="BZ32" s="13">
        <f>BY32*VLOOKUP('Données projet'!$B$12,Paramètres!$A$1:$I$89,3,0)*VLOOKUP('Données projet'!$B$12,Paramètres!$A$1:$I$89,5,0)</f>
        <v>106.76951999999997</v>
      </c>
      <c r="CA32" s="13">
        <f t="shared" si="39"/>
        <v>28.568542914630683</v>
      </c>
      <c r="CB32" s="20">
        <f t="shared" si="10"/>
        <v>235.71379290964839</v>
      </c>
      <c r="CC32" s="59">
        <f t="shared" si="11"/>
        <v>529.04712624298168</v>
      </c>
      <c r="CD32" s="59">
        <f ca="1">AVERAGE(OFFSET($CC$3,0,0,'Données projet'!$E$12+1,1))-AVERAGE(OFFSET($H$3,0,0,'Données projet'!$E$12+1,1))</f>
        <v>225.2323446080772</v>
      </c>
      <c r="CE32" s="59">
        <f t="shared" si="40"/>
        <v>222.29030402759292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9.8000000000000007</v>
      </c>
      <c r="CT32" s="12">
        <f>IF('Données projet'!$A$140&gt;35,CT31+CS32-DB31,IF(A32&lt;'Données projet'!$A$140,$CQ$205^A32,IF(A32='Données projet'!$A$140,'Données projet'!$B$140,CT31+CS32-DB31)))</f>
        <v>104.19999999999999</v>
      </c>
      <c r="CU32" s="17">
        <f>CT32*VLOOKUP('Données projet'!$B$13,Paramètres!$A$1:$I$89,3,0)*VLOOKUP('Données projet'!$B$13,Paramètres!$A$1:$I$89,5,0)</f>
        <v>100.78224</v>
      </c>
      <c r="CV32" s="13">
        <f t="shared" si="41"/>
        <v>27.148270845500655</v>
      </c>
      <c r="CW32" s="20">
        <f t="shared" si="13"/>
        <v>222.81230638924697</v>
      </c>
      <c r="CX32" s="59">
        <f t="shared" si="14"/>
        <v>516.14563972258031</v>
      </c>
      <c r="CY32" s="59">
        <f ca="1">AVERAGE(OFFSET($CX$3,0,0,'Données projet'!$E$13+1,1))-AVERAGE(OFFSET($H$3,0,0,'Données projet'!$E$13+1,1))</f>
        <v>212.32823943192528</v>
      </c>
      <c r="CZ32" s="59">
        <f t="shared" si="42"/>
        <v>209.60834138503003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14.2</v>
      </c>
      <c r="DO32" s="12">
        <f>IF('Données projet'!$A$166&gt;35,DO31+DN32-DW31,IF(A32&lt;'Données projet'!$A$166,$DL$205^A32,IF(A32='Données projet'!$A$166,'Données projet'!$B$166,DO31+DN32-DW31)))</f>
        <v>117.80000000000001</v>
      </c>
      <c r="DP32" s="17">
        <f>DO32*VLOOKUP('Données projet'!$B$14,Paramètres!$A$1:$I$89,3,0)*VLOOKUP('Données projet'!$B$14,Paramètres!$A$1:$I$89,5,0)</f>
        <v>91.884000000000015</v>
      </c>
      <c r="DQ32" s="13">
        <f t="shared" si="43"/>
        <v>25.019051117801563</v>
      </c>
      <c r="DR32" s="20">
        <f t="shared" si="16"/>
        <v>203.60614736350442</v>
      </c>
      <c r="DS32" s="59">
        <f t="shared" si="17"/>
        <v>496.93948069683773</v>
      </c>
      <c r="DT32" s="59">
        <f ca="1">AVERAGE(OFFSET($DS$3,0,0,'Données projet'!$E$14+1,1))-AVERAGE(OFFSET($H$3,0,0,'Données projet'!$E$14+1,1))</f>
        <v>215.84581110302656</v>
      </c>
      <c r="DU32" s="59">
        <f t="shared" si="44"/>
        <v>193.88588526156104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6">
        <f t="shared" si="1"/>
        <v>326.95435467009145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280</v>
      </c>
      <c r="L33" s="12">
        <f>VLOOKUP(A33,'Données projet'!$A$35:$I$55,9,0)</f>
        <v>16.616666666666664</v>
      </c>
      <c r="M33" s="12">
        <f t="array" ref="M33">INDEX(L:L,MIN(IF(ISNUMBER(L33:L229),ROW(L33:L229),"")))</f>
        <v>16.616666666666664</v>
      </c>
      <c r="N33" s="13">
        <f>IF('Données projet'!$A$36&gt;35,N32+M33-V32,IF(A33&lt;'Données projet'!$A$36,$K$205^A33,IF(A33='Données projet'!$A$36,'Données projet'!$B$36,N32+M33-V32)))</f>
        <v>280.00000000000006</v>
      </c>
      <c r="O33" s="13">
        <f>N33*VLOOKUP('Données projet'!$B$9,Paramètres!$A$1:$I$89,3,0)*VLOOKUP('Données projet'!$B$9,Paramètres!$A$1:$I$89,5,0)</f>
        <v>174.72000000000006</v>
      </c>
      <c r="P33" s="13">
        <f t="shared" si="33"/>
        <v>44.145455754865246</v>
      </c>
      <c r="Q33" s="20">
        <f t="shared" si="2"/>
        <v>381.19066877305704</v>
      </c>
      <c r="R33" s="59">
        <f t="shared" si="0"/>
        <v>674.5240021063903</v>
      </c>
      <c r="S33" s="59">
        <f ca="1">AVERAGE(OFFSET($R$3,0,0,'Données projet'!$E$9+1,1))-AVERAGE(OFFSET($H$3,0,0,'Données projet'!$E$9+1,1))</f>
        <v>269.77739619445515</v>
      </c>
      <c r="T33" s="59">
        <f t="shared" si="34"/>
        <v>347.56964743629885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62.6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0.6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91.742191961336417</v>
      </c>
      <c r="AB33" s="21">
        <f>EXP(-LN(2)/2)*AB32+(1-EXP(-LN(2)/2))/(LN(2)/2)*V33*Y33*VLOOKUP('Données projet'!$B$9,Paramètres!$A$1:$I$89,3,0)*0.475*44/12</f>
        <v>2.4838346026986854E-2</v>
      </c>
      <c r="AC33" s="22">
        <f t="shared" si="3"/>
        <v>91.767030307363399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342</v>
      </c>
      <c r="AG33" s="12">
        <f>VLOOKUP(A33,'Données projet'!$A$61:$I$81,9,0)</f>
        <v>28.6</v>
      </c>
      <c r="AH33" s="12">
        <f t="array" ref="AH33">INDEX(AG:AG,MIN(IF(ISNUMBER(AG33:AG229),ROW(AG33:AG229),"")))</f>
        <v>28.6</v>
      </c>
      <c r="AI33" s="13">
        <f>IF('Données projet'!$A$62&gt;35,AI32+AH33-AQ32,IF(A33&lt;'Données projet'!$A$62,$AF$205^A33,IF(A33='Données projet'!$A$62,'Données projet'!$B$62,AI32+AH33-AQ32)))</f>
        <v>342.00000000000011</v>
      </c>
      <c r="AJ33" s="13">
        <f>AI33*VLOOKUP('Données projet'!$B$10,Paramètres!$A$1:$I$89,3,0)*VLOOKUP('Données projet'!$B$10,Paramètres!$A$1:$I$89,5,0)</f>
        <v>168.94800000000006</v>
      </c>
      <c r="AK33" s="13">
        <f t="shared" si="35"/>
        <v>42.854325527446242</v>
      </c>
      <c r="AL33" s="20">
        <f t="shared" si="4"/>
        <v>368.88905029363559</v>
      </c>
      <c r="AM33" s="59">
        <f t="shared" si="5"/>
        <v>662.22238362696885</v>
      </c>
      <c r="AN33" s="59">
        <f ca="1">AVERAGE(OFFSET($AM$3,0,0,'Données projet'!$E$10+1,1))-AVERAGE(OFFSET($H$3,0,0,'Données projet'!$E$10+1,1))</f>
        <v>396.27049617044378</v>
      </c>
      <c r="AO33" s="59">
        <f t="shared" si="36"/>
        <v>335.2680289568774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70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0.55000000000000004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47.008038406330691</v>
      </c>
      <c r="AW33" s="21">
        <f>EXP(-LN(2)/2)*AW32+(1-EXP(-LN(2)/2))/(LN(2)/2)*AQ33*AT33*VLOOKUP('Données projet'!$B$10,Paramètres!$A$1:$I$89,3,0)*0.475*44/12</f>
        <v>0.38453439404742623</v>
      </c>
      <c r="AX33" s="21">
        <f t="shared" si="6"/>
        <v>47.392572800378119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116</v>
      </c>
      <c r="BB33" s="12">
        <f>VLOOKUP(A33,'Données projet'!$A$87:$I$107,9,0)</f>
        <v>9.4</v>
      </c>
      <c r="BC33" s="12">
        <f t="array" ref="BC33">INDEX(BB:BB,MIN(IF(ISNUMBER(BB33:BB229),ROW(BB33:BB229),"")))</f>
        <v>9.4</v>
      </c>
      <c r="BD33" s="12">
        <f>IF('Données projet'!$A$88&gt;35,BD32+BC33-BL32,IF(A33&lt;'Données projet'!$A$88,$BA$205^A33,IF(A33='Données projet'!$A$88,'Données projet'!$B$88,BD32+BC33-BL32)))</f>
        <v>116.00000000000001</v>
      </c>
      <c r="BE33" s="13">
        <f>BD33*VLOOKUP('Données projet'!$B$11,Paramètres!$A$1:$I$89,3,0)*VLOOKUP('Données projet'!$B$11,Paramètres!$A$1:$I$89,5,0)</f>
        <v>99.52800000000002</v>
      </c>
      <c r="BF33" s="13">
        <f t="shared" si="37"/>
        <v>26.849519112903323</v>
      </c>
      <c r="BG33" s="20">
        <f t="shared" si="7"/>
        <v>220.10751245497332</v>
      </c>
      <c r="BH33" s="59">
        <f t="shared" si="8"/>
        <v>513.44084578830666</v>
      </c>
      <c r="BI33" s="59">
        <f ca="1">AVERAGE(OFFSET($BH$3,0,0,'Données projet'!$E$11+1,1))-AVERAGE(OFFSET($H$3,0,0,'Données projet'!$E$11+1,1))</f>
        <v>352.61091660077574</v>
      </c>
      <c r="BJ33" s="59">
        <f t="shared" si="38"/>
        <v>186.48649111821521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28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146</v>
      </c>
      <c r="BW33" s="12">
        <f>VLOOKUP(A33,'Données projet'!$A$113:$I$133,9,0)</f>
        <v>11.8</v>
      </c>
      <c r="BX33" s="12">
        <f t="array" ref="BX33">INDEX(BW:BW,MIN(IF(ISNUMBER(BW33:BW229),ROW(BW33:BW229),"")))</f>
        <v>11.8</v>
      </c>
      <c r="BY33" s="12">
        <f>IF('Données projet'!$A$114&gt;35,BY32+BX33-CG32,IF(A33&lt;'Données projet'!$A$114,$BV$205^A33,IF(A33='Données projet'!$A$114,'Données projet'!$B$114,BY32+BX33-CG32)))</f>
        <v>145.99999999999997</v>
      </c>
      <c r="BZ33" s="13">
        <f>BY33*VLOOKUP('Données projet'!$B$12,Paramètres!$A$1:$I$89,3,0)*VLOOKUP('Données projet'!$B$12,Paramètres!$A$1:$I$89,5,0)</f>
        <v>116.15759999999999</v>
      </c>
      <c r="CA33" s="13">
        <f t="shared" si="39"/>
        <v>30.777132266613055</v>
      </c>
      <c r="CB33" s="20">
        <f t="shared" si="10"/>
        <v>255.91132536435109</v>
      </c>
      <c r="CC33" s="59">
        <f t="shared" si="11"/>
        <v>549.24465869768437</v>
      </c>
      <c r="CD33" s="59">
        <f ca="1">AVERAGE(OFFSET($CC$3,0,0,'Données projet'!$E$12+1,1))-AVERAGE(OFFSET($H$3,0,0,'Données projet'!$E$12+1,1))</f>
        <v>225.2323446080772</v>
      </c>
      <c r="CE33" s="59">
        <f t="shared" si="40"/>
        <v>222.29030402759292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28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114</v>
      </c>
      <c r="CR33" s="12">
        <f>VLOOKUP(A33,'Données projet'!$A$139:$I$159,9,0)</f>
        <v>9.8000000000000007</v>
      </c>
      <c r="CS33" s="12">
        <f t="array" ref="CS33">INDEX(CR:CR,MIN(IF(ISNUMBER(CR33:CR229),ROW(CR33:CR229),"")))</f>
        <v>9.8000000000000007</v>
      </c>
      <c r="CT33" s="12">
        <f>IF('Données projet'!$A$140&gt;35,CT32+CS33-DB32,IF(A33&lt;'Données projet'!$A$140,$CQ$205^A33,IF(A33='Données projet'!$A$140,'Données projet'!$B$140,CT32+CS33-DB32)))</f>
        <v>113.99999999999999</v>
      </c>
      <c r="CU33" s="17">
        <f>CT33*VLOOKUP('Données projet'!$B$13,Paramètres!$A$1:$I$89,3,0)*VLOOKUP('Données projet'!$B$13,Paramètres!$A$1:$I$89,5,0)</f>
        <v>110.26079999999999</v>
      </c>
      <c r="CV33" s="13">
        <f t="shared" si="41"/>
        <v>29.392422615380774</v>
      </c>
      <c r="CW33" s="20">
        <f t="shared" si="13"/>
        <v>243.22936272178819</v>
      </c>
      <c r="CX33" s="59">
        <f t="shared" si="14"/>
        <v>536.56269605512148</v>
      </c>
      <c r="CY33" s="59">
        <f ca="1">AVERAGE(OFFSET($CX$3,0,0,'Données projet'!$E$13+1,1))-AVERAGE(OFFSET($H$3,0,0,'Données projet'!$E$13+1,1))</f>
        <v>212.32823943192528</v>
      </c>
      <c r="CZ33" s="59">
        <f t="shared" si="42"/>
        <v>209.60834138503003</v>
      </c>
      <c r="DA33" s="15">
        <f>IF(ISNA(VLOOKUP(A33,'Données projet'!$A$139:$I$159,3,0)),0,VLOOKUP(A33,'Données projet'!$A$139:$I$159,3,0))</f>
        <v>3</v>
      </c>
      <c r="DB33" s="15">
        <f>IF(ISNA(VLOOKUP(A33,'Données projet'!$A$139:$I$159,4,0)),0,VLOOKUP(A33,'Données projet'!$A$139:$I$159,4,0))</f>
        <v>21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132</v>
      </c>
      <c r="DM33" s="12">
        <f>VLOOKUP(A33,'Données projet'!$A$165:$I$185,9,0)</f>
        <v>14.2</v>
      </c>
      <c r="DN33" s="12">
        <f t="array" ref="DN33">INDEX(DM:DM,MIN(IF(ISNUMBER(DM33:DM229),ROW(DM33:DM229),"")))</f>
        <v>14.2</v>
      </c>
      <c r="DO33" s="12">
        <f>IF('Données projet'!$A$166&gt;35,DO32+DN33-DW32,IF(A33&lt;'Données projet'!$A$166,$DL$205^A33,IF(A33='Données projet'!$A$166,'Données projet'!$B$166,DO32+DN33-DW32)))</f>
        <v>132</v>
      </c>
      <c r="DP33" s="17">
        <f>DO33*VLOOKUP('Données projet'!$B$14,Paramètres!$A$1:$I$89,3,0)*VLOOKUP('Données projet'!$B$14,Paramètres!$A$1:$I$89,5,0)</f>
        <v>102.96000000000001</v>
      </c>
      <c r="DQ33" s="13">
        <f t="shared" si="43"/>
        <v>27.665975080374633</v>
      </c>
      <c r="DR33" s="20">
        <f t="shared" si="16"/>
        <v>227.50690659831915</v>
      </c>
      <c r="DS33" s="59">
        <f t="shared" si="17"/>
        <v>520.84023993165249</v>
      </c>
      <c r="DT33" s="59">
        <f ca="1">AVERAGE(OFFSET($DS$3,0,0,'Données projet'!$E$14+1,1))-AVERAGE(OFFSET($H$3,0,0,'Données projet'!$E$14+1,1))</f>
        <v>215.84581110302656</v>
      </c>
      <c r="DU33" s="59">
        <f t="shared" si="44"/>
        <v>193.88588526156104</v>
      </c>
      <c r="DV33" s="15">
        <f>IF(ISNA(VLOOKUP(A33,'Données projet'!$A$165:$I$185,3,0)),0,VLOOKUP(A33,'Données projet'!$A$165:$I$185,3,0))</f>
        <v>2</v>
      </c>
      <c r="DW33" s="15">
        <f>IF(ISNA(VLOOKUP(A33,'Données projet'!$A$165:$I$185,4,0)),0,VLOOKUP(A33,'Données projet'!$A$165:$I$185,4,0))</f>
        <v>24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6">
        <f t="shared" si="1"/>
        <v>328.04163981740385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14.6</v>
      </c>
      <c r="N34" s="13">
        <f>IF('Données projet'!$A$36&gt;35,N33+M34-V33,IF(A34&lt;'Données projet'!$A$36,$K$205^A34,IF(A34='Données projet'!$A$36,'Données projet'!$B$36,N33+M34-V33)))</f>
        <v>232.00000000000009</v>
      </c>
      <c r="O34" s="13">
        <f>N34*VLOOKUP('Données projet'!$B$9,Paramètres!$A$1:$I$89,3,0)*VLOOKUP('Données projet'!$B$9,Paramètres!$A$1:$I$89,5,0)</f>
        <v>144.76800000000006</v>
      </c>
      <c r="P34" s="13">
        <f t="shared" si="33"/>
        <v>37.387149255707826</v>
      </c>
      <c r="Q34" s="20">
        <f t="shared" si="2"/>
        <v>317.25355162035788</v>
      </c>
      <c r="R34" s="59">
        <f t="shared" si="0"/>
        <v>610.5868849536912</v>
      </c>
      <c r="S34" s="59">
        <f ca="1">AVERAGE(OFFSET($R$3,0,0,'Données projet'!$E$9+1,1))-AVERAGE(OFFSET($H$3,0,0,'Données projet'!$E$9+1,1))</f>
        <v>269.77739619445515</v>
      </c>
      <c r="T34" s="59">
        <f t="shared" si="34"/>
        <v>347.56964743629885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89.233496897641473</v>
      </c>
      <c r="AB34" s="21">
        <f>EXP(-LN(2)/2)*AB33+(1-EXP(-LN(2)/2))/(LN(2)/2)*V34*Y34*VLOOKUP('Données projet'!$B$9,Paramètres!$A$1:$I$89,3,0)*0.475*44/12</f>
        <v>1.7563362909140345E-2</v>
      </c>
      <c r="AC34" s="22">
        <f t="shared" si="3"/>
        <v>89.251060260550616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28.2</v>
      </c>
      <c r="AI34" s="13">
        <f>IF('Données projet'!$A$62&gt;35,AI33+AH34-AQ33,IF(A34&lt;'Données projet'!$A$62,$AF$205^A34,IF(A34='Données projet'!$A$62,'Données projet'!$B$62,AI33+AH34-AQ33)))</f>
        <v>300.2000000000001</v>
      </c>
      <c r="AJ34" s="13">
        <f>AI34*VLOOKUP('Données projet'!$B$10,Paramètres!$A$1:$I$89,3,0)*VLOOKUP('Données projet'!$B$10,Paramètres!$A$1:$I$89,5,0)</f>
        <v>148.29880000000006</v>
      </c>
      <c r="AK34" s="13">
        <f t="shared" si="35"/>
        <v>38.19172554894751</v>
      </c>
      <c r="AL34" s="20">
        <f t="shared" si="4"/>
        <v>324.80433199775035</v>
      </c>
      <c r="AM34" s="59">
        <f t="shared" si="5"/>
        <v>618.13766533108367</v>
      </c>
      <c r="AN34" s="59">
        <f ca="1">AVERAGE(OFFSET($AM$3,0,0,'Données projet'!$E$10+1,1))-AVERAGE(OFFSET($H$3,0,0,'Données projet'!$E$10+1,1))</f>
        <v>396.27049617044378</v>
      </c>
      <c r="AO34" s="59">
        <f t="shared" si="36"/>
        <v>335.2680289568774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45.722601124064276</v>
      </c>
      <c r="AW34" s="21">
        <f>EXP(-LN(2)/2)*AW33+(1-EXP(-LN(2)/2))/(LN(2)/2)*AQ34*AT34*VLOOKUP('Données projet'!$B$10,Paramètres!$A$1:$I$89,3,0)*0.475*44/12</f>
        <v>0.27190687763039506</v>
      </c>
      <c r="AX34" s="21">
        <f t="shared" si="6"/>
        <v>45.994508001694669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10.199999999999999</v>
      </c>
      <c r="BD34" s="12">
        <f>IF('Données projet'!$A$88&gt;35,BD33+BC34-BL33,IF(A34&lt;'Données projet'!$A$88,$BA$205^A34,IF(A34='Données projet'!$A$88,'Données projet'!$B$88,BD33+BC34-BL33)))</f>
        <v>98.200000000000017</v>
      </c>
      <c r="BE34" s="13">
        <f>BD34*VLOOKUP('Données projet'!$B$11,Paramètres!$A$1:$I$89,3,0)*VLOOKUP('Données projet'!$B$11,Paramètres!$A$1:$I$89,5,0)</f>
        <v>84.255600000000015</v>
      </c>
      <c r="BF34" s="13">
        <f t="shared" si="37"/>
        <v>23.174541098743855</v>
      </c>
      <c r="BG34" s="20">
        <f t="shared" si="7"/>
        <v>187.10749574697891</v>
      </c>
      <c r="BH34" s="59">
        <f t="shared" si="8"/>
        <v>480.44082908031226</v>
      </c>
      <c r="BI34" s="59">
        <f ca="1">AVERAGE(OFFSET($BH$3,0,0,'Données projet'!$E$11+1,1))-AVERAGE(OFFSET($H$3,0,0,'Données projet'!$E$11+1,1))</f>
        <v>352.61091660077574</v>
      </c>
      <c r="BJ34" s="59">
        <f t="shared" si="38"/>
        <v>186.48649111821521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10.8</v>
      </c>
      <c r="BY34" s="12">
        <f>IF('Données projet'!$A$114&gt;35,BY33+BX34-CG33,IF(A34&lt;'Données projet'!$A$114,$BV$205^A34,IF(A34='Données projet'!$A$114,'Données projet'!$B$114,BY33+BX34-CG33)))</f>
        <v>128.79999999999998</v>
      </c>
      <c r="BZ34" s="13">
        <f>BY34*VLOOKUP('Données projet'!$B$12,Paramètres!$A$1:$I$89,3,0)*VLOOKUP('Données projet'!$B$12,Paramètres!$A$1:$I$89,5,0)</f>
        <v>102.47327999999999</v>
      </c>
      <c r="CA34" s="13">
        <f t="shared" si="39"/>
        <v>27.550381949314474</v>
      </c>
      <c r="CB34" s="20">
        <f t="shared" si="10"/>
        <v>226.45787789505599</v>
      </c>
      <c r="CC34" s="59">
        <f t="shared" si="11"/>
        <v>519.79121122838933</v>
      </c>
      <c r="CD34" s="59">
        <f ca="1">AVERAGE(OFFSET($CC$3,0,0,'Données projet'!$E$12+1,1))-AVERAGE(OFFSET($H$3,0,0,'Données projet'!$E$12+1,1))</f>
        <v>225.2323446080772</v>
      </c>
      <c r="CE34" s="59">
        <f t="shared" si="40"/>
        <v>222.29030402759292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8.6</v>
      </c>
      <c r="CT34" s="12">
        <f>IF('Données projet'!$A$140&gt;35,CT33+CS34-DB33,IF(A34&lt;'Données projet'!$A$140,$CQ$205^A34,IF(A34='Données projet'!$A$140,'Données projet'!$B$140,CT33+CS34-DB33)))</f>
        <v>101.59999999999998</v>
      </c>
      <c r="CU34" s="17">
        <f>CT34*VLOOKUP('Données projet'!$B$13,Paramètres!$A$1:$I$89,3,0)*VLOOKUP('Données projet'!$B$13,Paramètres!$A$1:$I$89,5,0)</f>
        <v>98.26751999999999</v>
      </c>
      <c r="CV34" s="13">
        <f t="shared" si="41"/>
        <v>26.548839204126018</v>
      </c>
      <c r="CW34" s="20">
        <f t="shared" si="13"/>
        <v>217.38849228051944</v>
      </c>
      <c r="CX34" s="59">
        <f t="shared" si="14"/>
        <v>510.72182561385273</v>
      </c>
      <c r="CY34" s="59">
        <f ca="1">AVERAGE(OFFSET($CX$3,0,0,'Données projet'!$E$13+1,1))-AVERAGE(OFFSET($H$3,0,0,'Données projet'!$E$13+1,1))</f>
        <v>212.32823943192528</v>
      </c>
      <c r="CZ34" s="59">
        <f t="shared" si="42"/>
        <v>209.60834138503003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13</v>
      </c>
      <c r="DO34" s="12">
        <f>IF('Données projet'!$A$166&gt;35,DO33+DN34-DW33,IF(A34&lt;'Données projet'!$A$166,$DL$205^A34,IF(A34='Données projet'!$A$166,'Données projet'!$B$166,DO33+DN34-DW33)))</f>
        <v>121</v>
      </c>
      <c r="DP34" s="17">
        <f>DO34*VLOOKUP('Données projet'!$B$14,Paramètres!$A$1:$I$89,3,0)*VLOOKUP('Données projet'!$B$14,Paramètres!$A$1:$I$89,5,0)</f>
        <v>94.38000000000001</v>
      </c>
      <c r="DQ34" s="13">
        <f t="shared" si="43"/>
        <v>25.618636348883211</v>
      </c>
      <c r="DR34" s="20">
        <f t="shared" si="16"/>
        <v>208.99762497430493</v>
      </c>
      <c r="DS34" s="59">
        <f t="shared" si="17"/>
        <v>502.33095830763824</v>
      </c>
      <c r="DT34" s="59">
        <f ca="1">AVERAGE(OFFSET($DS$3,0,0,'Données projet'!$E$14+1,1))-AVERAGE(OFFSET($H$3,0,0,'Données projet'!$E$14+1,1))</f>
        <v>215.84581110302656</v>
      </c>
      <c r="DU34" s="59">
        <f t="shared" si="44"/>
        <v>193.88588526156104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6">
        <f t="shared" si="1"/>
        <v>329.12798955473778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14.6</v>
      </c>
      <c r="N35" s="13">
        <f>IF('Données projet'!$A$36&gt;35,N34+M35-V34,IF(A35&lt;'Données projet'!$A$36,$K$205^A35,IF(A35='Données projet'!$A$36,'Données projet'!$B$36,N34+M35-V34)))</f>
        <v>246.60000000000008</v>
      </c>
      <c r="O35" s="13">
        <f>N35*VLOOKUP('Données projet'!$B$9,Paramètres!$A$1:$I$89,3,0)*VLOOKUP('Données projet'!$B$9,Paramètres!$A$1:$I$89,5,0)</f>
        <v>153.87840000000006</v>
      </c>
      <c r="P35" s="13">
        <f t="shared" si="33"/>
        <v>39.458652209792398</v>
      </c>
      <c r="Q35" s="20">
        <f t="shared" ref="Q35:Q66" si="53">(O35+P35)*0.475*44/12</f>
        <v>336.72869926538851</v>
      </c>
      <c r="R35" s="59">
        <f t="shared" si="0"/>
        <v>630.06203259872177</v>
      </c>
      <c r="S35" s="59">
        <f ca="1">AVERAGE(OFFSET($R$3,0,0,'Données projet'!$E$9+1,1))-AVERAGE(OFFSET($H$3,0,0,'Données projet'!$E$9+1,1))</f>
        <v>269.77739619445515</v>
      </c>
      <c r="T35" s="59">
        <f t="shared" si="34"/>
        <v>347.56964743629885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86.793402232389809</v>
      </c>
      <c r="AB35" s="21">
        <f>EXP(-LN(2)/2)*AB34+(1-EXP(-LN(2)/2))/(LN(2)/2)*V35*Y35*VLOOKUP('Données projet'!$B$9,Paramètres!$A$1:$I$89,3,0)*0.475*44/12</f>
        <v>1.2419173013493427E-2</v>
      </c>
      <c r="AC35" s="22">
        <f t="shared" si="3"/>
        <v>86.805821405403307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28.2</v>
      </c>
      <c r="AI35" s="13">
        <f>IF('Données projet'!$A$62&gt;35,AI34+AH35-AQ34,IF(A35&lt;'Données projet'!$A$62,$AF$205^A35,IF(A35='Données projet'!$A$62,'Données projet'!$B$62,AI34+AH35-AQ34)))</f>
        <v>328.40000000000009</v>
      </c>
      <c r="AJ35" s="13">
        <f>AI35*VLOOKUP('Données projet'!$B$10,Paramètres!$A$1:$I$89,3,0)*VLOOKUP('Données projet'!$B$10,Paramètres!$A$1:$I$89,5,0)</f>
        <v>162.22960000000003</v>
      </c>
      <c r="AK35" s="13">
        <f t="shared" si="35"/>
        <v>41.345002155425064</v>
      </c>
      <c r="AL35" s="20">
        <f t="shared" si="4"/>
        <v>354.55909875403205</v>
      </c>
      <c r="AM35" s="59">
        <f t="shared" si="5"/>
        <v>647.89243208736536</v>
      </c>
      <c r="AN35" s="59">
        <f ca="1">AVERAGE(OFFSET($AM$3,0,0,'Données projet'!$E$10+1,1))-AVERAGE(OFFSET($H$3,0,0,'Données projet'!$E$10+1,1))</f>
        <v>396.27049617044378</v>
      </c>
      <c r="AO35" s="59">
        <f t="shared" si="36"/>
        <v>335.2680289568774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44.472314191879647</v>
      </c>
      <c r="AW35" s="21">
        <f>EXP(-LN(2)/2)*AW34+(1-EXP(-LN(2)/2))/(LN(2)/2)*AQ35*AT35*VLOOKUP('Données projet'!$B$10,Paramètres!$A$1:$I$89,3,0)*0.475*44/12</f>
        <v>0.19226719702371312</v>
      </c>
      <c r="AX35" s="21">
        <f t="shared" si="6"/>
        <v>44.664581388903358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10.199999999999999</v>
      </c>
      <c r="BD35" s="12">
        <f>IF('Données projet'!$A$88&gt;35,BD34+BC35-BL34,IF(A35&lt;'Données projet'!$A$88,$BA$205^A35,IF(A35='Données projet'!$A$88,'Données projet'!$B$88,BD34+BC35-BL34)))</f>
        <v>108.40000000000002</v>
      </c>
      <c r="BE35" s="13">
        <f>BD35*VLOOKUP('Données projet'!$B$11,Paramètres!$A$1:$I$89,3,0)*VLOOKUP('Données projet'!$B$11,Paramètres!$A$1:$I$89,5,0)</f>
        <v>93.007200000000026</v>
      </c>
      <c r="BF35" s="13">
        <f t="shared" si="37"/>
        <v>25.289096064617418</v>
      </c>
      <c r="BG35" s="20">
        <f t="shared" si="7"/>
        <v>206.03271564587536</v>
      </c>
      <c r="BH35" s="59">
        <f t="shared" si="8"/>
        <v>499.3660489792087</v>
      </c>
      <c r="BI35" s="59">
        <f ca="1">AVERAGE(OFFSET($BH$3,0,0,'Données projet'!$E$11+1,1))-AVERAGE(OFFSET($H$3,0,0,'Données projet'!$E$11+1,1))</f>
        <v>352.61091660077574</v>
      </c>
      <c r="BJ35" s="59">
        <f t="shared" si="38"/>
        <v>186.48649111821521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10.8</v>
      </c>
      <c r="BY35" s="12">
        <f>IF('Données projet'!$A$114&gt;35,BY34+BX35-CG34,IF(A35&lt;'Données projet'!$A$114,$BV$205^A35,IF(A35='Données projet'!$A$114,'Données projet'!$B$114,BY34+BX35-CG34)))</f>
        <v>139.6</v>
      </c>
      <c r="BZ35" s="13">
        <f>BY35*VLOOKUP('Données projet'!$B$12,Paramètres!$A$1:$I$89,3,0)*VLOOKUP('Données projet'!$B$12,Paramètres!$A$1:$I$89,5,0)</f>
        <v>111.06576</v>
      </c>
      <c r="CA35" s="13">
        <f t="shared" si="39"/>
        <v>29.581944857062648</v>
      </c>
      <c r="CB35" s="20">
        <f t="shared" si="10"/>
        <v>244.96141929271744</v>
      </c>
      <c r="CC35" s="59">
        <f t="shared" si="11"/>
        <v>538.29475262605069</v>
      </c>
      <c r="CD35" s="59">
        <f ca="1">AVERAGE(OFFSET($CC$3,0,0,'Données projet'!$E$12+1,1))-AVERAGE(OFFSET($H$3,0,0,'Données projet'!$E$12+1,1))</f>
        <v>225.2323446080772</v>
      </c>
      <c r="CE35" s="59">
        <f t="shared" si="40"/>
        <v>222.29030402759292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8.6</v>
      </c>
      <c r="CT35" s="12">
        <f>IF('Données projet'!$A$140&gt;35,CT34+CS35-DB34,IF(A35&lt;'Données projet'!$A$140,$CQ$205^A35,IF(A35='Données projet'!$A$140,'Données projet'!$B$140,CT34+CS35-DB34)))</f>
        <v>110.19999999999997</v>
      </c>
      <c r="CU35" s="17">
        <f>CT35*VLOOKUP('Données projet'!$B$13,Paramètres!$A$1:$I$89,3,0)*VLOOKUP('Données projet'!$B$13,Paramètres!$A$1:$I$89,5,0)</f>
        <v>106.58543999999998</v>
      </c>
      <c r="CV35" s="13">
        <f t="shared" si="41"/>
        <v>28.525017119169313</v>
      </c>
      <c r="CW35" s="20">
        <f t="shared" si="13"/>
        <v>235.31737948255318</v>
      </c>
      <c r="CX35" s="59">
        <f t="shared" si="14"/>
        <v>528.65071281588644</v>
      </c>
      <c r="CY35" s="59">
        <f ca="1">AVERAGE(OFFSET($CX$3,0,0,'Données projet'!$E$13+1,1))-AVERAGE(OFFSET($H$3,0,0,'Données projet'!$E$13+1,1))</f>
        <v>212.32823943192528</v>
      </c>
      <c r="CZ35" s="59">
        <f t="shared" si="42"/>
        <v>209.60834138503003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13</v>
      </c>
      <c r="DO35" s="12">
        <f>IF('Données projet'!$A$166&gt;35,DO34+DN35-DW34,IF(A35&lt;'Données projet'!$A$166,$DL$205^A35,IF(A35='Données projet'!$A$166,'Données projet'!$B$166,DO34+DN35-DW34)))</f>
        <v>134</v>
      </c>
      <c r="DP35" s="17">
        <f>DO35*VLOOKUP('Données projet'!$B$14,Paramètres!$A$1:$I$89,3,0)*VLOOKUP('Données projet'!$B$14,Paramètres!$A$1:$I$89,5,0)</f>
        <v>104.52000000000001</v>
      </c>
      <c r="DQ35" s="13">
        <f t="shared" si="43"/>
        <v>28.036039012748962</v>
      </c>
      <c r="DR35" s="20">
        <f t="shared" si="16"/>
        <v>230.86843461387113</v>
      </c>
      <c r="DS35" s="59">
        <f t="shared" si="17"/>
        <v>524.20176794720442</v>
      </c>
      <c r="DT35" s="59">
        <f ca="1">AVERAGE(OFFSET($DS$3,0,0,'Données projet'!$E$14+1,1))-AVERAGE(OFFSET($H$3,0,0,'Données projet'!$E$14+1,1))</f>
        <v>215.84581110302656</v>
      </c>
      <c r="DU35" s="59">
        <f t="shared" si="44"/>
        <v>193.88588526156104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6">
        <f t="shared" si="1"/>
        <v>330.21343646768912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14.6</v>
      </c>
      <c r="N36" s="13">
        <f>IF('Données projet'!$A$36&gt;35,N35+M36-V35,IF(A36&lt;'Données projet'!$A$36,$K$205^A36,IF(A36='Données projet'!$A$36,'Données projet'!$B$36,N35+M36-V35)))</f>
        <v>261.2000000000001</v>
      </c>
      <c r="O36" s="13">
        <f>N36*VLOOKUP('Données projet'!$B$9,Paramètres!$A$1:$I$89,3,0)*VLOOKUP('Données projet'!$B$9,Paramètres!$A$1:$I$89,5,0)</f>
        <v>162.98880000000005</v>
      </c>
      <c r="P36" s="13">
        <f t="shared" si="33"/>
        <v>41.515919734048659</v>
      </c>
      <c r="Q36" s="20">
        <f t="shared" si="53"/>
        <v>356.17905353680152</v>
      </c>
      <c r="R36" s="59">
        <f t="shared" si="0"/>
        <v>649.51238687013483</v>
      </c>
      <c r="S36" s="59">
        <f ca="1">AVERAGE(OFFSET($R$3,0,0,'Données projet'!$E$9+1,1))-AVERAGE(OFFSET($H$3,0,0,'Données projet'!$E$9+1,1))</f>
        <v>269.77739619445515</v>
      </c>
      <c r="T36" s="59">
        <f t="shared" si="34"/>
        <v>347.56964743629885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84.420032084078457</v>
      </c>
      <c r="AB36" s="21">
        <f>EXP(-LN(2)/2)*AB35+(1-EXP(-LN(2)/2))/(LN(2)/2)*V36*Y36*VLOOKUP('Données projet'!$B$9,Paramètres!$A$1:$I$89,3,0)*0.475*44/12</f>
        <v>8.7816814545701727E-3</v>
      </c>
      <c r="AC36" s="22">
        <f t="shared" si="3"/>
        <v>84.428813765533022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28.2</v>
      </c>
      <c r="AI36" s="13">
        <f>IF('Données projet'!$A$62&gt;35,AI35+AH36-AQ35,IF(A36&lt;'Données projet'!$A$62,$AF$205^A36,IF(A36='Données projet'!$A$62,'Données projet'!$B$62,AI35+AH36-AQ35)))</f>
        <v>356.60000000000008</v>
      </c>
      <c r="AJ36" s="13">
        <f>AI36*VLOOKUP('Données projet'!$B$10,Paramètres!$A$1:$I$89,3,0)*VLOOKUP('Données projet'!$B$10,Paramètres!$A$1:$I$89,5,0)</f>
        <v>176.16040000000007</v>
      </c>
      <c r="AK36" s="13">
        <f t="shared" si="35"/>
        <v>44.46687687809731</v>
      </c>
      <c r="AL36" s="20">
        <f t="shared" si="4"/>
        <v>384.2591738960196</v>
      </c>
      <c r="AM36" s="59">
        <f t="shared" si="5"/>
        <v>677.59250722935292</v>
      </c>
      <c r="AN36" s="59">
        <f ca="1">AVERAGE(OFFSET($AM$3,0,0,'Données projet'!$E$10+1,1))-AVERAGE(OFFSET($H$3,0,0,'Données projet'!$E$10+1,1))</f>
        <v>396.27049617044378</v>
      </c>
      <c r="AO36" s="59">
        <f t="shared" si="36"/>
        <v>335.2680289568774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43.256216421605338</v>
      </c>
      <c r="AW36" s="21">
        <f>EXP(-LN(2)/2)*AW35+(1-EXP(-LN(2)/2))/(LN(2)/2)*AQ36*AT36*VLOOKUP('Données projet'!$B$10,Paramètres!$A$1:$I$89,3,0)*0.475*44/12</f>
        <v>0.13595343881519753</v>
      </c>
      <c r="AX36" s="21">
        <f t="shared" si="6"/>
        <v>43.392169860420537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10.199999999999999</v>
      </c>
      <c r="BD36" s="12">
        <f>IF('Données projet'!$A$88&gt;35,BD35+BC36-BL35,IF(A36&lt;'Données projet'!$A$88,$BA$205^A36,IF(A36='Données projet'!$A$88,'Données projet'!$B$88,BD35+BC36-BL35)))</f>
        <v>118.60000000000002</v>
      </c>
      <c r="BE36" s="13">
        <f>BD36*VLOOKUP('Données projet'!$B$11,Paramètres!$A$1:$I$89,3,0)*VLOOKUP('Données projet'!$B$11,Paramètres!$A$1:$I$89,5,0)</f>
        <v>101.75880000000004</v>
      </c>
      <c r="BF36" s="13">
        <f t="shared" si="37"/>
        <v>27.380581268956313</v>
      </c>
      <c r="BG36" s="20">
        <f t="shared" si="7"/>
        <v>224.91775571009896</v>
      </c>
      <c r="BH36" s="59">
        <f t="shared" si="8"/>
        <v>518.25108904343233</v>
      </c>
      <c r="BI36" s="59">
        <f ca="1">AVERAGE(OFFSET($BH$3,0,0,'Données projet'!$E$11+1,1))-AVERAGE(OFFSET($H$3,0,0,'Données projet'!$E$11+1,1))</f>
        <v>352.61091660077574</v>
      </c>
      <c r="BJ36" s="59">
        <f t="shared" si="38"/>
        <v>186.48649111821521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10.8</v>
      </c>
      <c r="BY36" s="12">
        <f>IF('Données projet'!$A$114&gt;35,BY35+BX36-CG35,IF(A36&lt;'Données projet'!$A$114,$BV$205^A36,IF(A36='Données projet'!$A$114,'Données projet'!$B$114,BY35+BX36-CG35)))</f>
        <v>150.4</v>
      </c>
      <c r="BZ36" s="13">
        <f>BY36*VLOOKUP('Données projet'!$B$12,Paramètres!$A$1:$I$89,3,0)*VLOOKUP('Données projet'!$B$12,Paramètres!$A$1:$I$89,5,0)</f>
        <v>119.65824000000002</v>
      </c>
      <c r="CA36" s="13">
        <f t="shared" si="39"/>
        <v>31.595276160231336</v>
      </c>
      <c r="CB36" s="20">
        <f t="shared" si="10"/>
        <v>263.43320731240294</v>
      </c>
      <c r="CC36" s="59">
        <f t="shared" si="11"/>
        <v>556.76654064573631</v>
      </c>
      <c r="CD36" s="59">
        <f ca="1">AVERAGE(OFFSET($CC$3,0,0,'Données projet'!$E$12+1,1))-AVERAGE(OFFSET($H$3,0,0,'Données projet'!$E$12+1,1))</f>
        <v>225.2323446080772</v>
      </c>
      <c r="CE36" s="59">
        <f t="shared" si="40"/>
        <v>222.29030402759292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8.6</v>
      </c>
      <c r="CT36" s="12">
        <f>IF('Données projet'!$A$140&gt;35,CT35+CS36-DB35,IF(A36&lt;'Données projet'!$A$140,$CQ$205^A36,IF(A36='Données projet'!$A$140,'Données projet'!$B$140,CT35+CS36-DB35)))</f>
        <v>118.79999999999997</v>
      </c>
      <c r="CU36" s="17">
        <f>CT36*VLOOKUP('Données projet'!$B$13,Paramètres!$A$1:$I$89,3,0)*VLOOKUP('Données projet'!$B$13,Paramètres!$A$1:$I$89,5,0)</f>
        <v>114.90335999999996</v>
      </c>
      <c r="CV36" s="13">
        <f t="shared" si="41"/>
        <v>30.483305866236858</v>
      </c>
      <c r="CW36" s="20">
        <f t="shared" si="13"/>
        <v>253.21510971702909</v>
      </c>
      <c r="CX36" s="59">
        <f t="shared" si="14"/>
        <v>546.54844305036238</v>
      </c>
      <c r="CY36" s="59">
        <f ca="1">AVERAGE(OFFSET($CX$3,0,0,'Données projet'!$E$13+1,1))-AVERAGE(OFFSET($H$3,0,0,'Données projet'!$E$13+1,1))</f>
        <v>212.32823943192528</v>
      </c>
      <c r="CZ36" s="59">
        <f t="shared" si="42"/>
        <v>209.60834138503003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13</v>
      </c>
      <c r="DO36" s="12">
        <f>IF('Données projet'!$A$166&gt;35,DO35+DN36-DW35,IF(A36&lt;'Données projet'!$A$166,$DL$205^A36,IF(A36='Données projet'!$A$166,'Données projet'!$B$166,DO35+DN36-DW35)))</f>
        <v>147</v>
      </c>
      <c r="DP36" s="17">
        <f>DO36*VLOOKUP('Données projet'!$B$14,Paramètres!$A$1:$I$89,3,0)*VLOOKUP('Données projet'!$B$14,Paramètres!$A$1:$I$89,5,0)</f>
        <v>114.66000000000001</v>
      </c>
      <c r="DQ36" s="13">
        <f t="shared" si="43"/>
        <v>30.426251641117418</v>
      </c>
      <c r="DR36" s="20">
        <f t="shared" si="16"/>
        <v>252.69188827494614</v>
      </c>
      <c r="DS36" s="59">
        <f t="shared" si="17"/>
        <v>546.02522160827948</v>
      </c>
      <c r="DT36" s="59">
        <f ca="1">AVERAGE(OFFSET($DS$3,0,0,'Données projet'!$E$14+1,1))-AVERAGE(OFFSET($H$3,0,0,'Données projet'!$E$14+1,1))</f>
        <v>215.84581110302656</v>
      </c>
      <c r="DU36" s="59">
        <f t="shared" si="44"/>
        <v>193.88588526156104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6">
        <f t="shared" si="1"/>
        <v>331.29801105474394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14.6</v>
      </c>
      <c r="N37" s="13">
        <f>IF('Données projet'!$A$36&gt;35,N36+M37-V36,IF(A37&lt;'Données projet'!$A$36,$K$205^A37,IF(A37='Données projet'!$A$36,'Données projet'!$B$36,N36+M37-V36)))</f>
        <v>275.80000000000013</v>
      </c>
      <c r="O37" s="13">
        <f>N37*VLOOKUP('Données projet'!$B$9,Paramètres!$A$1:$I$89,3,0)*VLOOKUP('Données projet'!$B$9,Paramètres!$A$1:$I$89,5,0)</f>
        <v>172.09920000000005</v>
      </c>
      <c r="P37" s="13">
        <f t="shared" si="33"/>
        <v>43.559838214506989</v>
      </c>
      <c r="Q37" s="20">
        <f t="shared" si="53"/>
        <v>375.60615822359978</v>
      </c>
      <c r="R37" s="59">
        <f t="shared" si="0"/>
        <v>668.93949155693304</v>
      </c>
      <c r="S37" s="59">
        <f ca="1">AVERAGE(OFFSET($R$3,0,0,'Données projet'!$E$9+1,1))-AVERAGE(OFFSET($H$3,0,0,'Données projet'!$E$9+1,1))</f>
        <v>269.77739619445515</v>
      </c>
      <c r="T37" s="59">
        <f t="shared" si="34"/>
        <v>347.56964743629885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82.111561867282788</v>
      </c>
      <c r="AB37" s="21">
        <f>EXP(-LN(2)/2)*AB36+(1-EXP(-LN(2)/2))/(LN(2)/2)*V37*Y37*VLOOKUP('Données projet'!$B$9,Paramètres!$A$1:$I$89,3,0)*0.475*44/12</f>
        <v>6.2095865067467136E-3</v>
      </c>
      <c r="AC37" s="22">
        <f t="shared" si="3"/>
        <v>82.11777145378953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28.2</v>
      </c>
      <c r="AI37" s="13">
        <f>IF('Données projet'!$A$62&gt;35,AI36+AH37-AQ36,IF(A37&lt;'Données projet'!$A$62,$AF$205^A37,IF(A37='Données projet'!$A$62,'Données projet'!$B$62,AI36+AH37-AQ36)))</f>
        <v>384.80000000000007</v>
      </c>
      <c r="AJ37" s="13">
        <f>AI37*VLOOKUP('Données projet'!$B$10,Paramètres!$A$1:$I$89,3,0)*VLOOKUP('Données projet'!$B$10,Paramètres!$A$1:$I$89,5,0)</f>
        <v>190.09120000000004</v>
      </c>
      <c r="AK37" s="13">
        <f t="shared" si="35"/>
        <v>47.560115313177285</v>
      </c>
      <c r="AL37" s="20">
        <f t="shared" si="4"/>
        <v>413.90937417045046</v>
      </c>
      <c r="AM37" s="59">
        <f t="shared" si="5"/>
        <v>707.24270750378378</v>
      </c>
      <c r="AN37" s="59">
        <f ca="1">AVERAGE(OFFSET($AM$3,0,0,'Données projet'!$E$10+1,1))-AVERAGE(OFFSET($H$3,0,0,'Données projet'!$E$10+1,1))</f>
        <v>396.27049617044378</v>
      </c>
      <c r="AO37" s="59">
        <f t="shared" si="36"/>
        <v>335.2680289568774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42.073372908810981</v>
      </c>
      <c r="AW37" s="21">
        <f>EXP(-LN(2)/2)*AW36+(1-EXP(-LN(2)/2))/(LN(2)/2)*AQ37*AT37*VLOOKUP('Données projet'!$B$10,Paramètres!$A$1:$I$89,3,0)*0.475*44/12</f>
        <v>9.6133598511856558E-2</v>
      </c>
      <c r="AX37" s="21">
        <f t="shared" si="6"/>
        <v>42.169506507322836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10.199999999999999</v>
      </c>
      <c r="BD37" s="12">
        <f>IF('Données projet'!$A$88&gt;35,BD36+BC37-BL36,IF(A37&lt;'Données projet'!$A$88,$BA$205^A37,IF(A37='Données projet'!$A$88,'Données projet'!$B$88,BD36+BC37-BL36)))</f>
        <v>128.80000000000001</v>
      </c>
      <c r="BE37" s="13">
        <f>BD37*VLOOKUP('Données projet'!$B$11,Paramètres!$A$1:$I$89,3,0)*VLOOKUP('Données projet'!$B$11,Paramètres!$A$1:$I$89,5,0)</f>
        <v>110.51040000000003</v>
      </c>
      <c r="BF37" s="13">
        <f t="shared" si="37"/>
        <v>29.451206375056412</v>
      </c>
      <c r="BG37" s="20">
        <f t="shared" si="7"/>
        <v>243.76646443655662</v>
      </c>
      <c r="BH37" s="59">
        <f t="shared" si="8"/>
        <v>537.09979776988996</v>
      </c>
      <c r="BI37" s="59">
        <f ca="1">AVERAGE(OFFSET($BH$3,0,0,'Données projet'!$E$11+1,1))-AVERAGE(OFFSET($H$3,0,0,'Données projet'!$E$11+1,1))</f>
        <v>352.61091660077574</v>
      </c>
      <c r="BJ37" s="59">
        <f t="shared" si="38"/>
        <v>186.48649111821521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10.8</v>
      </c>
      <c r="BY37" s="12">
        <f>IF('Données projet'!$A$114&gt;35,BY36+BX37-CG36,IF(A37&lt;'Données projet'!$A$114,$BV$205^A37,IF(A37='Données projet'!$A$114,'Données projet'!$B$114,BY36+BX37-CG36)))</f>
        <v>161.20000000000002</v>
      </c>
      <c r="BZ37" s="13">
        <f>BY37*VLOOKUP('Données projet'!$B$12,Paramètres!$A$1:$I$89,3,0)*VLOOKUP('Données projet'!$B$12,Paramètres!$A$1:$I$89,5,0)</f>
        <v>128.25072</v>
      </c>
      <c r="CA37" s="13">
        <f t="shared" si="39"/>
        <v>33.591833937449593</v>
      </c>
      <c r="CB37" s="20">
        <f t="shared" si="10"/>
        <v>281.875781441058</v>
      </c>
      <c r="CC37" s="59">
        <f t="shared" si="11"/>
        <v>575.20911477439131</v>
      </c>
      <c r="CD37" s="59">
        <f ca="1">AVERAGE(OFFSET($CC$3,0,0,'Données projet'!$E$12+1,1))-AVERAGE(OFFSET($H$3,0,0,'Données projet'!$E$12+1,1))</f>
        <v>225.2323446080772</v>
      </c>
      <c r="CE37" s="59">
        <f t="shared" si="40"/>
        <v>222.29030402759292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8.6</v>
      </c>
      <c r="CT37" s="12">
        <f>IF('Données projet'!$A$140&gt;35,CT36+CS37-DB36,IF(A37&lt;'Données projet'!$A$140,$CQ$205^A37,IF(A37='Données projet'!$A$140,'Données projet'!$B$140,CT36+CS37-DB36)))</f>
        <v>127.39999999999996</v>
      </c>
      <c r="CU37" s="17">
        <f>CT37*VLOOKUP('Données projet'!$B$13,Paramètres!$A$1:$I$89,3,0)*VLOOKUP('Données projet'!$B$13,Paramètres!$A$1:$I$89,5,0)</f>
        <v>123.22127999999996</v>
      </c>
      <c r="CV37" s="13">
        <f t="shared" si="41"/>
        <v>32.425147728236503</v>
      </c>
      <c r="CW37" s="20">
        <f t="shared" si="13"/>
        <v>271.08419496001181</v>
      </c>
      <c r="CX37" s="59">
        <f t="shared" si="14"/>
        <v>564.41752829334519</v>
      </c>
      <c r="CY37" s="59">
        <f ca="1">AVERAGE(OFFSET($CX$3,0,0,'Données projet'!$E$13+1,1))-AVERAGE(OFFSET($H$3,0,0,'Données projet'!$E$13+1,1))</f>
        <v>212.32823943192528</v>
      </c>
      <c r="CZ37" s="59">
        <f t="shared" si="42"/>
        <v>209.60834138503003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13</v>
      </c>
      <c r="DO37" s="12">
        <f>IF('Données projet'!$A$166&gt;35,DO36+DN37-DW36,IF(A37&lt;'Données projet'!$A$166,$DL$205^A37,IF(A37='Données projet'!$A$166,'Données projet'!$B$166,DO36+DN37-DW36)))</f>
        <v>160</v>
      </c>
      <c r="DP37" s="17">
        <f>DO37*VLOOKUP('Données projet'!$B$14,Paramètres!$A$1:$I$89,3,0)*VLOOKUP('Données projet'!$B$14,Paramètres!$A$1:$I$89,5,0)</f>
        <v>124.80000000000001</v>
      </c>
      <c r="DQ37" s="13">
        <f t="shared" si="43"/>
        <v>32.791952217579265</v>
      </c>
      <c r="DR37" s="20">
        <f t="shared" si="16"/>
        <v>274.47265011228387</v>
      </c>
      <c r="DS37" s="59">
        <f t="shared" si="17"/>
        <v>567.80598344561713</v>
      </c>
      <c r="DT37" s="59">
        <f ca="1">AVERAGE(OFFSET($DS$3,0,0,'Données projet'!$E$14+1,1))-AVERAGE(OFFSET($H$3,0,0,'Données projet'!$E$14+1,1))</f>
        <v>215.84581110302656</v>
      </c>
      <c r="DU37" s="59">
        <f t="shared" si="44"/>
        <v>193.88588526156104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6">
        <f t="shared" si="1"/>
        <v>332.38174191836544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14.6</v>
      </c>
      <c r="N38" s="13">
        <f>IF('Données projet'!$A$36&gt;35,N37+M38-V37,IF(A38&lt;'Données projet'!$A$36,$K$205^A38,IF(A38='Données projet'!$A$36,'Données projet'!$B$36,N37+M38-V37)))</f>
        <v>290.40000000000015</v>
      </c>
      <c r="O38" s="13">
        <f>N38*VLOOKUP('Données projet'!$B$9,Paramètres!$A$1:$I$89,3,0)*VLOOKUP('Données projet'!$B$9,Paramètres!$A$1:$I$89,5,0)</f>
        <v>181.20960000000008</v>
      </c>
      <c r="P38" s="13">
        <f t="shared" si="33"/>
        <v>45.591194891830348</v>
      </c>
      <c r="Q38" s="20">
        <f t="shared" si="53"/>
        <v>395.01138443660466</v>
      </c>
      <c r="R38" s="59">
        <f t="shared" si="0"/>
        <v>688.34471776993792</v>
      </c>
      <c r="S38" s="59">
        <f ca="1">AVERAGE(OFFSET($R$3,0,0,'Données projet'!$E$9+1,1))-AVERAGE(OFFSET($H$3,0,0,'Données projet'!$E$9+1,1))</f>
        <v>269.77739619445515</v>
      </c>
      <c r="T38" s="59">
        <f t="shared" si="34"/>
        <v>347.56964743629885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79.866216889962573</v>
      </c>
      <c r="AB38" s="21">
        <f>EXP(-LN(2)/2)*AB37+(1-EXP(-LN(2)/2))/(LN(2)/2)*V38*Y38*VLOOKUP('Données projet'!$B$9,Paramètres!$A$1:$I$89,3,0)*0.475*44/12</f>
        <v>4.3908407272850863E-3</v>
      </c>
      <c r="AC38" s="22">
        <f t="shared" si="3"/>
        <v>79.870607730689855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413</v>
      </c>
      <c r="AG38" s="12">
        <f>VLOOKUP(A38,'Données projet'!$A$61:$I$81,9,0)</f>
        <v>28.2</v>
      </c>
      <c r="AH38" s="12">
        <f t="array" ref="AH38">INDEX(AG:AG,MIN(IF(ISNUMBER(AG38:AG234),ROW(AG38:AG234),"")))</f>
        <v>28.2</v>
      </c>
      <c r="AI38" s="13">
        <f>IF('Données projet'!$A$62&gt;35,AI37+AH38-AQ37,IF(A38&lt;'Données projet'!$A$62,$AF$205^A38,IF(A38='Données projet'!$A$62,'Données projet'!$B$62,AI37+AH38-AQ37)))</f>
        <v>413.00000000000006</v>
      </c>
      <c r="AJ38" s="13">
        <f>AI38*VLOOKUP('Données projet'!$B$10,Paramètres!$A$1:$I$89,3,0)*VLOOKUP('Données projet'!$B$10,Paramètres!$A$1:$I$89,5,0)</f>
        <v>204.02200000000005</v>
      </c>
      <c r="AK38" s="13">
        <f t="shared" si="35"/>
        <v>50.627054717681382</v>
      </c>
      <c r="AL38" s="20">
        <f t="shared" si="4"/>
        <v>443.51377029996178</v>
      </c>
      <c r="AM38" s="59">
        <f t="shared" si="5"/>
        <v>736.84710363329509</v>
      </c>
      <c r="AN38" s="59">
        <f ca="1">AVERAGE(OFFSET($AM$3,0,0,'Données projet'!$E$10+1,1))-AVERAGE(OFFSET($H$3,0,0,'Données projet'!$E$10+1,1))</f>
        <v>396.27049617044378</v>
      </c>
      <c r="AO38" s="59">
        <f t="shared" si="36"/>
        <v>335.2680289568774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70</v>
      </c>
      <c r="AR38" s="16">
        <f>IF(ISNA(VLOOKUP(A38,'Données projet'!$A$61:$I$81,5,0)),0%,VLOOKUP(A38,'Données projet'!$A$61:$I$81,5,0)*VLOOKUP('Données projet'!$B$10,Paramètres!$A$1:$I$89,7,0))</f>
        <v>0.55000000000000004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25.229929378004616</v>
      </c>
      <c r="AV38" s="21">
        <f>EXP(-LN(2)/25)*AV37+(1-EXP(-LN(2)/25))/(LN(2)/25)*Calculateur!AQ38*Calculateur!AS38*VLOOKUP('Données projet'!$B$10,Paramètres!$A$1:$I$89,3,0)*0.475*44/12</f>
        <v>40.922874314077021</v>
      </c>
      <c r="AW38" s="21">
        <f>EXP(-LN(2)/2)*AW37+(1-EXP(-LN(2)/2))/(LN(2)/2)*AQ38*AT38*VLOOKUP('Données projet'!$B$10,Paramètres!$A$1:$I$89,3,0)*0.475*44/12</f>
        <v>6.7976719407598765E-2</v>
      </c>
      <c r="AX38" s="21">
        <f t="shared" si="6"/>
        <v>66.22078041148923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139</v>
      </c>
      <c r="BB38" s="12">
        <f>VLOOKUP(A38,'Données projet'!$A$87:$I$107,9,0)</f>
        <v>10.199999999999999</v>
      </c>
      <c r="BC38" s="12">
        <f t="array" ref="BC38">INDEX(BB:BB,MIN(IF(ISNUMBER(BB38:BB234),ROW(BB38:BB234),"")))</f>
        <v>10.199999999999999</v>
      </c>
      <c r="BD38" s="12">
        <f>IF('Données projet'!$A$88&gt;35,BD37+BC38-BL37,IF(A38&lt;'Données projet'!$A$88,$BA$205^A38,IF(A38='Données projet'!$A$88,'Données projet'!$B$88,BD37+BC38-BL37)))</f>
        <v>139</v>
      </c>
      <c r="BE38" s="13">
        <f>BD38*VLOOKUP('Données projet'!$B$11,Paramètres!$A$1:$I$89,3,0)*VLOOKUP('Données projet'!$B$11,Paramètres!$A$1:$I$89,5,0)</f>
        <v>119.26200000000001</v>
      </c>
      <c r="BF38" s="13">
        <f t="shared" si="37"/>
        <v>31.502811162802828</v>
      </c>
      <c r="BG38" s="20">
        <f t="shared" si="7"/>
        <v>262.58204610854824</v>
      </c>
      <c r="BH38" s="59">
        <f t="shared" si="8"/>
        <v>555.91537944188156</v>
      </c>
      <c r="BI38" s="59">
        <f ca="1">AVERAGE(OFFSET($BH$3,0,0,'Données projet'!$E$11+1,1))-AVERAGE(OFFSET($H$3,0,0,'Données projet'!$E$11+1,1))</f>
        <v>352.61091660077574</v>
      </c>
      <c r="BJ38" s="59">
        <f t="shared" si="38"/>
        <v>186.48649111821521</v>
      </c>
      <c r="BK38" s="15">
        <f>IF(ISNA(VLOOKUP(A38,'Données projet'!$A$87:$I$107,3,0)),0,VLOOKUP(A38,'Données projet'!$A$87:$I$107,3,0))</f>
        <v>3</v>
      </c>
      <c r="BL38" s="15">
        <f>IF(ISNA(VLOOKUP(A38,'Données projet'!$A$87:$I$107,4,0)),0,VLOOKUP(A38,'Données projet'!$A$87:$I$107,4,0))</f>
        <v>28</v>
      </c>
      <c r="BM38" s="16">
        <f>IF(ISNA(VLOOKUP(A38,'Données projet'!$A$87:$I$107,5,0)),0%,VLOOKUP(A38,'Données projet'!$A$87:$I$107,5,0)*VLOOKUP('Données projet'!$B$11,Paramètres!$A$1:$I$89,7,0))</f>
        <v>0.53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14.075644810886788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14.075644810886788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172</v>
      </c>
      <c r="BW38" s="12">
        <f>VLOOKUP(A38,'Données projet'!$A$113:$I$133,9,0)</f>
        <v>10.8</v>
      </c>
      <c r="BX38" s="12">
        <f t="array" ref="BX38">INDEX(BW:BW,MIN(IF(ISNUMBER(BW38:BW234),ROW(BW38:BW234),"")))</f>
        <v>10.8</v>
      </c>
      <c r="BY38" s="12">
        <f>IF('Données projet'!$A$114&gt;35,BY37+BX38-CG37,IF(A38&lt;'Données projet'!$A$114,$BV$205^A38,IF(A38='Données projet'!$A$114,'Données projet'!$B$114,BY37+BX38-CG37)))</f>
        <v>172.00000000000003</v>
      </c>
      <c r="BZ38" s="13">
        <f>BY38*VLOOKUP('Données projet'!$B$12,Paramètres!$A$1:$I$89,3,0)*VLOOKUP('Données projet'!$B$12,Paramètres!$A$1:$I$89,5,0)</f>
        <v>136.84320000000002</v>
      </c>
      <c r="CA38" s="13">
        <f t="shared" si="39"/>
        <v>35.572869837729648</v>
      </c>
      <c r="CB38" s="20">
        <f t="shared" si="10"/>
        <v>300.2913216340458</v>
      </c>
      <c r="CC38" s="59">
        <f t="shared" si="11"/>
        <v>593.62465496737912</v>
      </c>
      <c r="CD38" s="59">
        <f ca="1">AVERAGE(OFFSET($CC$3,0,0,'Données projet'!$E$12+1,1))-AVERAGE(OFFSET($H$3,0,0,'Données projet'!$E$12+1,1))</f>
        <v>225.2323446080772</v>
      </c>
      <c r="CE38" s="59">
        <f t="shared" si="40"/>
        <v>222.29030402759292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28</v>
      </c>
      <c r="CH38" s="16">
        <f>IF(ISNA(VLOOKUP(A38,'Données projet'!$A$113:$I$133,5,0)),0%,VLOOKUP(A38,'Données projet'!$A$113:$I$133,5,0)*VLOOKUP('Données projet'!$B$12,Paramètres!$A$1:$I$89,7,0))</f>
        <v>0.53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13.051961551913202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13.051961551913202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136</v>
      </c>
      <c r="CR38" s="12">
        <f>VLOOKUP(A38,'Données projet'!$A$139:$I$159,9,0)</f>
        <v>8.6</v>
      </c>
      <c r="CS38" s="12">
        <f t="array" ref="CS38">INDEX(CR:CR,MIN(IF(ISNUMBER(CR38:CR234),ROW(CR38:CR234),"")))</f>
        <v>8.6</v>
      </c>
      <c r="CT38" s="12">
        <f>IF('Données projet'!$A$140&gt;35,CT37+CS38-DB37,IF(A38&lt;'Données projet'!$A$140,$CQ$205^A38,IF(A38='Données projet'!$A$140,'Données projet'!$B$140,CT37+CS38-DB37)))</f>
        <v>135.99999999999997</v>
      </c>
      <c r="CU38" s="17">
        <f>CT38*VLOOKUP('Données projet'!$B$13,Paramètres!$A$1:$I$89,3,0)*VLOOKUP('Données projet'!$B$13,Paramètres!$A$1:$I$89,5,0)</f>
        <v>131.53919999999997</v>
      </c>
      <c r="CV38" s="13">
        <f t="shared" si="41"/>
        <v>34.351779249718845</v>
      </c>
      <c r="CW38" s="20">
        <f t="shared" si="13"/>
        <v>288.92678885992694</v>
      </c>
      <c r="CX38" s="59">
        <f t="shared" si="14"/>
        <v>582.26012219326026</v>
      </c>
      <c r="CY38" s="59">
        <f ca="1">AVERAGE(OFFSET($CX$3,0,0,'Données projet'!$E$13+1,1))-AVERAGE(OFFSET($H$3,0,0,'Données projet'!$E$13+1,1))</f>
        <v>212.32823943192528</v>
      </c>
      <c r="CZ38" s="59">
        <f t="shared" si="42"/>
        <v>209.60834138503003</v>
      </c>
      <c r="DA38" s="15">
        <f>IF(ISNA(VLOOKUP(A38,'Données projet'!$A$139:$I$159,3,0)),0,VLOOKUP(A38,'Données projet'!$A$139:$I$159,3,0))</f>
        <v>4</v>
      </c>
      <c r="DB38" s="15">
        <f>IF(ISNA(VLOOKUP(A38,'Données projet'!$A$139:$I$159,4,0)),0,VLOOKUP(A38,'Données projet'!$A$139:$I$159,4,0))</f>
        <v>21</v>
      </c>
      <c r="DC38" s="16">
        <f>IF(ISNA(VLOOKUP(A38,'Données projet'!$A$139:$I$159,5,0)),0%,VLOOKUP(A38,'Données projet'!$A$139:$I$159,5,0)*VLOOKUP('Données projet'!$B$13,Paramètres!$A$1:$I$89,7,0))</f>
        <v>0.43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9.654974888290953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9.654974888290953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173</v>
      </c>
      <c r="DM38" s="12">
        <f>VLOOKUP(A38,'Données projet'!$A$165:$I$185,9,0)</f>
        <v>13</v>
      </c>
      <c r="DN38" s="12">
        <f t="array" ref="DN38">INDEX(DM:DM,MIN(IF(ISNUMBER(DM38:DM234),ROW(DM38:DM234),"")))</f>
        <v>13</v>
      </c>
      <c r="DO38" s="12">
        <f>IF('Données projet'!$A$166&gt;35,DO37+DN38-DW37,IF(A38&lt;'Données projet'!$A$166,$DL$205^A38,IF(A38='Données projet'!$A$166,'Données projet'!$B$166,DO37+DN38-DW37)))</f>
        <v>173</v>
      </c>
      <c r="DP38" s="17">
        <f>DO38*VLOOKUP('Données projet'!$B$14,Paramètres!$A$1:$I$89,3,0)*VLOOKUP('Données projet'!$B$14,Paramètres!$A$1:$I$89,5,0)</f>
        <v>134.94</v>
      </c>
      <c r="DQ38" s="13">
        <f t="shared" si="43"/>
        <v>35.135358771568036</v>
      </c>
      <c r="DR38" s="20">
        <f t="shared" si="16"/>
        <v>296.21458319381429</v>
      </c>
      <c r="DS38" s="59">
        <f t="shared" si="17"/>
        <v>589.54791652714766</v>
      </c>
      <c r="DT38" s="59">
        <f ca="1">AVERAGE(OFFSET($DS$3,0,0,'Données projet'!$E$14+1,1))-AVERAGE(OFFSET($H$3,0,0,'Données projet'!$E$14+1,1))</f>
        <v>215.84581110302656</v>
      </c>
      <c r="DU38" s="59">
        <f t="shared" si="44"/>
        <v>193.88588526156104</v>
      </c>
      <c r="DV38" s="15">
        <f>IF(ISNA(VLOOKUP(A38,'Données projet'!$A$165:$I$185,3,0)),0,VLOOKUP(A38,'Données projet'!$A$165:$I$185,3,0))</f>
        <v>3</v>
      </c>
      <c r="DW38" s="15">
        <f>IF(ISNA(VLOOKUP(A38,'Données projet'!$A$165:$I$185,4,0)),0,VLOOKUP(A38,'Données projet'!$A$165:$I$185,4,0))</f>
        <v>27</v>
      </c>
      <c r="DX38" s="16">
        <f>IF(ISNA(VLOOKUP(A38,'Données projet'!$A$165:$I$185,5,0)),0%,VLOOKUP(A38,'Données projet'!$A$165:$I$185,5,0)*VLOOKUP('Données projet'!$B$14,Paramètres!$A$1:$I$89,7,0))</f>
        <v>0.43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10.01091866297449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10.01091866297449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6">
        <f t="shared" si="1"/>
        <v>333.46465593362842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305</v>
      </c>
      <c r="L39" s="12">
        <f>VLOOKUP(A39,'Données projet'!$A$35:$I$55,9,0)</f>
        <v>14.6</v>
      </c>
      <c r="M39" s="12">
        <f t="array" ref="M39">INDEX(L:L,MIN(IF(ISNUMBER(L39:L235),ROW(L39:L235),"")))</f>
        <v>14.6</v>
      </c>
      <c r="N39" s="13">
        <f>IF('Données projet'!$A$36&gt;35,N38+M39-V38,IF(A39&lt;'Données projet'!$A$36,$K$205^A39,IF(A39='Données projet'!$A$36,'Données projet'!$B$36,N38+M39-V38)))</f>
        <v>305.00000000000017</v>
      </c>
      <c r="O39" s="13">
        <f>N39*VLOOKUP('Données projet'!$B$9,Paramètres!$A$1:$I$89,3,0)*VLOOKUP('Données projet'!$B$9,Paramètres!$A$1:$I$89,5,0)</f>
        <v>190.32000000000008</v>
      </c>
      <c r="P39" s="13">
        <f t="shared" si="33"/>
        <v>47.610693377401923</v>
      </c>
      <c r="Q39" s="20">
        <f t="shared" si="53"/>
        <v>414.39595763230847</v>
      </c>
      <c r="R39" s="59">
        <f t="shared" si="0"/>
        <v>707.72929096564178</v>
      </c>
      <c r="S39" s="59">
        <f ca="1">AVERAGE(OFFSET($R$3,0,0,'Données projet'!$E$9+1,1))-AVERAGE(OFFSET($H$3,0,0,'Données projet'!$E$9+1,1))</f>
        <v>269.77739619445515</v>
      </c>
      <c r="T39" s="59">
        <f t="shared" si="34"/>
        <v>347.56964743629885</v>
      </c>
      <c r="U39" s="15">
        <f>IF(ISNA(VLOOKUP(A39,'Données projet'!$A$35:$I$55,3,0)),0,VLOOKUP(A39,'Données projet'!$A$35:$I$55,3,0))</f>
        <v>5</v>
      </c>
      <c r="V39" s="15">
        <f>IF(ISNA(VLOOKUP(A39,'Données projet'!$A$35:$I$55,4,0)),0,VLOOKUP(A39,'Données projet'!$A$35:$I$55,4,0))</f>
        <v>58.4</v>
      </c>
      <c r="W39" s="16">
        <f>IF(ISNA(VLOOKUP(A39,'Données projet'!$A$35:$I$55,5,0)),0%,VLOOKUP(A39,'Données projet'!$A$35:$I$55,5,0)*VLOOKUP('Données projet'!$B$9,Paramètres!$A$1:$I$89,7,0))</f>
        <v>0.6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29.005278755607325</v>
      </c>
      <c r="AA39" s="21">
        <f>EXP(-LN(2)/25)*AA38+(1-EXP(-LN(2)/25))/(LN(2)/25)*Calculateur!V39*Calculateur!X39*VLOOKUP('Données projet'!$B$9,Paramètres!$A$1:$I$89,3,0)*0.475*44/12</f>
        <v>77.682270989124731</v>
      </c>
      <c r="AB39" s="21">
        <f>EXP(-LN(2)/2)*AB38+(1-EXP(-LN(2)/2))/(LN(2)/2)*V39*Y39*VLOOKUP('Données projet'!$B$9,Paramètres!$A$1:$I$89,3,0)*0.475*44/12</f>
        <v>3.1047932533733568E-3</v>
      </c>
      <c r="AC39" s="22">
        <f t="shared" si="3"/>
        <v>106.69065453798542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27.4</v>
      </c>
      <c r="AI39" s="13">
        <f>IF('Données projet'!$A$62&gt;35,AI38+AH39-AQ38,IF(A39&lt;'Données projet'!$A$62,$AF$205^A39,IF(A39='Données projet'!$A$62,'Données projet'!$B$62,AI38+AH39-AQ38)))</f>
        <v>370.40000000000003</v>
      </c>
      <c r="AJ39" s="13">
        <f>AI39*VLOOKUP('Données projet'!$B$10,Paramètres!$A$1:$I$89,3,0)*VLOOKUP('Données projet'!$B$10,Paramètres!$A$1:$I$89,5,0)</f>
        <v>182.97760000000002</v>
      </c>
      <c r="AK39" s="13">
        <f t="shared" si="35"/>
        <v>45.984013410379262</v>
      </c>
      <c r="AL39" s="20">
        <f t="shared" si="4"/>
        <v>398.77481002307724</v>
      </c>
      <c r="AM39" s="59">
        <f t="shared" si="5"/>
        <v>692.10814335641055</v>
      </c>
      <c r="AN39" s="59">
        <f ca="1">AVERAGE(OFFSET($AM$3,0,0,'Données projet'!$E$10+1,1))-AVERAGE(OFFSET($H$3,0,0,'Données projet'!$E$10+1,1))</f>
        <v>396.27049617044378</v>
      </c>
      <c r="AO39" s="59">
        <f t="shared" si="36"/>
        <v>335.2680289568774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24.735185851639354</v>
      </c>
      <c r="AV39" s="21">
        <f>EXP(-LN(2)/25)*AV38+(1-EXP(-LN(2)/25))/(LN(2)/25)*Calculateur!AQ39*Calculateur!AS39*VLOOKUP('Données projet'!$B$10,Paramètres!$A$1:$I$89,3,0)*0.475*44/12</f>
        <v>39.803836163918156</v>
      </c>
      <c r="AW39" s="21">
        <f>EXP(-LN(2)/2)*AW38+(1-EXP(-LN(2)/2))/(LN(2)/2)*AQ39*AT39*VLOOKUP('Données projet'!$B$10,Paramètres!$A$1:$I$89,3,0)*0.475*44/12</f>
        <v>4.8066799255928279E-2</v>
      </c>
      <c r="AX39" s="21">
        <f t="shared" si="6"/>
        <v>64.587088814813441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10.4</v>
      </c>
      <c r="BD39" s="12">
        <f>IF('Données projet'!$A$88&gt;35,BD38+BC39-BL38,IF(A39&lt;'Données projet'!$A$88,$BA$205^A39,IF(A39='Données projet'!$A$88,'Données projet'!$B$88,BD38+BC39-BL38)))</f>
        <v>121.4</v>
      </c>
      <c r="BE39" s="13">
        <f>BD39*VLOOKUP('Données projet'!$B$11,Paramètres!$A$1:$I$89,3,0)*VLOOKUP('Données projet'!$B$11,Paramètres!$A$1:$I$89,5,0)</f>
        <v>104.16120000000002</v>
      </c>
      <c r="BF39" s="13">
        <f t="shared" si="37"/>
        <v>27.95098158074293</v>
      </c>
      <c r="BG39" s="20">
        <f t="shared" si="7"/>
        <v>230.09538291979393</v>
      </c>
      <c r="BH39" s="59">
        <f t="shared" si="8"/>
        <v>523.42871625312728</v>
      </c>
      <c r="BI39" s="59">
        <f ca="1">AVERAGE(OFFSET($BH$3,0,0,'Données projet'!$E$11+1,1))-AVERAGE(OFFSET($H$3,0,0,'Données projet'!$E$11+1,1))</f>
        <v>352.61091660077574</v>
      </c>
      <c r="BJ39" s="59">
        <f t="shared" si="38"/>
        <v>186.48649111821521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13.799630001440905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13.799630001440905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9.6</v>
      </c>
      <c r="BY39" s="12">
        <f>IF('Données projet'!$A$114&gt;35,BY38+BX39-CG38,IF(A39&lt;'Données projet'!$A$114,$BV$205^A39,IF(A39='Données projet'!$A$114,'Données projet'!$B$114,BY38+BX39-CG38)))</f>
        <v>153.60000000000002</v>
      </c>
      <c r="BZ39" s="13">
        <f>BY39*VLOOKUP('Données projet'!$B$12,Paramètres!$A$1:$I$89,3,0)*VLOOKUP('Données projet'!$B$12,Paramètres!$A$1:$I$89,5,0)</f>
        <v>122.20416000000003</v>
      </c>
      <c r="CA39" s="13">
        <f t="shared" si="39"/>
        <v>32.188537573102472</v>
      </c>
      <c r="CB39" s="20">
        <f t="shared" si="10"/>
        <v>268.90061493982017</v>
      </c>
      <c r="CC39" s="59">
        <f t="shared" si="11"/>
        <v>562.23394827315349</v>
      </c>
      <c r="CD39" s="59">
        <f ca="1">AVERAGE(OFFSET($CC$3,0,0,'Données projet'!$E$12+1,1))-AVERAGE(OFFSET($H$3,0,0,'Données projet'!$E$12+1,1))</f>
        <v>225.2323446080772</v>
      </c>
      <c r="CE39" s="59">
        <f t="shared" si="40"/>
        <v>222.29030402759292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12.796020546790656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12.796020546790656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7.6</v>
      </c>
      <c r="CT39" s="12">
        <f>IF('Données projet'!$A$140&gt;35,CT38+CS39-DB38,IF(A39&lt;'Données projet'!$A$140,$CQ$205^A39,IF(A39='Données projet'!$A$140,'Données projet'!$B$140,CT38+CS39-DB38)))</f>
        <v>122.59999999999997</v>
      </c>
      <c r="CU39" s="17">
        <f>CT39*VLOOKUP('Données projet'!$B$13,Paramètres!$A$1:$I$89,3,0)*VLOOKUP('Données projet'!$B$13,Paramètres!$A$1:$I$89,5,0)</f>
        <v>118.57871999999996</v>
      </c>
      <c r="CV39" s="13">
        <f t="shared" si="41"/>
        <v>31.343279557590108</v>
      </c>
      <c r="CW39" s="20">
        <f t="shared" si="13"/>
        <v>261.11414922946938</v>
      </c>
      <c r="CX39" s="59">
        <f t="shared" si="14"/>
        <v>554.44748256280263</v>
      </c>
      <c r="CY39" s="59">
        <f ca="1">AVERAGE(OFFSET($CX$3,0,0,'Données projet'!$E$13+1,1))-AVERAGE(OFFSET($H$3,0,0,'Données projet'!$E$13+1,1))</f>
        <v>212.32823943192528</v>
      </c>
      <c r="CZ39" s="59">
        <f t="shared" si="42"/>
        <v>209.60834138503003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9.4656467196847629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9.4656467196847629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12.4</v>
      </c>
      <c r="DO39" s="12">
        <f>IF('Données projet'!$A$166&gt;35,DO38+DN39-DW38,IF(A39&lt;'Données projet'!$A$166,$DL$205^A39,IF(A39='Données projet'!$A$166,'Données projet'!$B$166,DO38+DN39-DW38)))</f>
        <v>158.4</v>
      </c>
      <c r="DP39" s="17">
        <f>DO39*VLOOKUP('Données projet'!$B$14,Paramètres!$A$1:$I$89,3,0)*VLOOKUP('Données projet'!$B$14,Paramètres!$A$1:$I$89,5,0)</f>
        <v>123.55200000000001</v>
      </c>
      <c r="DQ39" s="13">
        <f t="shared" si="43"/>
        <v>32.502033262579566</v>
      </c>
      <c r="DR39" s="20">
        <f t="shared" si="16"/>
        <v>271.79410793232609</v>
      </c>
      <c r="DS39" s="59">
        <f t="shared" si="17"/>
        <v>565.1274412656594</v>
      </c>
      <c r="DT39" s="59">
        <f ca="1">AVERAGE(OFFSET($DS$3,0,0,'Données projet'!$E$14+1,1))-AVERAGE(OFFSET($H$3,0,0,'Données projet'!$E$14+1,1))</f>
        <v>215.84581110302656</v>
      </c>
      <c r="DU39" s="59">
        <f t="shared" si="44"/>
        <v>193.88588526156104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9.8146106540510214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9.8146106540510214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6">
        <f t="shared" si="1"/>
        <v>334.54677839758983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13.9</v>
      </c>
      <c r="N40" s="13">
        <f>IF('Données projet'!$A$36&gt;35,N39+M40-V39,IF(A40&lt;'Données projet'!$A$36,$K$205^A40,IF(A40='Données projet'!$A$36,'Données projet'!$B$36,N39+M40-V39)))</f>
        <v>260.50000000000017</v>
      </c>
      <c r="O40" s="13">
        <f>N40*VLOOKUP('Données projet'!$B$9,Paramètres!$A$1:$I$89,3,0)*VLOOKUP('Données projet'!$B$9,Paramètres!$A$1:$I$89,5,0)</f>
        <v>162.55200000000011</v>
      </c>
      <c r="P40" s="13">
        <f t="shared" si="33"/>
        <v>41.417594941550192</v>
      </c>
      <c r="Q40" s="20">
        <f t="shared" si="53"/>
        <v>355.24704452320003</v>
      </c>
      <c r="R40" s="59">
        <f t="shared" si="0"/>
        <v>648.58037785653335</v>
      </c>
      <c r="S40" s="59">
        <f ca="1">AVERAGE(OFFSET($R$3,0,0,'Données projet'!$E$9+1,1))-AVERAGE(OFFSET($H$3,0,0,'Données projet'!$E$9+1,1))</f>
        <v>269.77739619445515</v>
      </c>
      <c r="T40" s="59">
        <f t="shared" si="34"/>
        <v>347.56964743629885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28.436502930683019</v>
      </c>
      <c r="AA40" s="21">
        <f>EXP(-LN(2)/25)*AA39+(1-EXP(-LN(2)/25))/(LN(2)/25)*Calculateur!V40*Calculateur!X40*VLOOKUP('Données projet'!$B$9,Paramètres!$A$1:$I$89,3,0)*0.475*44/12</f>
        <v>75.558045203794023</v>
      </c>
      <c r="AB40" s="21">
        <f>EXP(-LN(2)/2)*AB39+(1-EXP(-LN(2)/2))/(LN(2)/2)*V40*Y40*VLOOKUP('Données projet'!$B$9,Paramètres!$A$1:$I$89,3,0)*0.475*44/12</f>
        <v>2.1954203636425432E-3</v>
      </c>
      <c r="AC40" s="22">
        <f t="shared" si="3"/>
        <v>103.99674355484069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27.4</v>
      </c>
      <c r="AI40" s="13">
        <f>IF('Données projet'!$A$62&gt;35,AI39+AH40-AQ39,IF(A40&lt;'Données projet'!$A$62,$AF$205^A40,IF(A40='Données projet'!$A$62,'Données projet'!$B$62,AI39+AH40-AQ39)))</f>
        <v>397.8</v>
      </c>
      <c r="AJ40" s="13">
        <f>AI40*VLOOKUP('Données projet'!$B$10,Paramètres!$A$1:$I$89,3,0)*VLOOKUP('Données projet'!$B$10,Paramètres!$A$1:$I$89,5,0)</f>
        <v>196.51320000000004</v>
      </c>
      <c r="AK40" s="13">
        <f t="shared" si="35"/>
        <v>48.977092002823696</v>
      </c>
      <c r="AL40" s="20">
        <f t="shared" si="4"/>
        <v>427.56225857158461</v>
      </c>
      <c r="AM40" s="59">
        <f t="shared" si="5"/>
        <v>720.89559190491786</v>
      </c>
      <c r="AN40" s="59">
        <f ca="1">AVERAGE(OFFSET($AM$3,0,0,'Données projet'!$E$10+1,1))-AVERAGE(OFFSET($H$3,0,0,'Données projet'!$E$10+1,1))</f>
        <v>396.27049617044378</v>
      </c>
      <c r="AO40" s="59">
        <f t="shared" si="36"/>
        <v>335.2680289568774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24.250143944062362</v>
      </c>
      <c r="AV40" s="21">
        <f>EXP(-LN(2)/25)*AV39+(1-EXP(-LN(2)/25))/(LN(2)/25)*Calculateur!AQ40*Calculateur!AS40*VLOOKUP('Données projet'!$B$10,Paramètres!$A$1:$I$89,3,0)*0.475*44/12</f>
        <v>38.715398170823043</v>
      </c>
      <c r="AW40" s="21">
        <f>EXP(-LN(2)/2)*AW39+(1-EXP(-LN(2)/2))/(LN(2)/2)*AQ40*AT40*VLOOKUP('Données projet'!$B$10,Paramètres!$A$1:$I$89,3,0)*0.475*44/12</f>
        <v>3.3988359703799383E-2</v>
      </c>
      <c r="AX40" s="21">
        <f t="shared" si="6"/>
        <v>62.999530474589207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10.4</v>
      </c>
      <c r="BD40" s="12">
        <f>IF('Données projet'!$A$88&gt;35,BD39+BC40-BL39,IF(A40&lt;'Données projet'!$A$88,$BA$205^A40,IF(A40='Données projet'!$A$88,'Données projet'!$B$88,BD39+BC40-BL39)))</f>
        <v>131.80000000000001</v>
      </c>
      <c r="BE40" s="13">
        <f>BD40*VLOOKUP('Données projet'!$B$11,Paramètres!$A$1:$I$89,3,0)*VLOOKUP('Données projet'!$B$11,Paramètres!$A$1:$I$89,5,0)</f>
        <v>113.08440000000002</v>
      </c>
      <c r="BF40" s="13">
        <f t="shared" si="37"/>
        <v>30.05651952806824</v>
      </c>
      <c r="BG40" s="20">
        <f t="shared" si="7"/>
        <v>249.3037681780522</v>
      </c>
      <c r="BH40" s="59">
        <f t="shared" si="8"/>
        <v>542.63710151138548</v>
      </c>
      <c r="BI40" s="59">
        <f ca="1">AVERAGE(OFFSET($BH$3,0,0,'Données projet'!$E$11+1,1))-AVERAGE(OFFSET($H$3,0,0,'Données projet'!$E$11+1,1))</f>
        <v>352.61091660077574</v>
      </c>
      <c r="BJ40" s="59">
        <f t="shared" si="38"/>
        <v>186.48649111821521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13.529027674055845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13.529027674055845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9.6</v>
      </c>
      <c r="BY40" s="12">
        <f>IF('Données projet'!$A$114&gt;35,BY39+BX40-CG39,IF(A40&lt;'Données projet'!$A$114,$BV$205^A40,IF(A40='Données projet'!$A$114,'Données projet'!$B$114,BY39+BX40-CG39)))</f>
        <v>163.20000000000002</v>
      </c>
      <c r="BZ40" s="13">
        <f>BY40*VLOOKUP('Données projet'!$B$12,Paramètres!$A$1:$I$89,3,0)*VLOOKUP('Données projet'!$B$12,Paramètres!$A$1:$I$89,5,0)</f>
        <v>129.84192000000002</v>
      </c>
      <c r="CA40" s="13">
        <f t="shared" si="39"/>
        <v>33.959829099416851</v>
      </c>
      <c r="CB40" s="20">
        <f t="shared" si="10"/>
        <v>285.288046348151</v>
      </c>
      <c r="CC40" s="59">
        <f t="shared" si="11"/>
        <v>578.62137968148431</v>
      </c>
      <c r="CD40" s="59">
        <f ca="1">AVERAGE(OFFSET($CC$3,0,0,'Données projet'!$E$12+1,1))-AVERAGE(OFFSET($H$3,0,0,'Données projet'!$E$12+1,1))</f>
        <v>225.2323446080772</v>
      </c>
      <c r="CE40" s="59">
        <f t="shared" si="40"/>
        <v>222.29030402759292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12.545098388669965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12.545098388669965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7.6</v>
      </c>
      <c r="CT40" s="12">
        <f>IF('Données projet'!$A$140&gt;35,CT39+CS40-DB39,IF(A40&lt;'Données projet'!$A$140,$CQ$205^A40,IF(A40='Données projet'!$A$140,'Données projet'!$B$140,CT39+CS40-DB39)))</f>
        <v>130.19999999999996</v>
      </c>
      <c r="CU40" s="17">
        <f>CT40*VLOOKUP('Données projet'!$B$13,Paramètres!$A$1:$I$89,3,0)*VLOOKUP('Données projet'!$B$13,Paramètres!$A$1:$I$89,5,0)</f>
        <v>125.92943999999997</v>
      </c>
      <c r="CV40" s="13">
        <f t="shared" si="41"/>
        <v>33.054038034052049</v>
      </c>
      <c r="CW40" s="20">
        <f t="shared" si="13"/>
        <v>276.89622424264059</v>
      </c>
      <c r="CX40" s="59">
        <f t="shared" si="14"/>
        <v>570.2295575759739</v>
      </c>
      <c r="CY40" s="59">
        <f ca="1">AVERAGE(OFFSET($CX$3,0,0,'Données projet'!$E$13+1,1))-AVERAGE(OFFSET($H$3,0,0,'Données projet'!$E$13+1,1))</f>
        <v>212.32823943192528</v>
      </c>
      <c r="CZ40" s="59">
        <f t="shared" si="42"/>
        <v>209.60834138503003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9.2800311609861605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9.2800311609861605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12.4</v>
      </c>
      <c r="DO40" s="12">
        <f>IF('Données projet'!$A$166&gt;35,DO39+DN40-DW39,IF(A40&lt;'Données projet'!$A$166,$DL$205^A40,IF(A40='Données projet'!$A$166,'Données projet'!$B$166,DO39+DN40-DW39)))</f>
        <v>170.8</v>
      </c>
      <c r="DP40" s="17">
        <f>DO40*VLOOKUP('Données projet'!$B$14,Paramètres!$A$1:$I$89,3,0)*VLOOKUP('Données projet'!$B$14,Paramètres!$A$1:$I$89,5,0)</f>
        <v>133.22400000000002</v>
      </c>
      <c r="DQ40" s="13">
        <f t="shared" si="43"/>
        <v>34.740265606230608</v>
      </c>
      <c r="DR40" s="20">
        <f t="shared" si="16"/>
        <v>292.53776259751834</v>
      </c>
      <c r="DS40" s="59">
        <f t="shared" si="17"/>
        <v>585.87109593085165</v>
      </c>
      <c r="DT40" s="59">
        <f ca="1">AVERAGE(OFFSET($DS$3,0,0,'Données projet'!$E$14+1,1))-AVERAGE(OFFSET($H$3,0,0,'Données projet'!$E$14+1,1))</f>
        <v>215.84581110302656</v>
      </c>
      <c r="DU40" s="59">
        <f t="shared" si="44"/>
        <v>193.88588526156104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9.6221521254464797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9.6221521254464797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6">
        <f t="shared" si="1"/>
        <v>335.62813316205717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13.9</v>
      </c>
      <c r="N41" s="13">
        <f>IF('Données projet'!$A$36&gt;35,N40+M41-V40,IF(A41&lt;'Données projet'!$A$36,$K$205^A41,IF(A41='Données projet'!$A$36,'Données projet'!$B$36,N40+M41-V40)))</f>
        <v>274.40000000000015</v>
      </c>
      <c r="O41" s="13">
        <f>N41*VLOOKUP('Données projet'!$B$9,Paramètres!$A$1:$I$89,3,0)*VLOOKUP('Données projet'!$B$9,Paramètres!$A$1:$I$89,5,0)</f>
        <v>171.2256000000001</v>
      </c>
      <c r="P41" s="13">
        <f t="shared" si="33"/>
        <v>43.364402348589557</v>
      </c>
      <c r="Q41" s="20">
        <f t="shared" si="53"/>
        <v>373.74425409046029</v>
      </c>
      <c r="R41" s="59">
        <f t="shared" si="0"/>
        <v>667.0775874237936</v>
      </c>
      <c r="S41" s="59">
        <f ca="1">AVERAGE(OFFSET($R$3,0,0,'Données projet'!$E$9+1,1))-AVERAGE(OFFSET($H$3,0,0,'Données projet'!$E$9+1,1))</f>
        <v>269.77739619445515</v>
      </c>
      <c r="T41" s="59">
        <f t="shared" si="34"/>
        <v>347.56964743629885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27.878880452766481</v>
      </c>
      <c r="AA41" s="21">
        <f>EXP(-LN(2)/25)*AA40+(1-EXP(-LN(2)/25))/(LN(2)/25)*Calculateur!V41*Calculateur!X41*VLOOKUP('Données projet'!$B$9,Paramètres!$A$1:$I$89,3,0)*0.475*44/12</f>
        <v>73.491906484271368</v>
      </c>
      <c r="AB41" s="21">
        <f>EXP(-LN(2)/2)*AB40+(1-EXP(-LN(2)/2))/(LN(2)/2)*V41*Y41*VLOOKUP('Données projet'!$B$9,Paramètres!$A$1:$I$89,3,0)*0.475*44/12</f>
        <v>1.5523966266866784E-3</v>
      </c>
      <c r="AC41" s="22">
        <f t="shared" si="3"/>
        <v>101.37233933366454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27.4</v>
      </c>
      <c r="AI41" s="13">
        <f>IF('Données projet'!$A$62&gt;35,AI40+AH41-AQ40,IF(A41&lt;'Données projet'!$A$62,$AF$205^A41,IF(A41='Données projet'!$A$62,'Données projet'!$B$62,AI40+AH41-AQ40)))</f>
        <v>425.2</v>
      </c>
      <c r="AJ41" s="13">
        <f>AI41*VLOOKUP('Données projet'!$B$10,Paramètres!$A$1:$I$89,3,0)*VLOOKUP('Données projet'!$B$10,Paramètres!$A$1:$I$89,5,0)</f>
        <v>210.0488</v>
      </c>
      <c r="AK41" s="13">
        <f t="shared" si="35"/>
        <v>51.946249581877133</v>
      </c>
      <c r="AL41" s="20">
        <f t="shared" si="4"/>
        <v>456.30804468843598</v>
      </c>
      <c r="AM41" s="59">
        <f t="shared" si="5"/>
        <v>749.64137802176924</v>
      </c>
      <c r="AN41" s="59">
        <f ca="1">AVERAGE(OFFSET($AM$3,0,0,'Données projet'!$E$10+1,1))-AVERAGE(OFFSET($H$3,0,0,'Données projet'!$E$10+1,1))</f>
        <v>396.27049617044378</v>
      </c>
      <c r="AO41" s="59">
        <f t="shared" si="36"/>
        <v>335.2680289568774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23.774613412446602</v>
      </c>
      <c r="AV41" s="21">
        <f>EXP(-LN(2)/25)*AV40+(1-EXP(-LN(2)/25))/(LN(2)/25)*Calculateur!AQ41*Calculateur!AS41*VLOOKUP('Données projet'!$B$10,Paramètres!$A$1:$I$89,3,0)*0.475*44/12</f>
        <v>37.656723571887582</v>
      </c>
      <c r="AW41" s="21">
        <f>EXP(-LN(2)/2)*AW40+(1-EXP(-LN(2)/2))/(LN(2)/2)*AQ41*AT41*VLOOKUP('Données projet'!$B$10,Paramètres!$A$1:$I$89,3,0)*0.475*44/12</f>
        <v>2.4033399627964139E-2</v>
      </c>
      <c r="AX41" s="21">
        <f t="shared" si="6"/>
        <v>61.455370383962148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10.4</v>
      </c>
      <c r="BD41" s="12">
        <f>IF('Données projet'!$A$88&gt;35,BD40+BC41-BL40,IF(A41&lt;'Données projet'!$A$88,$BA$205^A41,IF(A41='Données projet'!$A$88,'Données projet'!$B$88,BD40+BC41-BL40)))</f>
        <v>142.20000000000002</v>
      </c>
      <c r="BE41" s="13">
        <f>BD41*VLOOKUP('Données projet'!$B$11,Paramètres!$A$1:$I$89,3,0)*VLOOKUP('Données projet'!$B$11,Paramètres!$A$1:$I$89,5,0)</f>
        <v>122.00760000000004</v>
      </c>
      <c r="BF41" s="13">
        <f t="shared" si="37"/>
        <v>32.142785920703616</v>
      </c>
      <c r="BG41" s="20">
        <f t="shared" si="7"/>
        <v>268.47858881189217</v>
      </c>
      <c r="BH41" s="59">
        <f t="shared" si="8"/>
        <v>561.81192214522548</v>
      </c>
      <c r="BI41" s="59">
        <f ca="1">AVERAGE(OFFSET($BH$3,0,0,'Données projet'!$E$11+1,1))-AVERAGE(OFFSET($H$3,0,0,'Données projet'!$E$11+1,1))</f>
        <v>352.61091660077574</v>
      </c>
      <c r="BJ41" s="59">
        <f t="shared" si="38"/>
        <v>186.48649111821521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13.263731693259684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13.263731693259684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9.6</v>
      </c>
      <c r="BY41" s="12">
        <f>IF('Données projet'!$A$114&gt;35,BY40+BX41-CG40,IF(A41&lt;'Données projet'!$A$114,$BV$205^A41,IF(A41='Données projet'!$A$114,'Données projet'!$B$114,BY40+BX41-CG40)))</f>
        <v>172.8</v>
      </c>
      <c r="BZ41" s="13">
        <f>BY41*VLOOKUP('Données projet'!$B$12,Paramètres!$A$1:$I$89,3,0)*VLOOKUP('Données projet'!$B$12,Paramètres!$A$1:$I$89,5,0)</f>
        <v>137.47968000000003</v>
      </c>
      <c r="CA41" s="13">
        <f t="shared" si="39"/>
        <v>35.719026553355249</v>
      </c>
      <c r="CB41" s="20">
        <f t="shared" si="10"/>
        <v>301.65441391376049</v>
      </c>
      <c r="CC41" s="59">
        <f t="shared" si="11"/>
        <v>594.98774724709381</v>
      </c>
      <c r="CD41" s="59">
        <f ca="1">AVERAGE(OFFSET($CC$3,0,0,'Données projet'!$E$12+1,1))-AVERAGE(OFFSET($H$3,0,0,'Données projet'!$E$12+1,1))</f>
        <v>225.2323446080772</v>
      </c>
      <c r="CE41" s="59">
        <f t="shared" si="40"/>
        <v>222.29030402759292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12.299096661022617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12.299096661022617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7.6</v>
      </c>
      <c r="CT41" s="12">
        <f>IF('Données projet'!$A$140&gt;35,CT40+CS41-DB40,IF(A41&lt;'Données projet'!$A$140,$CQ$205^A41,IF(A41='Données projet'!$A$140,'Données projet'!$B$140,CT40+CS41-DB40)))</f>
        <v>137.79999999999995</v>
      </c>
      <c r="CU41" s="17">
        <f>CT41*VLOOKUP('Données projet'!$B$13,Paramètres!$A$1:$I$89,3,0)*VLOOKUP('Données projet'!$B$13,Paramètres!$A$1:$I$89,5,0)</f>
        <v>133.28015999999994</v>
      </c>
      <c r="CV41" s="13">
        <f t="shared" si="41"/>
        <v>34.753205264839991</v>
      </c>
      <c r="CW41" s="20">
        <f t="shared" si="13"/>
        <v>292.65811116959617</v>
      </c>
      <c r="CX41" s="59">
        <f t="shared" si="14"/>
        <v>585.99144450292943</v>
      </c>
      <c r="CY41" s="59">
        <f ca="1">AVERAGE(OFFSET($CX$3,0,0,'Données projet'!$E$13+1,1))-AVERAGE(OFFSET($H$3,0,0,'Données projet'!$E$13+1,1))</f>
        <v>212.32823943192528</v>
      </c>
      <c r="CZ41" s="59">
        <f t="shared" si="42"/>
        <v>209.60834138503003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9.0980554101793256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9.0980554101793256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12.4</v>
      </c>
      <c r="DO41" s="12">
        <f>IF('Données projet'!$A$166&gt;35,DO40+DN41-DW40,IF(A41&lt;'Données projet'!$A$166,$DL$205^A41,IF(A41='Données projet'!$A$166,'Données projet'!$B$166,DO40+DN41-DW40)))</f>
        <v>183.20000000000002</v>
      </c>
      <c r="DP41" s="17">
        <f>DO41*VLOOKUP('Données projet'!$B$14,Paramètres!$A$1:$I$89,3,0)*VLOOKUP('Données projet'!$B$14,Paramètres!$A$1:$I$89,5,0)</f>
        <v>142.89600000000002</v>
      </c>
      <c r="DQ41" s="13">
        <f t="shared" si="43"/>
        <v>36.959645797372403</v>
      </c>
      <c r="DR41" s="20">
        <f t="shared" si="16"/>
        <v>313.24858309709026</v>
      </c>
      <c r="DS41" s="59">
        <f t="shared" si="17"/>
        <v>606.58191643042358</v>
      </c>
      <c r="DT41" s="59">
        <f ca="1">AVERAGE(OFFSET($DS$3,0,0,'Données projet'!$E$14+1,1))-AVERAGE(OFFSET($H$3,0,0,'Données projet'!$E$14+1,1))</f>
        <v>215.84581110302656</v>
      </c>
      <c r="DU41" s="59">
        <f t="shared" si="44"/>
        <v>193.88588526156104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9.4334675911997614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9.4334675911997614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6">
        <f t="shared" si="1"/>
        <v>336.70874275198798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13.9</v>
      </c>
      <c r="N42" s="13">
        <f>IF('Données projet'!$A$36&gt;35,N41+M42-V41,IF(A42&lt;'Données projet'!$A$36,$K$205^A42,IF(A42='Données projet'!$A$36,'Données projet'!$B$36,N41+M42-V41)))</f>
        <v>288.30000000000013</v>
      </c>
      <c r="O42" s="13">
        <f>N42*VLOOKUP('Données projet'!$B$9,Paramètres!$A$1:$I$89,3,0)*VLOOKUP('Données projet'!$B$9,Paramètres!$A$1:$I$89,5,0)</f>
        <v>179.89920000000006</v>
      </c>
      <c r="P42" s="13">
        <f t="shared" si="33"/>
        <v>45.299759292628629</v>
      </c>
      <c r="Q42" s="20">
        <f t="shared" si="53"/>
        <v>392.22152076799495</v>
      </c>
      <c r="R42" s="59">
        <f t="shared" si="0"/>
        <v>685.55485410132826</v>
      </c>
      <c r="S42" s="59">
        <f ca="1">AVERAGE(OFFSET($R$3,0,0,'Données projet'!$E$9+1,1))-AVERAGE(OFFSET($H$3,0,0,'Données projet'!$E$9+1,1))</f>
        <v>269.77739619445515</v>
      </c>
      <c r="T42" s="59">
        <f t="shared" si="34"/>
        <v>347.56964743629885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27.332192611525759</v>
      </c>
      <c r="AA42" s="21">
        <f>EXP(-LN(2)/25)*AA41+(1-EXP(-LN(2)/25))/(LN(2)/25)*Calculateur!V42*Calculateur!X42*VLOOKUP('Données projet'!$B$9,Paramètres!$A$1:$I$89,3,0)*0.475*44/12</f>
        <v>71.482266436687567</v>
      </c>
      <c r="AB42" s="21">
        <f>EXP(-LN(2)/2)*AB41+(1-EXP(-LN(2)/2))/(LN(2)/2)*V42*Y42*VLOOKUP('Données projet'!$B$9,Paramètres!$A$1:$I$89,3,0)*0.475*44/12</f>
        <v>1.0977101818212716E-3</v>
      </c>
      <c r="AC42" s="22">
        <f t="shared" si="3"/>
        <v>98.815556758395147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27.4</v>
      </c>
      <c r="AI42" s="13">
        <f>IF('Données projet'!$A$62&gt;35,AI41+AH42-AQ41,IF(A42&lt;'Données projet'!$A$62,$AF$205^A42,IF(A42='Données projet'!$A$62,'Données projet'!$B$62,AI41+AH42-AQ41)))</f>
        <v>452.59999999999997</v>
      </c>
      <c r="AJ42" s="13">
        <f>AI42*VLOOKUP('Données projet'!$B$10,Paramètres!$A$1:$I$89,3,0)*VLOOKUP('Données projet'!$B$10,Paramètres!$A$1:$I$89,5,0)</f>
        <v>223.58440000000002</v>
      </c>
      <c r="AK42" s="13">
        <f t="shared" si="35"/>
        <v>54.893203066121892</v>
      </c>
      <c r="AL42" s="20">
        <f t="shared" si="4"/>
        <v>485.01515867349559</v>
      </c>
      <c r="AM42" s="59">
        <f t="shared" si="5"/>
        <v>778.34849200682891</v>
      </c>
      <c r="AN42" s="59">
        <f ca="1">AVERAGE(OFFSET($AM$3,0,0,'Données projet'!$E$10+1,1))-AVERAGE(OFFSET($H$3,0,0,'Données projet'!$E$10+1,1))</f>
        <v>396.27049617044378</v>
      </c>
      <c r="AO42" s="59">
        <f t="shared" si="36"/>
        <v>335.2680289568774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23.308407744510841</v>
      </c>
      <c r="AV42" s="21">
        <f>EXP(-LN(2)/25)*AV41+(1-EXP(-LN(2)/25))/(LN(2)/25)*Calculateur!AQ42*Calculateur!AS42*VLOOKUP('Données projet'!$B$10,Paramètres!$A$1:$I$89,3,0)*0.475*44/12</f>
        <v>36.626998485533292</v>
      </c>
      <c r="AW42" s="21">
        <f>EXP(-LN(2)/2)*AW41+(1-EXP(-LN(2)/2))/(LN(2)/2)*AQ42*AT42*VLOOKUP('Données projet'!$B$10,Paramètres!$A$1:$I$89,3,0)*0.475*44/12</f>
        <v>1.6994179851899691E-2</v>
      </c>
      <c r="AX42" s="21">
        <f t="shared" si="6"/>
        <v>59.952400409896036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10.4</v>
      </c>
      <c r="BD42" s="12">
        <f>IF('Données projet'!$A$88&gt;35,BD41+BC42-BL41,IF(A42&lt;'Données projet'!$A$88,$BA$205^A42,IF(A42='Données projet'!$A$88,'Données projet'!$B$88,BD41+BC42-BL41)))</f>
        <v>152.60000000000002</v>
      </c>
      <c r="BE42" s="13">
        <f>BD42*VLOOKUP('Données projet'!$B$11,Paramètres!$A$1:$I$89,3,0)*VLOOKUP('Données projet'!$B$11,Paramètres!$A$1:$I$89,5,0)</f>
        <v>130.93080000000003</v>
      </c>
      <c r="BF42" s="13">
        <f t="shared" si="37"/>
        <v>34.211350494649842</v>
      </c>
      <c r="BG42" s="20">
        <f t="shared" si="7"/>
        <v>287.62257877818189</v>
      </c>
      <c r="BH42" s="59">
        <f t="shared" si="8"/>
        <v>580.9559121115152</v>
      </c>
      <c r="BI42" s="59">
        <f ca="1">AVERAGE(OFFSET($BH$3,0,0,'Données projet'!$E$11+1,1))-AVERAGE(OFFSET($H$3,0,0,'Données projet'!$E$11+1,1))</f>
        <v>352.61091660077574</v>
      </c>
      <c r="BJ42" s="59">
        <f t="shared" si="38"/>
        <v>186.48649111821521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13.003638004832366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13.003638004832366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9.6</v>
      </c>
      <c r="BY42" s="12">
        <f>IF('Données projet'!$A$114&gt;35,BY41+BX42-CG41,IF(A42&lt;'Données projet'!$A$114,$BV$205^A42,IF(A42='Données projet'!$A$114,'Données projet'!$B$114,BY41+BX42-CG41)))</f>
        <v>182.4</v>
      </c>
      <c r="BZ42" s="13">
        <f>BY42*VLOOKUP('Données projet'!$B$12,Paramètres!$A$1:$I$89,3,0)*VLOOKUP('Données projet'!$B$12,Paramètres!$A$1:$I$89,5,0)</f>
        <v>145.11744000000002</v>
      </c>
      <c r="CA42" s="13">
        <f t="shared" si="39"/>
        <v>37.466878406916173</v>
      </c>
      <c r="CB42" s="20">
        <f t="shared" si="10"/>
        <v>318.00102122537902</v>
      </c>
      <c r="CC42" s="59">
        <f t="shared" si="11"/>
        <v>611.33435455871233</v>
      </c>
      <c r="CD42" s="59">
        <f ca="1">AVERAGE(OFFSET($CC$3,0,0,'Données projet'!$E$12+1,1))-AVERAGE(OFFSET($H$3,0,0,'Données projet'!$E$12+1,1))</f>
        <v>225.2323446080772</v>
      </c>
      <c r="CE42" s="59">
        <f t="shared" si="40"/>
        <v>222.29030402759292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12.057918877208195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12.057918877208195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7.6</v>
      </c>
      <c r="CT42" s="12">
        <f>IF('Données projet'!$A$140&gt;35,CT41+CS42-DB41,IF(A42&lt;'Données projet'!$A$140,$CQ$205^A42,IF(A42='Données projet'!$A$140,'Données projet'!$B$140,CT41+CS42-DB41)))</f>
        <v>145.39999999999995</v>
      </c>
      <c r="CU42" s="17">
        <f>CT42*VLOOKUP('Données projet'!$B$13,Paramètres!$A$1:$I$89,3,0)*VLOOKUP('Données projet'!$B$13,Paramètres!$A$1:$I$89,5,0)</f>
        <v>140.63087999999996</v>
      </c>
      <c r="CV42" s="13">
        <f t="shared" si="41"/>
        <v>36.441493403146445</v>
      </c>
      <c r="CW42" s="20">
        <f t="shared" si="13"/>
        <v>308.40105034381332</v>
      </c>
      <c r="CX42" s="59">
        <f t="shared" si="14"/>
        <v>601.73438367714664</v>
      </c>
      <c r="CY42" s="59">
        <f ca="1">AVERAGE(OFFSET($CX$3,0,0,'Données projet'!$E$13+1,1))-AVERAGE(OFFSET($H$3,0,0,'Données projet'!$E$13+1,1))</f>
        <v>212.32823943192528</v>
      </c>
      <c r="CZ42" s="59">
        <f t="shared" si="42"/>
        <v>209.60834138503003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8.9196480928515651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8.9196480928515651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12.4</v>
      </c>
      <c r="DO42" s="12">
        <f>IF('Données projet'!$A$166&gt;35,DO41+DN42-DW41,IF(A42&lt;'Données projet'!$A$166,$DL$205^A42,IF(A42='Données projet'!$A$166,'Données projet'!$B$166,DO41+DN42-DW41)))</f>
        <v>195.60000000000002</v>
      </c>
      <c r="DP42" s="17">
        <f>DO42*VLOOKUP('Données projet'!$B$14,Paramètres!$A$1:$I$89,3,0)*VLOOKUP('Données projet'!$B$14,Paramètres!$A$1:$I$89,5,0)</f>
        <v>152.56800000000001</v>
      </c>
      <c r="DQ42" s="13">
        <f t="shared" si="43"/>
        <v>39.161595030150863</v>
      </c>
      <c r="DR42" s="20">
        <f t="shared" si="16"/>
        <v>333.92904467751276</v>
      </c>
      <c r="DS42" s="59">
        <f t="shared" si="17"/>
        <v>627.26237801084608</v>
      </c>
      <c r="DT42" s="59">
        <f ca="1">AVERAGE(OFFSET($DS$3,0,0,'Données projet'!$E$14+1,1))-AVERAGE(OFFSET($H$3,0,0,'Données projet'!$E$14+1,1))</f>
        <v>215.84581110302656</v>
      </c>
      <c r="DU42" s="59">
        <f t="shared" si="44"/>
        <v>193.88588526156104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9.2484830455834199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9.2484830455834199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6">
        <f t="shared" si="1"/>
        <v>337.78862847140419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13.9</v>
      </c>
      <c r="N43" s="13">
        <f>IF('Données projet'!$A$36&gt;35,N42+M43-V42,IF(A43&lt;'Données projet'!$A$36,$K$205^A43,IF(A43='Données projet'!$A$36,'Données projet'!$B$36,N42+M43-V42)))</f>
        <v>302.2000000000001</v>
      </c>
      <c r="O43" s="13">
        <f>N43*VLOOKUP('Données projet'!$B$9,Paramètres!$A$1:$I$89,3,0)*VLOOKUP('Données projet'!$B$9,Paramètres!$A$1:$I$89,5,0)</f>
        <v>188.57280000000006</v>
      </c>
      <c r="P43" s="13">
        <f t="shared" si="33"/>
        <v>47.224280864708376</v>
      </c>
      <c r="Q43" s="20">
        <f t="shared" si="53"/>
        <v>410.6799158393672</v>
      </c>
      <c r="R43" s="59">
        <f t="shared" si="0"/>
        <v>704.01324917270051</v>
      </c>
      <c r="S43" s="59">
        <f ca="1">AVERAGE(OFFSET($R$3,0,0,'Données projet'!$E$9+1,1))-AVERAGE(OFFSET($H$3,0,0,'Données projet'!$E$9+1,1))</f>
        <v>269.77739619445515</v>
      </c>
      <c r="T43" s="59">
        <f t="shared" si="34"/>
        <v>347.56964743629885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26.796224985405107</v>
      </c>
      <c r="AA43" s="21">
        <f>EXP(-LN(2)/25)*AA42+(1-EXP(-LN(2)/25))/(LN(2)/25)*Calculateur!V43*Calculateur!X43*VLOOKUP('Données projet'!$B$9,Paramètres!$A$1:$I$89,3,0)*0.475*44/12</f>
        <v>69.527580101887324</v>
      </c>
      <c r="AB43" s="21">
        <f>EXP(-LN(2)/2)*AB42+(1-EXP(-LN(2)/2))/(LN(2)/2)*V43*Y43*VLOOKUP('Données projet'!$B$9,Paramètres!$A$1:$I$89,3,0)*0.475*44/12</f>
        <v>7.761983133433392E-4</v>
      </c>
      <c r="AC43" s="22">
        <f t="shared" si="3"/>
        <v>96.324581285605774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480</v>
      </c>
      <c r="AG43" s="12">
        <f>VLOOKUP(A43,'Données projet'!$A$61:$I$81,9,0)</f>
        <v>27.4</v>
      </c>
      <c r="AH43" s="12">
        <f t="array" ref="AH43">INDEX(AG:AG,MIN(IF(ISNUMBER(AG43:AG239),ROW(AG43:AG239),"")))</f>
        <v>27.4</v>
      </c>
      <c r="AI43" s="13">
        <f>IF('Données projet'!$A$62&gt;35,AI42+AH43-AQ42,IF(A43&lt;'Données projet'!$A$62,$AF$205^A43,IF(A43='Données projet'!$A$62,'Données projet'!$B$62,AI42+AH43-AQ42)))</f>
        <v>479.99999999999994</v>
      </c>
      <c r="AJ43" s="13">
        <f>AI43*VLOOKUP('Données projet'!$B$10,Paramètres!$A$1:$I$89,3,0)*VLOOKUP('Données projet'!$B$10,Paramètres!$A$1:$I$89,5,0)</f>
        <v>237.11999999999998</v>
      </c>
      <c r="AK43" s="13">
        <f t="shared" si="35"/>
        <v>57.819449746919268</v>
      </c>
      <c r="AL43" s="20">
        <f t="shared" si="4"/>
        <v>513.6862083092177</v>
      </c>
      <c r="AM43" s="59">
        <f t="shared" si="5"/>
        <v>807.01954164255108</v>
      </c>
      <c r="AN43" s="59">
        <f ca="1">AVERAGE(OFFSET($AM$3,0,0,'Données projet'!$E$10+1,1))-AVERAGE(OFFSET($H$3,0,0,'Données projet'!$E$10+1,1))</f>
        <v>396.27049617044378</v>
      </c>
      <c r="AO43" s="59">
        <f t="shared" si="36"/>
        <v>335.2680289568774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70</v>
      </c>
      <c r="AR43" s="16">
        <f>IF(ISNA(VLOOKUP(A43,'Données projet'!$A$61:$I$81,5,0)),0%,VLOOKUP(A43,'Données projet'!$A$61:$I$81,5,0)*VLOOKUP('Données projet'!$B$10,Paramètres!$A$1:$I$89,7,0))</f>
        <v>0.55000000000000004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48.081273463370536</v>
      </c>
      <c r="AV43" s="21">
        <f>EXP(-LN(2)/25)*AV42+(1-EXP(-LN(2)/25))/(LN(2)/25)*Calculateur!AQ43*Calculateur!AS43*VLOOKUP('Données projet'!$B$10,Paramètres!$A$1:$I$89,3,0)*0.475*44/12</f>
        <v>35.625431285816248</v>
      </c>
      <c r="AW43" s="21">
        <f>EXP(-LN(2)/2)*AW42+(1-EXP(-LN(2)/2))/(LN(2)/2)*AQ43*AT43*VLOOKUP('Données projet'!$B$10,Paramètres!$A$1:$I$89,3,0)*0.475*44/12</f>
        <v>1.201669981398207E-2</v>
      </c>
      <c r="AX43" s="21">
        <f t="shared" si="6"/>
        <v>83.718721449000768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163</v>
      </c>
      <c r="BB43" s="12">
        <f>VLOOKUP(A43,'Données projet'!$A$87:$I$107,9,0)</f>
        <v>10.4</v>
      </c>
      <c r="BC43" s="12">
        <f t="array" ref="BC43">INDEX(BB:BB,MIN(IF(ISNUMBER(BB43:BB239),ROW(BB43:BB239),"")))</f>
        <v>10.4</v>
      </c>
      <c r="BD43" s="12">
        <f>IF('Données projet'!$A$88&gt;35,BD42+BC43-BL42,IF(A43&lt;'Données projet'!$A$88,$BA$205^A43,IF(A43='Données projet'!$A$88,'Données projet'!$B$88,BD42+BC43-BL42)))</f>
        <v>163.00000000000003</v>
      </c>
      <c r="BE43" s="13">
        <f>BD43*VLOOKUP('Données projet'!$B$11,Paramètres!$A$1:$I$89,3,0)*VLOOKUP('Données projet'!$B$11,Paramètres!$A$1:$I$89,5,0)</f>
        <v>139.85400000000004</v>
      </c>
      <c r="BF43" s="13">
        <f t="shared" si="37"/>
        <v>36.263556914404674</v>
      </c>
      <c r="BG43" s="20">
        <f t="shared" si="7"/>
        <v>306.73807829258823</v>
      </c>
      <c r="BH43" s="59">
        <f t="shared" si="8"/>
        <v>600.07141162592154</v>
      </c>
      <c r="BI43" s="59">
        <f ca="1">AVERAGE(OFFSET($BH$3,0,0,'Données projet'!$E$11+1,1))-AVERAGE(OFFSET($H$3,0,0,'Données projet'!$E$11+1,1))</f>
        <v>352.61091660077574</v>
      </c>
      <c r="BJ43" s="59">
        <f t="shared" si="38"/>
        <v>186.48649111821521</v>
      </c>
      <c r="BK43" s="15">
        <f>IF(ISNA(VLOOKUP(A43,'Données projet'!$A$87:$I$107,3,0)),0,VLOOKUP(A43,'Données projet'!$A$87:$I$107,3,0))</f>
        <v>4</v>
      </c>
      <c r="BL43" s="15">
        <f>IF(ISNA(VLOOKUP(A43,'Données projet'!$A$87:$I$107,4,0)),0,VLOOKUP(A43,'Données projet'!$A$87:$I$107,4,0))</f>
        <v>28</v>
      </c>
      <c r="BM43" s="16">
        <f>IF(ISNA(VLOOKUP(A43,'Données projet'!$A$87:$I$107,5,0)),0%,VLOOKUP(A43,'Données projet'!$A$87:$I$107,5,0)*VLOOKUP('Données projet'!$B$11,Paramètres!$A$1:$I$89,7,0))</f>
        <v>0.53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26.82428940588041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26.82428940588041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192</v>
      </c>
      <c r="BW43" s="12">
        <f>VLOOKUP(A43,'Données projet'!$A$113:$I$133,9,0)</f>
        <v>9.6</v>
      </c>
      <c r="BX43" s="12">
        <f t="array" ref="BX43">INDEX(BW:BW,MIN(IF(ISNUMBER(BW43:BW239),ROW(BW43:BW239),"")))</f>
        <v>9.6</v>
      </c>
      <c r="BY43" s="12">
        <f>IF('Données projet'!$A$114&gt;35,BY42+BX43-CG42,IF(A43&lt;'Données projet'!$A$114,$BV$205^A43,IF(A43='Données projet'!$A$114,'Données projet'!$B$114,BY42+BX43-CG42)))</f>
        <v>192</v>
      </c>
      <c r="BZ43" s="13">
        <f>BY43*VLOOKUP('Données projet'!$B$12,Paramètres!$A$1:$I$89,3,0)*VLOOKUP('Données projet'!$B$12,Paramètres!$A$1:$I$89,5,0)</f>
        <v>152.7552</v>
      </c>
      <c r="CA43" s="13">
        <f t="shared" si="39"/>
        <v>39.204049895729561</v>
      </c>
      <c r="CB43" s="20">
        <f t="shared" si="10"/>
        <v>334.32902690172892</v>
      </c>
      <c r="CC43" s="59">
        <f t="shared" si="11"/>
        <v>627.66236023506224</v>
      </c>
      <c r="CD43" s="59">
        <f ca="1">AVERAGE(OFFSET($CC$3,0,0,'Données projet'!$E$12+1,1))-AVERAGE(OFFSET($H$3,0,0,'Données projet'!$E$12+1,1))</f>
        <v>225.2323446080772</v>
      </c>
      <c r="CE43" s="59">
        <f t="shared" si="40"/>
        <v>222.29030402759292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28</v>
      </c>
      <c r="CH43" s="16">
        <f>IF(ISNA(VLOOKUP(A43,'Données projet'!$A$113:$I$133,5,0)),0%,VLOOKUP(A43,'Données projet'!$A$113:$I$133,5,0)*VLOOKUP('Données projet'!$B$12,Paramètres!$A$1:$I$89,7,0))</f>
        <v>0.53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24.873431994543651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24.873431994543651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153</v>
      </c>
      <c r="CR43" s="12">
        <f>VLOOKUP(A43,'Données projet'!$A$139:$I$159,9,0)</f>
        <v>7.6</v>
      </c>
      <c r="CS43" s="12">
        <f t="array" ref="CS43">INDEX(CR:CR,MIN(IF(ISNUMBER(CR43:CR239),ROW(CR43:CR239),"")))</f>
        <v>7.6</v>
      </c>
      <c r="CT43" s="12">
        <f>IF('Données projet'!$A$140&gt;35,CT42+CS43-DB42,IF(A43&lt;'Données projet'!$A$140,$CQ$205^A43,IF(A43='Données projet'!$A$140,'Données projet'!$B$140,CT42+CS43-DB42)))</f>
        <v>152.99999999999994</v>
      </c>
      <c r="CU43" s="17">
        <f>CT43*VLOOKUP('Données projet'!$B$13,Paramètres!$A$1:$I$89,3,0)*VLOOKUP('Données projet'!$B$13,Paramètres!$A$1:$I$89,5,0)</f>
        <v>147.98159999999996</v>
      </c>
      <c r="CV43" s="13">
        <f t="shared" si="41"/>
        <v>38.119535949375617</v>
      </c>
      <c r="CW43" s="20">
        <f t="shared" si="13"/>
        <v>324.12614511182915</v>
      </c>
      <c r="CX43" s="59">
        <f t="shared" si="14"/>
        <v>617.4594784451624</v>
      </c>
      <c r="CY43" s="59">
        <f ca="1">AVERAGE(OFFSET($CX$3,0,0,'Données projet'!$E$13+1,1))-AVERAGE(OFFSET($H$3,0,0,'Données projet'!$E$13+1,1))</f>
        <v>212.32823943192528</v>
      </c>
      <c r="CZ43" s="59">
        <f t="shared" si="42"/>
        <v>209.60834138503003</v>
      </c>
      <c r="DA43" s="15">
        <f>IF(ISNA(VLOOKUP(A43,'Données projet'!$A$139:$I$159,3,0)),0,VLOOKUP(A43,'Données projet'!$A$139:$I$159,3,0))</f>
        <v>5</v>
      </c>
      <c r="DB43" s="15">
        <f>IF(ISNA(VLOOKUP(A43,'Données projet'!$A$139:$I$159,4,0)),0,VLOOKUP(A43,'Données projet'!$A$139:$I$159,4,0))</f>
        <v>21</v>
      </c>
      <c r="DC43" s="16">
        <f>IF(ISNA(VLOOKUP(A43,'Données projet'!$A$139:$I$159,5,0)),0%,VLOOKUP(A43,'Données projet'!$A$139:$I$159,5,0)*VLOOKUP('Données projet'!$B$13,Paramètres!$A$1:$I$89,7,0))</f>
        <v>0.43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18.399714122489836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18.399714122489836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208</v>
      </c>
      <c r="DM43" s="12">
        <f>VLOOKUP(A43,'Données projet'!$A$165:$I$185,9,0)</f>
        <v>12.4</v>
      </c>
      <c r="DN43" s="12">
        <f t="array" ref="DN43">INDEX(DM:DM,MIN(IF(ISNUMBER(DM43:DM239),ROW(DM43:DM239),"")))</f>
        <v>12.4</v>
      </c>
      <c r="DO43" s="12">
        <f>IF('Données projet'!$A$166&gt;35,DO42+DN43-DW42,IF(A43&lt;'Données projet'!$A$166,$DL$205^A43,IF(A43='Données projet'!$A$166,'Données projet'!$B$166,DO42+DN43-DW42)))</f>
        <v>208.00000000000003</v>
      </c>
      <c r="DP43" s="17">
        <f>DO43*VLOOKUP('Données projet'!$B$14,Paramètres!$A$1:$I$89,3,0)*VLOOKUP('Données projet'!$B$14,Paramètres!$A$1:$I$89,5,0)</f>
        <v>162.24000000000004</v>
      </c>
      <c r="DQ43" s="13">
        <f t="shared" si="43"/>
        <v>41.347344120141088</v>
      </c>
      <c r="DR43" s="20">
        <f t="shared" si="16"/>
        <v>354.58129100924572</v>
      </c>
      <c r="DS43" s="59">
        <f t="shared" si="17"/>
        <v>647.91462434257903</v>
      </c>
      <c r="DT43" s="59">
        <f ca="1">AVERAGE(OFFSET($DS$3,0,0,'Données projet'!$E$14+1,1))-AVERAGE(OFFSET($H$3,0,0,'Données projet'!$E$14+1,1))</f>
        <v>215.84581110302656</v>
      </c>
      <c r="DU43" s="59">
        <f t="shared" si="44"/>
        <v>193.88588526156104</v>
      </c>
      <c r="DV43" s="15">
        <f>IF(ISNA(VLOOKUP(A43,'Données projet'!$A$165:$I$185,3,0)),0,VLOOKUP(A43,'Données projet'!$A$165:$I$185,3,0))</f>
        <v>4</v>
      </c>
      <c r="DW43" s="15">
        <f>IF(ISNA(VLOOKUP(A43,'Données projet'!$A$165:$I$185,4,0)),0,VLOOKUP(A43,'Données projet'!$A$165:$I$185,4,0))</f>
        <v>32</v>
      </c>
      <c r="DX43" s="16">
        <f>IF(ISNA(VLOOKUP(A43,'Données projet'!$A$165:$I$185,5,0)),0%,VLOOKUP(A43,'Données projet'!$A$165:$I$185,5,0)*VLOOKUP('Données projet'!$B$14,Paramètres!$A$1:$I$89,7,0))</f>
        <v>0.43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20.93191842352843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20.93191842352843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6">
        <f t="shared" si="1"/>
        <v>338.86781049841682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13.9</v>
      </c>
      <c r="N44" s="13">
        <f>IF('Données projet'!$A$36&gt;35,N43+M44-V43,IF(A44&lt;'Données projet'!$A$36,$K$205^A44,IF(A44='Données projet'!$A$36,'Données projet'!$B$36,N43+M44-V43)))</f>
        <v>316.10000000000008</v>
      </c>
      <c r="O44" s="13">
        <f>N44*VLOOKUP('Données projet'!$B$9,Paramètres!$A$1:$I$89,3,0)*VLOOKUP('Données projet'!$B$9,Paramètres!$A$1:$I$89,5,0)</f>
        <v>197.24640000000005</v>
      </c>
      <c r="P44" s="13">
        <f t="shared" si="33"/>
        <v>49.138522374247245</v>
      </c>
      <c r="Q44" s="20">
        <f t="shared" si="53"/>
        <v>429.12040646848072</v>
      </c>
      <c r="R44" s="59">
        <f t="shared" si="0"/>
        <v>722.45373980181398</v>
      </c>
      <c r="S44" s="59">
        <f ca="1">AVERAGE(OFFSET($R$3,0,0,'Données projet'!$E$9+1,1))-AVERAGE(OFFSET($H$3,0,0,'Données projet'!$E$9+1,1))</f>
        <v>269.77739619445515</v>
      </c>
      <c r="T44" s="59">
        <f t="shared" si="34"/>
        <v>347.56964743629885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26.270767357524711</v>
      </c>
      <c r="AA44" s="21">
        <f>EXP(-LN(2)/25)*AA43+(1-EXP(-LN(2)/25))/(LN(2)/25)*Calculateur!V44*Calculateur!X44*VLOOKUP('Données projet'!$B$9,Paramètres!$A$1:$I$89,3,0)*0.475*44/12</f>
        <v>67.62634476770468</v>
      </c>
      <c r="AB44" s="21">
        <f>EXP(-LN(2)/2)*AB43+(1-EXP(-LN(2)/2))/(LN(2)/2)*V44*Y44*VLOOKUP('Données projet'!$B$9,Paramètres!$A$1:$I$89,3,0)*0.475*44/12</f>
        <v>5.4885509091063579E-4</v>
      </c>
      <c r="AC44" s="22">
        <f t="shared" si="3"/>
        <v>93.89766098032031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26</v>
      </c>
      <c r="AI44" s="13">
        <f>IF('Données projet'!$A$62&gt;35,AI43+AH44-AQ43,IF(A44&lt;'Données projet'!$A$62,$AF$205^A44,IF(A44='Données projet'!$A$62,'Données projet'!$B$62,AI43+AH44-AQ43)))</f>
        <v>435.99999999999994</v>
      </c>
      <c r="AJ44" s="13">
        <f>AI44*VLOOKUP('Données projet'!$B$10,Paramètres!$A$1:$I$89,3,0)*VLOOKUP('Données projet'!$B$10,Paramètres!$A$1:$I$89,5,0)</f>
        <v>215.38399999999999</v>
      </c>
      <c r="AK44" s="13">
        <f t="shared" si="35"/>
        <v>53.110386125312175</v>
      </c>
      <c r="AL44" s="20">
        <f t="shared" si="4"/>
        <v>467.62772250158537</v>
      </c>
      <c r="AM44" s="59">
        <f t="shared" si="5"/>
        <v>760.96105583491862</v>
      </c>
      <c r="AN44" s="59">
        <f ca="1">AVERAGE(OFFSET($AM$3,0,0,'Données projet'!$E$10+1,1))-AVERAGE(OFFSET($H$3,0,0,'Données projet'!$E$10+1,1))</f>
        <v>396.27049617044378</v>
      </c>
      <c r="AO44" s="59">
        <f t="shared" si="36"/>
        <v>335.2680289568774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47.138429017434881</v>
      </c>
      <c r="AV44" s="21">
        <f>EXP(-LN(2)/25)*AV43+(1-EXP(-LN(2)/25))/(LN(2)/25)*Calculateur!AQ44*Calculateur!AS44*VLOOKUP('Données projet'!$B$10,Paramètres!$A$1:$I$89,3,0)*0.475*44/12</f>
        <v>34.651251993845591</v>
      </c>
      <c r="AW44" s="21">
        <f>EXP(-LN(2)/2)*AW43+(1-EXP(-LN(2)/2))/(LN(2)/2)*AQ44*AT44*VLOOKUP('Données projet'!$B$10,Paramètres!$A$1:$I$89,3,0)*0.475*44/12</f>
        <v>8.4970899259498456E-3</v>
      </c>
      <c r="AX44" s="21">
        <f t="shared" si="6"/>
        <v>81.798178101206418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</v>
      </c>
      <c r="BD44" s="12">
        <f>IF('Données projet'!$A$88&gt;35,BD43+BC44-BL43,IF(A44&lt;'Données projet'!$A$88,$BA$205^A44,IF(A44='Données projet'!$A$88,'Données projet'!$B$88,BD43+BC44-BL43)))</f>
        <v>146.00000000000003</v>
      </c>
      <c r="BE44" s="13">
        <f>BD44*VLOOKUP('Données projet'!$B$11,Paramètres!$A$1:$I$89,3,0)*VLOOKUP('Données projet'!$B$11,Paramètres!$A$1:$I$89,5,0)</f>
        <v>125.26800000000004</v>
      </c>
      <c r="BF44" s="13">
        <f t="shared" si="37"/>
        <v>32.9005846700787</v>
      </c>
      <c r="BG44" s="20">
        <f t="shared" si="7"/>
        <v>275.47695163372049</v>
      </c>
      <c r="BH44" s="59">
        <f t="shared" si="8"/>
        <v>568.8102849670538</v>
      </c>
      <c r="BI44" s="59">
        <f ca="1">AVERAGE(OFFSET($BH$3,0,0,'Données projet'!$E$11+1,1))-AVERAGE(OFFSET($H$3,0,0,'Données projet'!$E$11+1,1))</f>
        <v>352.61091660077574</v>
      </c>
      <c r="BJ44" s="59">
        <f t="shared" si="38"/>
        <v>186.48649111821521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26.2982814518321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26.2982814518321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8.1999999999999993</v>
      </c>
      <c r="BY44" s="12">
        <f>IF('Données projet'!$A$114&gt;35,BY43+BX44-CG43,IF(A44&lt;'Données projet'!$A$114,$BV$205^A44,IF(A44='Données projet'!$A$114,'Données projet'!$B$114,BY43+BX44-CG43)))</f>
        <v>172.2</v>
      </c>
      <c r="BZ44" s="13">
        <f>BY44*VLOOKUP('Données projet'!$B$12,Paramètres!$A$1:$I$89,3,0)*VLOOKUP('Données projet'!$B$12,Paramètres!$A$1:$I$89,5,0)</f>
        <v>137.00232</v>
      </c>
      <c r="CA44" s="13">
        <f t="shared" si="39"/>
        <v>35.609416420931346</v>
      </c>
      <c r="CB44" s="20">
        <f t="shared" si="10"/>
        <v>300.63210759978875</v>
      </c>
      <c r="CC44" s="59">
        <f t="shared" si="11"/>
        <v>593.96544093312207</v>
      </c>
      <c r="CD44" s="59">
        <f ca="1">AVERAGE(OFFSET($CC$3,0,0,'Données projet'!$E$12+1,1))-AVERAGE(OFFSET($H$3,0,0,'Données projet'!$E$12+1,1))</f>
        <v>225.2323446080772</v>
      </c>
      <c r="CE44" s="59">
        <f t="shared" si="40"/>
        <v>222.29030402759292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24.385679164426126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24.385679164426126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6.4</v>
      </c>
      <c r="CT44" s="12">
        <f>IF('Données projet'!$A$140&gt;35,CT43+CS44-DB43,IF(A44&lt;'Données projet'!$A$140,$CQ$205^A44,IF(A44='Données projet'!$A$140,'Données projet'!$B$140,CT43+CS44-DB43)))</f>
        <v>138.39999999999995</v>
      </c>
      <c r="CU44" s="17">
        <f>CT44*VLOOKUP('Données projet'!$B$13,Paramètres!$A$1:$I$89,3,0)*VLOOKUP('Données projet'!$B$13,Paramètres!$A$1:$I$89,5,0)</f>
        <v>133.86047999999994</v>
      </c>
      <c r="CV44" s="13">
        <f t="shared" si="41"/>
        <v>34.886877963092971</v>
      </c>
      <c r="CW44" s="20">
        <f t="shared" si="13"/>
        <v>293.90164845238678</v>
      </c>
      <c r="CX44" s="59">
        <f t="shared" si="14"/>
        <v>587.23498178572004</v>
      </c>
      <c r="CY44" s="59">
        <f ca="1">AVERAGE(OFFSET($CX$3,0,0,'Données projet'!$E$13+1,1))-AVERAGE(OFFSET($H$3,0,0,'Données projet'!$E$13+1,1))</f>
        <v>212.32823943192528</v>
      </c>
      <c r="CZ44" s="59">
        <f t="shared" si="42"/>
        <v>209.60834138503003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18.038906951265275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18.038906951265275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11.4</v>
      </c>
      <c r="DO44" s="12">
        <f>IF('Données projet'!$A$166&gt;35,DO43+DN44-DW43,IF(A44&lt;'Données projet'!$A$166,$DL$205^A44,IF(A44='Données projet'!$A$166,'Données projet'!$B$166,DO43+DN44-DW43)))</f>
        <v>187.40000000000003</v>
      </c>
      <c r="DP44" s="17">
        <f>DO44*VLOOKUP('Données projet'!$B$14,Paramètres!$A$1:$I$89,3,0)*VLOOKUP('Données projet'!$B$14,Paramètres!$A$1:$I$89,5,0)</f>
        <v>146.17200000000003</v>
      </c>
      <c r="DQ44" s="13">
        <f t="shared" si="43"/>
        <v>37.707354374771185</v>
      </c>
      <c r="DR44" s="20">
        <f t="shared" si="16"/>
        <v>320.25654220272645</v>
      </c>
      <c r="DS44" s="59">
        <f t="shared" si="17"/>
        <v>613.58987553605971</v>
      </c>
      <c r="DT44" s="59">
        <f ca="1">AVERAGE(OFFSET($DS$3,0,0,'Données projet'!$E$14+1,1))-AVERAGE(OFFSET($H$3,0,0,'Données projet'!$E$14+1,1))</f>
        <v>215.84581110302656</v>
      </c>
      <c r="DU44" s="59">
        <f t="shared" si="44"/>
        <v>193.88588526156104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20.521456270452617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20.521456270452617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6">
        <f t="shared" si="1"/>
        <v>339.94630797071898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330</v>
      </c>
      <c r="L45" s="12">
        <f>VLOOKUP(A45,'Données projet'!$A$35:$I$55,9,0)</f>
        <v>13.9</v>
      </c>
      <c r="M45" s="12">
        <f t="array" ref="M45">INDEX(L:L,MIN(IF(ISNUMBER(L45:L241),ROW(L45:L241),"")))</f>
        <v>13.9</v>
      </c>
      <c r="N45" s="13">
        <f>IF('Données projet'!$A$36&gt;35,N44+M45-V44,IF(A45&lt;'Données projet'!$A$36,$K$205^A45,IF(A45='Données projet'!$A$36,'Données projet'!$B$36,N44+M45-V44)))</f>
        <v>330.00000000000006</v>
      </c>
      <c r="O45" s="13">
        <f>N45*VLOOKUP('Données projet'!$B$9,Paramètres!$A$1:$I$89,3,0)*VLOOKUP('Données projet'!$B$9,Paramètres!$A$1:$I$89,5,0)</f>
        <v>205.92000000000004</v>
      </c>
      <c r="P45" s="13">
        <f t="shared" si="33"/>
        <v>51.042987531485686</v>
      </c>
      <c r="Q45" s="20">
        <f t="shared" si="53"/>
        <v>447.54386995067097</v>
      </c>
      <c r="R45" s="59">
        <f t="shared" si="0"/>
        <v>740.87720328400428</v>
      </c>
      <c r="S45" s="59">
        <f ca="1">AVERAGE(OFFSET($R$3,0,0,'Données projet'!$E$9+1,1))-AVERAGE(OFFSET($H$3,0,0,'Données projet'!$E$9+1,1))</f>
        <v>269.77739619445515</v>
      </c>
      <c r="T45" s="59">
        <f t="shared" si="34"/>
        <v>347.56964743629885</v>
      </c>
      <c r="U45" s="15">
        <f>IF(ISNA(VLOOKUP(A45,'Données projet'!$A$35:$I$55,3,0)),0,VLOOKUP(A45,'Données projet'!$A$35:$I$55,3,0))</f>
        <v>6</v>
      </c>
      <c r="V45" s="15">
        <f>IF(ISNA(VLOOKUP(A45,'Données projet'!$A$35:$I$55,4,0)),0,VLOOKUP(A45,'Données projet'!$A$35:$I$55,4,0))</f>
        <v>54.6</v>
      </c>
      <c r="W45" s="16">
        <f>IF(ISNA(VLOOKUP(A45,'Données projet'!$A$35:$I$55,5,0)),0%,VLOOKUP(A45,'Données projet'!$A$35:$I$55,5,0)*VLOOKUP('Données projet'!$B$9,Paramètres!$A$1:$I$89,7,0))</f>
        <v>0.6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52.873562606793925</v>
      </c>
      <c r="AA45" s="21">
        <f>EXP(-LN(2)/25)*AA44+(1-EXP(-LN(2)/25))/(LN(2)/25)*Calculateur!V45*Calculateur!X45*VLOOKUP('Données projet'!$B$9,Paramètres!$A$1:$I$89,3,0)*0.475*44/12</f>
        <v>65.77709881371689</v>
      </c>
      <c r="AB45" s="21">
        <f>EXP(-LN(2)/2)*AB44+(1-EXP(-LN(2)/2))/(LN(2)/2)*V45*Y45*VLOOKUP('Données projet'!$B$9,Paramètres!$A$1:$I$89,3,0)*0.475*44/12</f>
        <v>3.880991566716696E-4</v>
      </c>
      <c r="AC45" s="22">
        <f t="shared" si="3"/>
        <v>118.65104951966748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26</v>
      </c>
      <c r="AI45" s="13">
        <f>IF('Données projet'!$A$62&gt;35,AI44+AH45-AQ44,IF(A45&lt;'Données projet'!$A$62,$AF$205^A45,IF(A45='Données projet'!$A$62,'Données projet'!$B$62,AI44+AH45-AQ44)))</f>
        <v>461.99999999999994</v>
      </c>
      <c r="AJ45" s="13">
        <f>AI45*VLOOKUP('Données projet'!$B$10,Paramètres!$A$1:$I$89,3,0)*VLOOKUP('Données projet'!$B$10,Paramètres!$A$1:$I$89,5,0)</f>
        <v>228.22799999999998</v>
      </c>
      <c r="AK45" s="13">
        <f t="shared" si="35"/>
        <v>55.899361406374432</v>
      </c>
      <c r="AL45" s="20">
        <f t="shared" si="4"/>
        <v>494.85515444943547</v>
      </c>
      <c r="AM45" s="59">
        <f t="shared" si="5"/>
        <v>788.18848778276879</v>
      </c>
      <c r="AN45" s="59">
        <f ca="1">AVERAGE(OFFSET($AM$3,0,0,'Données projet'!$E$10+1,1))-AVERAGE(OFFSET($H$3,0,0,'Données projet'!$E$10+1,1))</f>
        <v>396.27049617044378</v>
      </c>
      <c r="AO45" s="59">
        <f t="shared" si="36"/>
        <v>335.2680289568774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46.214073176005698</v>
      </c>
      <c r="AV45" s="21">
        <f>EXP(-LN(2)/25)*AV44+(1-EXP(-LN(2)/25))/(LN(2)/25)*Calculateur!AQ45*Calculateur!AS45*VLOOKUP('Données projet'!$B$10,Paramètres!$A$1:$I$89,3,0)*0.475*44/12</f>
        <v>33.703711685843736</v>
      </c>
      <c r="AW45" s="21">
        <f>EXP(-LN(2)/2)*AW44+(1-EXP(-LN(2)/2))/(LN(2)/2)*AQ45*AT45*VLOOKUP('Données projet'!$B$10,Paramètres!$A$1:$I$89,3,0)*0.475*44/12</f>
        <v>6.0083499069910349E-3</v>
      </c>
      <c r="AX45" s="21">
        <f t="shared" si="6"/>
        <v>79.923793211756433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</v>
      </c>
      <c r="BD45" s="12">
        <f>IF('Données projet'!$A$88&gt;35,BD44+BC45-BL44,IF(A45&lt;'Données projet'!$A$88,$BA$205^A45,IF(A45='Données projet'!$A$88,'Données projet'!$B$88,BD44+BC45-BL44)))</f>
        <v>157.00000000000003</v>
      </c>
      <c r="BE45" s="13">
        <f>BD45*VLOOKUP('Données projet'!$B$11,Paramètres!$A$1:$I$89,3,0)*VLOOKUP('Données projet'!$B$11,Paramètres!$A$1:$I$89,5,0)</f>
        <v>134.70600000000005</v>
      </c>
      <c r="BF45" s="13">
        <f t="shared" si="37"/>
        <v>35.081517028838505</v>
      </c>
      <c r="BG45" s="20">
        <f t="shared" si="7"/>
        <v>295.71325882522711</v>
      </c>
      <c r="BH45" s="59">
        <f t="shared" si="8"/>
        <v>589.04659215856043</v>
      </c>
      <c r="BI45" s="59">
        <f ca="1">AVERAGE(OFFSET($BH$3,0,0,'Données projet'!$E$11+1,1))-AVERAGE(OFFSET($H$3,0,0,'Données projet'!$E$11+1,1))</f>
        <v>352.61091660077574</v>
      </c>
      <c r="BJ45" s="59">
        <f t="shared" si="38"/>
        <v>186.48649111821521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25.782588192929502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25.782588192929502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8.1999999999999993</v>
      </c>
      <c r="BY45" s="12">
        <f>IF('Données projet'!$A$114&gt;35,BY44+BX45-CG44,IF(A45&lt;'Données projet'!$A$114,$BV$205^A45,IF(A45='Données projet'!$A$114,'Données projet'!$B$114,BY44+BX45-CG44)))</f>
        <v>180.39999999999998</v>
      </c>
      <c r="BZ45" s="13">
        <f>BY45*VLOOKUP('Données projet'!$B$12,Paramètres!$A$1:$I$89,3,0)*VLOOKUP('Données projet'!$B$12,Paramètres!$A$1:$I$89,5,0)</f>
        <v>143.52624</v>
      </c>
      <c r="CA45" s="13">
        <f t="shared" si="39"/>
        <v>37.103644337236275</v>
      </c>
      <c r="CB45" s="20">
        <f t="shared" si="10"/>
        <v>314.59704855401981</v>
      </c>
      <c r="CC45" s="59">
        <f t="shared" si="11"/>
        <v>607.93038188735318</v>
      </c>
      <c r="CD45" s="59">
        <f ca="1">AVERAGE(OFFSET($CC$3,0,0,'Données projet'!$E$12+1,1))-AVERAGE(OFFSET($H$3,0,0,'Données projet'!$E$12+1,1))</f>
        <v>225.2323446080772</v>
      </c>
      <c r="CE45" s="59">
        <f t="shared" si="40"/>
        <v>222.29030402759292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23.907490869807354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23.907490869807354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6.4</v>
      </c>
      <c r="CT45" s="12">
        <f>IF('Données projet'!$A$140&gt;35,CT44+CS45-DB44,IF(A45&lt;'Données projet'!$A$140,$CQ$205^A45,IF(A45='Données projet'!$A$140,'Données projet'!$B$140,CT44+CS45-DB44)))</f>
        <v>144.79999999999995</v>
      </c>
      <c r="CU45" s="17">
        <f>CT45*VLOOKUP('Données projet'!$B$13,Paramètres!$A$1:$I$89,3,0)*VLOOKUP('Données projet'!$B$13,Paramètres!$A$1:$I$89,5,0)</f>
        <v>140.05055999999996</v>
      </c>
      <c r="CV45" s="13">
        <f t="shared" si="41"/>
        <v>36.308587837605089</v>
      </c>
      <c r="CW45" s="20">
        <f t="shared" si="13"/>
        <v>307.15884915049543</v>
      </c>
      <c r="CX45" s="59">
        <f t="shared" si="14"/>
        <v>600.49218248382874</v>
      </c>
      <c r="CY45" s="59">
        <f ca="1">AVERAGE(OFFSET($CX$3,0,0,'Données projet'!$E$13+1,1))-AVERAGE(OFFSET($H$3,0,0,'Données projet'!$E$13+1,1))</f>
        <v>212.32823943192528</v>
      </c>
      <c r="CZ45" s="59">
        <f t="shared" si="42"/>
        <v>209.60834138503003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17.685174988597783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17.685174988597783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11.4</v>
      </c>
      <c r="DO45" s="12">
        <f>IF('Données projet'!$A$166&gt;35,DO44+DN45-DW44,IF(A45&lt;'Données projet'!$A$166,$DL$205^A45,IF(A45='Données projet'!$A$166,'Données projet'!$B$166,DO44+DN45-DW44)))</f>
        <v>198.80000000000004</v>
      </c>
      <c r="DP45" s="17">
        <f>DO45*VLOOKUP('Données projet'!$B$14,Paramètres!$A$1:$I$89,3,0)*VLOOKUP('Données projet'!$B$14,Paramètres!$A$1:$I$89,5,0)</f>
        <v>155.06400000000005</v>
      </c>
      <c r="DQ45" s="13">
        <f t="shared" si="43"/>
        <v>39.727164550120094</v>
      </c>
      <c r="DR45" s="20">
        <f t="shared" si="16"/>
        <v>339.26127825812586</v>
      </c>
      <c r="DS45" s="59">
        <f t="shared" si="17"/>
        <v>632.59461159145917</v>
      </c>
      <c r="DT45" s="59">
        <f ca="1">AVERAGE(OFFSET($DS$3,0,0,'Données projet'!$E$14+1,1))-AVERAGE(OFFSET($H$3,0,0,'Données projet'!$E$14+1,1))</f>
        <v>215.84581110302656</v>
      </c>
      <c r="DU45" s="59">
        <f t="shared" si="44"/>
        <v>193.88588526156104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20.119043029841428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20.119043029841428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6">
        <f t="shared" si="1"/>
        <v>341.02413906270732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12.933333333333337</v>
      </c>
      <c r="N46" s="13">
        <f>IF('Données projet'!$A$36&gt;35,N45+M46-V45,IF(A46&lt;'Données projet'!$A$36,$K$205^A46,IF(A46='Données projet'!$A$36,'Données projet'!$B$36,N45+M46-V45)))</f>
        <v>288.33333333333337</v>
      </c>
      <c r="O46" s="13">
        <f>N46*VLOOKUP('Données projet'!$B$9,Paramètres!$A$1:$I$89,3,0)*VLOOKUP('Données projet'!$B$9,Paramètres!$A$1:$I$89,5,0)</f>
        <v>179.92000000000002</v>
      </c>
      <c r="P46" s="13">
        <f t="shared" si="33"/>
        <v>45.304387180011844</v>
      </c>
      <c r="Q46" s="20">
        <f t="shared" si="53"/>
        <v>392.26580767185396</v>
      </c>
      <c r="R46" s="59">
        <f t="shared" si="0"/>
        <v>685.59914100518722</v>
      </c>
      <c r="S46" s="59">
        <f ca="1">AVERAGE(OFFSET($R$3,0,0,'Données projet'!$E$9+1,1))-AVERAGE(OFFSET($H$3,0,0,'Données projet'!$E$9+1,1))</f>
        <v>269.77739619445515</v>
      </c>
      <c r="T46" s="59">
        <f t="shared" si="34"/>
        <v>347.56964743629885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51.836744293763495</v>
      </c>
      <c r="AA46" s="21">
        <f>EXP(-LN(2)/25)*AA45+(1-EXP(-LN(2)/25))/(LN(2)/25)*Calculateur!V46*Calculateur!X46*VLOOKUP('Données projet'!$B$9,Paramètres!$A$1:$I$89,3,0)*0.475*44/12</f>
        <v>63.978420587588509</v>
      </c>
      <c r="AB46" s="21">
        <f>EXP(-LN(2)/2)*AB45+(1-EXP(-LN(2)/2))/(LN(2)/2)*V46*Y46*VLOOKUP('Données projet'!$B$9,Paramètres!$A$1:$I$89,3,0)*0.475*44/12</f>
        <v>2.744275454553179E-4</v>
      </c>
      <c r="AC46" s="22">
        <f t="shared" si="3"/>
        <v>115.81543930889745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26</v>
      </c>
      <c r="AI46" s="13">
        <f>IF('Données projet'!$A$62&gt;35,AI45+AH46-AQ45,IF(A46&lt;'Données projet'!$A$62,$AF$205^A46,IF(A46='Données projet'!$A$62,'Données projet'!$B$62,AI45+AH46-AQ45)))</f>
        <v>487.99999999999994</v>
      </c>
      <c r="AJ46" s="13">
        <f>AI46*VLOOKUP('Données projet'!$B$10,Paramètres!$A$1:$I$89,3,0)*VLOOKUP('Données projet'!$B$10,Paramètres!$A$1:$I$89,5,0)</f>
        <v>241.07199999999997</v>
      </c>
      <c r="AK46" s="13">
        <f t="shared" si="35"/>
        <v>58.670116645035129</v>
      </c>
      <c r="AL46" s="20">
        <f t="shared" si="4"/>
        <v>522.05085315676945</v>
      </c>
      <c r="AM46" s="59">
        <f t="shared" si="5"/>
        <v>815.38418649010282</v>
      </c>
      <c r="AN46" s="59">
        <f ca="1">AVERAGE(OFFSET($AM$3,0,0,'Données projet'!$E$10+1,1))-AVERAGE(OFFSET($H$3,0,0,'Données projet'!$E$10+1,1))</f>
        <v>396.27049617044378</v>
      </c>
      <c r="AO46" s="59">
        <f t="shared" si="36"/>
        <v>335.2680289568774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45.307843388825546</v>
      </c>
      <c r="AV46" s="21">
        <f>EXP(-LN(2)/25)*AV45+(1-EXP(-LN(2)/25))/(LN(2)/25)*Calculateur!AQ46*Calculateur!AS46*VLOOKUP('Données projet'!$B$10,Paramètres!$A$1:$I$89,3,0)*0.475*44/12</f>
        <v>32.782081917393171</v>
      </c>
      <c r="AW46" s="21">
        <f>EXP(-LN(2)/2)*AW45+(1-EXP(-LN(2)/2))/(LN(2)/2)*AQ46*AT46*VLOOKUP('Données projet'!$B$10,Paramètres!$A$1:$I$89,3,0)*0.475*44/12</f>
        <v>4.2485449629749228E-3</v>
      </c>
      <c r="AX46" s="21">
        <f t="shared" si="6"/>
        <v>78.094173851181694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</v>
      </c>
      <c r="BD46" s="12">
        <f>IF('Données projet'!$A$88&gt;35,BD45+BC46-BL45,IF(A46&lt;'Données projet'!$A$88,$BA$205^A46,IF(A46='Données projet'!$A$88,'Données projet'!$B$88,BD45+BC46-BL45)))</f>
        <v>168.00000000000003</v>
      </c>
      <c r="BE46" s="13">
        <f>BD46*VLOOKUP('Données projet'!$B$11,Paramètres!$A$1:$I$89,3,0)*VLOOKUP('Données projet'!$B$11,Paramètres!$A$1:$I$89,5,0)</f>
        <v>144.14400000000003</v>
      </c>
      <c r="BF46" s="13">
        <f t="shared" si="37"/>
        <v>37.244720006976252</v>
      </c>
      <c r="BG46" s="20">
        <f t="shared" si="7"/>
        <v>315.9186873454837</v>
      </c>
      <c r="BH46" s="59">
        <f t="shared" si="8"/>
        <v>609.25202067881696</v>
      </c>
      <c r="BI46" s="59">
        <f ca="1">AVERAGE(OFFSET($BH$3,0,0,'Données projet'!$E$11+1,1))-AVERAGE(OFFSET($H$3,0,0,'Données projet'!$E$11+1,1))</f>
        <v>352.61091660077574</v>
      </c>
      <c r="BJ46" s="59">
        <f t="shared" si="38"/>
        <v>186.48649111821521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25.277007364292157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25.277007364292157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8.1999999999999993</v>
      </c>
      <c r="BY46" s="12">
        <f>IF('Données projet'!$A$114&gt;35,BY45+BX46-CG45,IF(A46&lt;'Données projet'!$A$114,$BV$205^A46,IF(A46='Données projet'!$A$114,'Données projet'!$B$114,BY45+BX46-CG45)))</f>
        <v>188.59999999999997</v>
      </c>
      <c r="BZ46" s="13">
        <f>BY46*VLOOKUP('Données projet'!$B$12,Paramètres!$A$1:$I$89,3,0)*VLOOKUP('Données projet'!$B$12,Paramètres!$A$1:$I$89,5,0)</f>
        <v>150.05015999999998</v>
      </c>
      <c r="CA46" s="13">
        <f t="shared" si="39"/>
        <v>38.589984439024569</v>
      </c>
      <c r="CB46" s="20">
        <f t="shared" si="10"/>
        <v>328.54825156463437</v>
      </c>
      <c r="CC46" s="59">
        <f t="shared" si="11"/>
        <v>621.88158489796774</v>
      </c>
      <c r="CD46" s="59">
        <f ca="1">AVERAGE(OFFSET($CC$3,0,0,'Données projet'!$E$12+1,1))-AVERAGE(OFFSET($H$3,0,0,'Données projet'!$E$12+1,1))</f>
        <v>225.2323446080772</v>
      </c>
      <c r="CE46" s="59">
        <f t="shared" si="40"/>
        <v>222.29030402759292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23.438679555979999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23.438679555979999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6.4</v>
      </c>
      <c r="CT46" s="12">
        <f>IF('Données projet'!$A$140&gt;35,CT45+CS46-DB45,IF(A46&lt;'Données projet'!$A$140,$CQ$205^A46,IF(A46='Données projet'!$A$140,'Données projet'!$B$140,CT45+CS46-DB45)))</f>
        <v>151.19999999999996</v>
      </c>
      <c r="CU46" s="17">
        <f>CT46*VLOOKUP('Données projet'!$B$13,Paramètres!$A$1:$I$89,3,0)*VLOOKUP('Données projet'!$B$13,Paramètres!$A$1:$I$89,5,0)</f>
        <v>146.24063999999996</v>
      </c>
      <c r="CV46" s="13">
        <f t="shared" si="41"/>
        <v>37.722999642090592</v>
      </c>
      <c r="CW46" s="20">
        <f t="shared" si="13"/>
        <v>320.40333904330771</v>
      </c>
      <c r="CX46" s="59">
        <f t="shared" si="14"/>
        <v>613.73667237664108</v>
      </c>
      <c r="CY46" s="59">
        <f ca="1">AVERAGE(OFFSET($CX$3,0,0,'Données projet'!$E$13+1,1))-AVERAGE(OFFSET($H$3,0,0,'Données projet'!$E$13+1,1))</f>
        <v>212.32823943192528</v>
      </c>
      <c r="CZ46" s="59">
        <f t="shared" si="42"/>
        <v>209.60834138503003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17.338379493963007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17.338379493963007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11.4</v>
      </c>
      <c r="DO46" s="12">
        <f>IF('Données projet'!$A$166&gt;35,DO45+DN46-DW45,IF(A46&lt;'Données projet'!$A$166,$DL$205^A46,IF(A46='Données projet'!$A$166,'Données projet'!$B$166,DO45+DN46-DW45)))</f>
        <v>210.20000000000005</v>
      </c>
      <c r="DP46" s="17">
        <f>DO46*VLOOKUP('Données projet'!$B$14,Paramètres!$A$1:$I$89,3,0)*VLOOKUP('Données projet'!$B$14,Paramètres!$A$1:$I$89,5,0)</f>
        <v>163.95600000000005</v>
      </c>
      <c r="DQ46" s="13">
        <f t="shared" si="43"/>
        <v>41.733529914742604</v>
      </c>
      <c r="DR46" s="20">
        <f t="shared" si="16"/>
        <v>358.24259793484339</v>
      </c>
      <c r="DS46" s="59">
        <f t="shared" si="17"/>
        <v>651.57593126817665</v>
      </c>
      <c r="DT46" s="59">
        <f ca="1">AVERAGE(OFFSET($DS$3,0,0,'Données projet'!$E$14+1,1))-AVERAGE(OFFSET($H$3,0,0,'Données projet'!$E$14+1,1))</f>
        <v>215.84581110302656</v>
      </c>
      <c r="DU46" s="59">
        <f t="shared" si="44"/>
        <v>193.88588526156104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19.724520867430787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19.724520867430787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6">
        <f t="shared" si="1"/>
        <v>342.1013210552274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12.933333333333337</v>
      </c>
      <c r="N47" s="13">
        <f>IF('Données projet'!$A$36&gt;35,N46+M47-V46,IF(A47&lt;'Données projet'!$A$36,$K$205^A47,IF(A47='Données projet'!$A$36,'Données projet'!$B$36,N46+M47-V46)))</f>
        <v>301.26666666666671</v>
      </c>
      <c r="O47" s="13">
        <f>N47*VLOOKUP('Données projet'!$B$9,Paramètres!$A$1:$I$89,3,0)*VLOOKUP('Données projet'!$B$9,Paramètres!$A$1:$I$89,5,0)</f>
        <v>187.99040000000002</v>
      </c>
      <c r="P47" s="13">
        <f t="shared" si="33"/>
        <v>47.095384246362833</v>
      </c>
      <c r="Q47" s="20">
        <f t="shared" si="53"/>
        <v>409.44107422908195</v>
      </c>
      <c r="R47" s="59">
        <f t="shared" si="0"/>
        <v>702.77440756241526</v>
      </c>
      <c r="S47" s="59">
        <f ca="1">AVERAGE(OFFSET($R$3,0,0,'Données projet'!$E$9+1,1))-AVERAGE(OFFSET($H$3,0,0,'Données projet'!$E$9+1,1))</f>
        <v>269.77739619445515</v>
      </c>
      <c r="T47" s="59">
        <f t="shared" si="34"/>
        <v>347.56964743629885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50.820257355454864</v>
      </c>
      <c r="AA47" s="21">
        <f>EXP(-LN(2)/25)*AA46+(1-EXP(-LN(2)/25))/(LN(2)/25)*Calculateur!V47*Calculateur!X47*VLOOKUP('Données projet'!$B$9,Paramètres!$A$1:$I$89,3,0)*0.475*44/12</f>
        <v>62.228927312141984</v>
      </c>
      <c r="AB47" s="21">
        <f>EXP(-LN(2)/2)*AB46+(1-EXP(-LN(2)/2))/(LN(2)/2)*V47*Y47*VLOOKUP('Données projet'!$B$9,Paramètres!$A$1:$I$89,3,0)*0.475*44/12</f>
        <v>1.940495783358348E-4</v>
      </c>
      <c r="AC47" s="22">
        <f t="shared" si="3"/>
        <v>113.04937871717519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26</v>
      </c>
      <c r="AI47" s="13">
        <f>IF('Données projet'!$A$62&gt;35,AI46+AH47-AQ46,IF(A47&lt;'Données projet'!$A$62,$AF$205^A47,IF(A47='Données projet'!$A$62,'Données projet'!$B$62,AI46+AH47-AQ46)))</f>
        <v>514</v>
      </c>
      <c r="AJ47" s="13">
        <f>AI47*VLOOKUP('Données projet'!$B$10,Paramètres!$A$1:$I$89,3,0)*VLOOKUP('Données projet'!$B$10,Paramètres!$A$1:$I$89,5,0)</f>
        <v>253.916</v>
      </c>
      <c r="AK47" s="13">
        <f t="shared" si="35"/>
        <v>61.423733271550354</v>
      </c>
      <c r="AL47" s="20">
        <f t="shared" si="4"/>
        <v>549.21670211461685</v>
      </c>
      <c r="AM47" s="59">
        <f t="shared" si="5"/>
        <v>842.55003544795022</v>
      </c>
      <c r="AN47" s="59">
        <f ca="1">AVERAGE(OFFSET($AM$3,0,0,'Données projet'!$E$10+1,1))-AVERAGE(OFFSET($H$3,0,0,'Données projet'!$E$10+1,1))</f>
        <v>396.27049617044378</v>
      </c>
      <c r="AO47" s="59">
        <f t="shared" si="36"/>
        <v>335.2680289568774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44.419384215026412</v>
      </c>
      <c r="AV47" s="21">
        <f>EXP(-LN(2)/25)*AV46+(1-EXP(-LN(2)/25))/(LN(2)/25)*Calculateur!AQ47*Calculateur!AS47*VLOOKUP('Données projet'!$B$10,Paramètres!$A$1:$I$89,3,0)*0.475*44/12</f>
        <v>31.88565416342729</v>
      </c>
      <c r="AW47" s="21">
        <f>EXP(-LN(2)/2)*AW46+(1-EXP(-LN(2)/2))/(LN(2)/2)*AQ47*AT47*VLOOKUP('Données projet'!$B$10,Paramètres!$A$1:$I$89,3,0)*0.475*44/12</f>
        <v>3.0041749534955174E-3</v>
      </c>
      <c r="AX47" s="21">
        <f t="shared" si="6"/>
        <v>76.308042553407191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</v>
      </c>
      <c r="BD47" s="12">
        <f>IF('Données projet'!$A$88&gt;35,BD46+BC47-BL46,IF(A47&lt;'Données projet'!$A$88,$BA$205^A47,IF(A47='Données projet'!$A$88,'Données projet'!$B$88,BD46+BC47-BL46)))</f>
        <v>179.00000000000003</v>
      </c>
      <c r="BE47" s="13">
        <f>BD47*VLOOKUP('Données projet'!$B$11,Paramètres!$A$1:$I$89,3,0)*VLOOKUP('Données projet'!$B$11,Paramètres!$A$1:$I$89,5,0)</f>
        <v>153.58200000000002</v>
      </c>
      <c r="BF47" s="13">
        <f t="shared" si="37"/>
        <v>39.391486561628568</v>
      </c>
      <c r="BG47" s="20">
        <f t="shared" si="7"/>
        <v>336.09548909483647</v>
      </c>
      <c r="BH47" s="59">
        <f t="shared" si="8"/>
        <v>629.42882242816972</v>
      </c>
      <c r="BI47" s="59">
        <f ca="1">AVERAGE(OFFSET($BH$3,0,0,'Données projet'!$E$11+1,1))-AVERAGE(OFFSET($H$3,0,0,'Données projet'!$E$11+1,1))</f>
        <v>352.61091660077574</v>
      </c>
      <c r="BJ47" s="59">
        <f t="shared" si="38"/>
        <v>186.48649111821521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24.781340667330532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24.781340667330532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8.1999999999999993</v>
      </c>
      <c r="BY47" s="12">
        <f>IF('Données projet'!$A$114&gt;35,BY46+BX47-CG46,IF(A47&lt;'Données projet'!$A$114,$BV$205^A47,IF(A47='Données projet'!$A$114,'Données projet'!$B$114,BY46+BX47-CG46)))</f>
        <v>196.79999999999995</v>
      </c>
      <c r="BZ47" s="13">
        <f>BY47*VLOOKUP('Données projet'!$B$12,Paramètres!$A$1:$I$89,3,0)*VLOOKUP('Données projet'!$B$12,Paramètres!$A$1:$I$89,5,0)</f>
        <v>156.57407999999998</v>
      </c>
      <c r="CA47" s="13">
        <f t="shared" si="39"/>
        <v>40.068818872547467</v>
      </c>
      <c r="CB47" s="20">
        <f t="shared" si="10"/>
        <v>342.48638220302013</v>
      </c>
      <c r="CC47" s="59">
        <f t="shared" si="11"/>
        <v>635.81971553635344</v>
      </c>
      <c r="CD47" s="59">
        <f ca="1">AVERAGE(OFFSET($CC$3,0,0,'Données projet'!$E$12+1,1))-AVERAGE(OFFSET($H$3,0,0,'Données projet'!$E$12+1,1))</f>
        <v>225.2323446080772</v>
      </c>
      <c r="CE47" s="59">
        <f t="shared" si="40"/>
        <v>222.29030402759292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22.979061346070129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22.979061346070129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6.4</v>
      </c>
      <c r="CT47" s="12">
        <f>IF('Données projet'!$A$140&gt;35,CT46+CS47-DB46,IF(A47&lt;'Données projet'!$A$140,$CQ$205^A47,IF(A47='Données projet'!$A$140,'Données projet'!$B$140,CT46+CS47-DB46)))</f>
        <v>157.59999999999997</v>
      </c>
      <c r="CU47" s="17">
        <f>CT47*VLOOKUP('Données projet'!$B$13,Paramètres!$A$1:$I$89,3,0)*VLOOKUP('Données projet'!$B$13,Paramètres!$A$1:$I$89,5,0)</f>
        <v>152.43071999999998</v>
      </c>
      <c r="CV47" s="13">
        <f t="shared" si="41"/>
        <v>39.130457608566751</v>
      </c>
      <c r="CW47" s="20">
        <f t="shared" si="13"/>
        <v>333.63571766825368</v>
      </c>
      <c r="CX47" s="59">
        <f t="shared" si="14"/>
        <v>626.96905100158699</v>
      </c>
      <c r="CY47" s="59">
        <f ca="1">AVERAGE(OFFSET($CX$3,0,0,'Données projet'!$E$13+1,1))-AVERAGE(OFFSET($H$3,0,0,'Données projet'!$E$13+1,1))</f>
        <v>212.32823943192528</v>
      </c>
      <c r="CZ47" s="59">
        <f t="shared" si="42"/>
        <v>209.60834138503003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16.998384447453653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16.998384447453653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11.4</v>
      </c>
      <c r="DO47" s="12">
        <f>IF('Données projet'!$A$166&gt;35,DO46+DN47-DW46,IF(A47&lt;'Données projet'!$A$166,$DL$205^A47,IF(A47='Données projet'!$A$166,'Données projet'!$B$166,DO46+DN47-DW46)))</f>
        <v>221.60000000000005</v>
      </c>
      <c r="DP47" s="17">
        <f>DO47*VLOOKUP('Données projet'!$B$14,Paramètres!$A$1:$I$89,3,0)*VLOOKUP('Données projet'!$B$14,Paramètres!$A$1:$I$89,5,0)</f>
        <v>172.84800000000004</v>
      </c>
      <c r="DQ47" s="13">
        <f t="shared" si="43"/>
        <v>43.727262763680358</v>
      </c>
      <c r="DR47" s="20">
        <f t="shared" si="16"/>
        <v>377.20191598007665</v>
      </c>
      <c r="DS47" s="59">
        <f t="shared" si="17"/>
        <v>670.53524931340996</v>
      </c>
      <c r="DT47" s="59">
        <f ca="1">AVERAGE(OFFSET($DS$3,0,0,'Données projet'!$E$14+1,1))-AVERAGE(OFFSET($H$3,0,0,'Données projet'!$E$14+1,1))</f>
        <v>215.84581110302656</v>
      </c>
      <c r="DU47" s="59">
        <f t="shared" si="44"/>
        <v>193.88588526156104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19.337735043990257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19.337735043990257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6">
        <f t="shared" si="1"/>
        <v>343.17787039879954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12.933333333333337</v>
      </c>
      <c r="N48" s="13">
        <f>IF('Données projet'!$A$36&gt;35,N47+M48-V47,IF(A48&lt;'Données projet'!$A$36,$K$205^A48,IF(A48='Données projet'!$A$36,'Données projet'!$B$36,N47+M48-V47)))</f>
        <v>314.20000000000005</v>
      </c>
      <c r="O48" s="13">
        <f>N48*VLOOKUP('Données projet'!$B$9,Paramètres!$A$1:$I$89,3,0)*VLOOKUP('Données projet'!$B$9,Paramètres!$A$1:$I$89,5,0)</f>
        <v>196.0608</v>
      </c>
      <c r="P48" s="13">
        <f t="shared" si="33"/>
        <v>48.877451065142239</v>
      </c>
      <c r="Q48" s="20">
        <f t="shared" si="53"/>
        <v>426.60078727178939</v>
      </c>
      <c r="R48" s="59">
        <f t="shared" si="0"/>
        <v>719.93412060512264</v>
      </c>
      <c r="S48" s="59">
        <f ca="1">AVERAGE(OFFSET($R$3,0,0,'Données projet'!$E$9+1,1))-AVERAGE(OFFSET($H$3,0,0,'Données projet'!$E$9+1,1))</f>
        <v>269.77739619445515</v>
      </c>
      <c r="T48" s="59">
        <f t="shared" si="34"/>
        <v>347.56964743629885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49.823703106010655</v>
      </c>
      <c r="AA48" s="21">
        <f>EXP(-LN(2)/25)*AA47+(1-EXP(-LN(2)/25))/(LN(2)/25)*Calculateur!V48*Calculateur!X48*VLOOKUP('Données projet'!$B$9,Paramètres!$A$1:$I$89,3,0)*0.475*44/12</f>
        <v>60.527274022314401</v>
      </c>
      <c r="AB48" s="21">
        <f>EXP(-LN(2)/2)*AB47+(1-EXP(-LN(2)/2))/(LN(2)/2)*V48*Y48*VLOOKUP('Données projet'!$B$9,Paramètres!$A$1:$I$89,3,0)*0.475*44/12</f>
        <v>1.3721377272765895E-4</v>
      </c>
      <c r="AC48" s="22">
        <f t="shared" si="3"/>
        <v>110.35111434209779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540</v>
      </c>
      <c r="AG48" s="12">
        <f>VLOOKUP(A48,'Données projet'!$A$61:$I$81,9,0)</f>
        <v>26</v>
      </c>
      <c r="AH48" s="12">
        <f t="array" ref="AH48">INDEX(AG:AG,MIN(IF(ISNUMBER(AG48:AG244),ROW(AG48:AG244),"")))</f>
        <v>26</v>
      </c>
      <c r="AI48" s="13">
        <f>IF('Données projet'!$A$62&gt;35,AI47+AH48-AQ47,IF(A48&lt;'Données projet'!$A$62,$AF$205^A48,IF(A48='Données projet'!$A$62,'Données projet'!$B$62,AI47+AH48-AQ47)))</f>
        <v>540</v>
      </c>
      <c r="AJ48" s="13">
        <f>AI48*VLOOKUP('Données projet'!$B$10,Paramètres!$A$1:$I$89,3,0)*VLOOKUP('Données projet'!$B$10,Paramètres!$A$1:$I$89,5,0)</f>
        <v>266.76</v>
      </c>
      <c r="AK48" s="13">
        <f t="shared" si="35"/>
        <v>64.161177130842304</v>
      </c>
      <c r="AL48" s="20">
        <f t="shared" si="4"/>
        <v>576.35438350288371</v>
      </c>
      <c r="AM48" s="59">
        <f t="shared" si="5"/>
        <v>869.68771683621708</v>
      </c>
      <c r="AN48" s="59">
        <f ca="1">AVERAGE(OFFSET($AM$3,0,0,'Données projet'!$E$10+1,1))-AVERAGE(OFFSET($H$3,0,0,'Données projet'!$E$10+1,1))</f>
        <v>396.27049617044378</v>
      </c>
      <c r="AO48" s="59">
        <f t="shared" si="36"/>
        <v>335.2680289568774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70</v>
      </c>
      <c r="AR48" s="16">
        <f>IF(ISNA(VLOOKUP(A48,'Données projet'!$A$61:$I$81,5,0)),0%,VLOOKUP(A48,'Données projet'!$A$61:$I$81,5,0)*VLOOKUP('Données projet'!$B$10,Paramètres!$A$1:$I$89,7,0))</f>
        <v>0.55000000000000004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68.778276561723501</v>
      </c>
      <c r="AV48" s="21">
        <f>EXP(-LN(2)/25)*AV47+(1-EXP(-LN(2)/25))/(LN(2)/25)*Calculateur!AQ48*Calculateur!AS48*VLOOKUP('Données projet'!$B$10,Paramètres!$A$1:$I$89,3,0)*0.475*44/12</f>
        <v>31.013739273534693</v>
      </c>
      <c r="AW48" s="21">
        <f>EXP(-LN(2)/2)*AW47+(1-EXP(-LN(2)/2))/(LN(2)/2)*AQ48*AT48*VLOOKUP('Données projet'!$B$10,Paramètres!$A$1:$I$89,3,0)*0.475*44/12</f>
        <v>2.1242724814874614E-3</v>
      </c>
      <c r="AX48" s="21">
        <f t="shared" si="6"/>
        <v>99.794140107739679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190</v>
      </c>
      <c r="BB48" s="12">
        <f>VLOOKUP(A48,'Données projet'!$A$87:$I$107,9,0)</f>
        <v>11</v>
      </c>
      <c r="BC48" s="12">
        <f t="array" ref="BC48">INDEX(BB:BB,MIN(IF(ISNUMBER(BB48:BB244),ROW(BB48:BB244),"")))</f>
        <v>11</v>
      </c>
      <c r="BD48" s="12">
        <f>IF('Données projet'!$A$88&gt;35,BD47+BC48-BL47,IF(A48&lt;'Données projet'!$A$88,$BA$205^A48,IF(A48='Données projet'!$A$88,'Données projet'!$B$88,BD47+BC48-BL47)))</f>
        <v>190.00000000000003</v>
      </c>
      <c r="BE48" s="13">
        <f>BD48*VLOOKUP('Données projet'!$B$11,Paramètres!$A$1:$I$89,3,0)*VLOOKUP('Données projet'!$B$11,Paramètres!$A$1:$I$89,5,0)</f>
        <v>163.02000000000004</v>
      </c>
      <c r="BF48" s="13">
        <f t="shared" si="37"/>
        <v>41.52294175893757</v>
      </c>
      <c r="BG48" s="20">
        <f t="shared" si="7"/>
        <v>356.24562356348298</v>
      </c>
      <c r="BH48" s="59">
        <f t="shared" si="8"/>
        <v>649.57895689681629</v>
      </c>
      <c r="BI48" s="59">
        <f ca="1">AVERAGE(OFFSET($BH$3,0,0,'Données projet'!$E$11+1,1))-AVERAGE(OFFSET($H$3,0,0,'Données projet'!$E$11+1,1))</f>
        <v>352.61091660077574</v>
      </c>
      <c r="BJ48" s="59">
        <f t="shared" si="38"/>
        <v>186.48649111821521</v>
      </c>
      <c r="BK48" s="15">
        <f>IF(ISNA(VLOOKUP(A48,'Données projet'!$A$87:$I$107,3,0)),0,VLOOKUP(A48,'Données projet'!$A$87:$I$107,3,0))</f>
        <v>5</v>
      </c>
      <c r="BL48" s="15">
        <f>IF(ISNA(VLOOKUP(A48,'Données projet'!$A$87:$I$107,4,0)),0,VLOOKUP(A48,'Données projet'!$A$87:$I$107,4,0))</f>
        <v>28</v>
      </c>
      <c r="BM48" s="16">
        <f>IF(ISNA(VLOOKUP(A48,'Données projet'!$A$87:$I$107,5,0)),0%,VLOOKUP(A48,'Données projet'!$A$87:$I$107,5,0)*VLOOKUP('Données projet'!$B$11,Paramètres!$A$1:$I$89,7,0))</f>
        <v>0.53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38.37103850285628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38.37103850285628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205</v>
      </c>
      <c r="BW48" s="12">
        <f>VLOOKUP(A48,'Données projet'!$A$113:$I$133,9,0)</f>
        <v>8.1999999999999993</v>
      </c>
      <c r="BX48" s="12">
        <f t="array" ref="BX48">INDEX(BW:BW,MIN(IF(ISNUMBER(BW48:BW244),ROW(BW48:BW244),"")))</f>
        <v>8.1999999999999993</v>
      </c>
      <c r="BY48" s="12">
        <f>IF('Données projet'!$A$114&gt;35,BY47+BX48-CG47,IF(A48&lt;'Données projet'!$A$114,$BV$205^A48,IF(A48='Données projet'!$A$114,'Données projet'!$B$114,BY47+BX48-CG47)))</f>
        <v>204.99999999999994</v>
      </c>
      <c r="BZ48" s="13">
        <f>BY48*VLOOKUP('Données projet'!$B$12,Paramètres!$A$1:$I$89,3,0)*VLOOKUP('Données projet'!$B$12,Paramètres!$A$1:$I$89,5,0)</f>
        <v>163.09799999999996</v>
      </c>
      <c r="CA48" s="13">
        <f t="shared" si="39"/>
        <v>41.540496136845142</v>
      </c>
      <c r="CB48" s="20">
        <f t="shared" si="10"/>
        <v>356.4120474383385</v>
      </c>
      <c r="CC48" s="59">
        <f t="shared" si="11"/>
        <v>649.74538077167176</v>
      </c>
      <c r="CD48" s="59">
        <f ca="1">AVERAGE(OFFSET($CC$3,0,0,'Données projet'!$E$12+1,1))-AVERAGE(OFFSET($H$3,0,0,'Données projet'!$E$12+1,1))</f>
        <v>225.2323446080772</v>
      </c>
      <c r="CE48" s="59">
        <f t="shared" si="40"/>
        <v>222.29030402759292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22</v>
      </c>
      <c r="CH48" s="16">
        <f>IF(ISNA(VLOOKUP(A48,'Données projet'!$A$113:$I$133,5,0)),0%,VLOOKUP(A48,'Données projet'!$A$113:$I$133,5,0)*VLOOKUP('Données projet'!$B$12,Paramètres!$A$1:$I$89,7,0))</f>
        <v>0.53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32.783568616848967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32.783568616848967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164</v>
      </c>
      <c r="CR48" s="12">
        <f>VLOOKUP(A48,'Données projet'!$A$139:$I$159,9,0)</f>
        <v>6.4</v>
      </c>
      <c r="CS48" s="12">
        <f t="array" ref="CS48">INDEX(CR:CR,MIN(IF(ISNUMBER(CR48:CR244),ROW(CR48:CR244),"")))</f>
        <v>6.4</v>
      </c>
      <c r="CT48" s="12">
        <f>IF('Données projet'!$A$140&gt;35,CT47+CS48-DB47,IF(A48&lt;'Données projet'!$A$140,$CQ$205^A48,IF(A48='Données projet'!$A$140,'Données projet'!$B$140,CT47+CS48-DB47)))</f>
        <v>163.99999999999997</v>
      </c>
      <c r="CU48" s="17">
        <f>CT48*VLOOKUP('Données projet'!$B$13,Paramètres!$A$1:$I$89,3,0)*VLOOKUP('Données projet'!$B$13,Paramètres!$A$1:$I$89,5,0)</f>
        <v>158.62079999999997</v>
      </c>
      <c r="CV48" s="13">
        <f t="shared" si="41"/>
        <v>40.531276428901542</v>
      </c>
      <c r="CW48" s="20">
        <f t="shared" si="13"/>
        <v>346.85653311367014</v>
      </c>
      <c r="CX48" s="59">
        <f t="shared" si="14"/>
        <v>640.1898664470034</v>
      </c>
      <c r="CY48" s="59">
        <f ca="1">AVERAGE(OFFSET($CX$3,0,0,'Données projet'!$E$13+1,1))-AVERAGE(OFFSET($H$3,0,0,'Données projet'!$E$13+1,1))</f>
        <v>212.32823943192528</v>
      </c>
      <c r="CZ48" s="59">
        <f t="shared" si="42"/>
        <v>209.60834138503003</v>
      </c>
      <c r="DA48" s="15">
        <f>IF(ISNA(VLOOKUP(A48,'Données projet'!$A$139:$I$159,3,0)),0,VLOOKUP(A48,'Données projet'!$A$139:$I$159,3,0))</f>
        <v>6</v>
      </c>
      <c r="DB48" s="15">
        <f>IF(ISNA(VLOOKUP(A48,'Données projet'!$A$139:$I$159,4,0)),0,VLOOKUP(A48,'Données projet'!$A$139:$I$159,4,0))</f>
        <v>18</v>
      </c>
      <c r="DC48" s="16">
        <f>IF(ISNA(VLOOKUP(A48,'Données projet'!$A$139:$I$159,5,0)),0%,VLOOKUP(A48,'Données projet'!$A$139:$I$159,5,0)*VLOOKUP('Données projet'!$B$13,Paramètres!$A$1:$I$89,7,0))</f>
        <v>0.43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24.940749257822091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24.940749257822091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233</v>
      </c>
      <c r="DM48" s="12">
        <f>VLOOKUP(A48,'Données projet'!$A$165:$I$185,9,0)</f>
        <v>11.4</v>
      </c>
      <c r="DN48" s="12">
        <f t="array" ref="DN48">INDEX(DM:DM,MIN(IF(ISNUMBER(DM48:DM244),ROW(DM48:DM244),"")))</f>
        <v>11.4</v>
      </c>
      <c r="DO48" s="12">
        <f>IF('Données projet'!$A$166&gt;35,DO47+DN48-DW47,IF(A48&lt;'Données projet'!$A$166,$DL$205^A48,IF(A48='Données projet'!$A$166,'Données projet'!$B$166,DO47+DN48-DW47)))</f>
        <v>233.00000000000006</v>
      </c>
      <c r="DP48" s="17">
        <f>DO48*VLOOKUP('Données projet'!$B$14,Paramètres!$A$1:$I$89,3,0)*VLOOKUP('Données projet'!$B$14,Paramètres!$A$1:$I$89,5,0)</f>
        <v>181.74000000000004</v>
      </c>
      <c r="DQ48" s="13">
        <f t="shared" si="43"/>
        <v>45.709087095891377</v>
      </c>
      <c r="DR48" s="20">
        <f t="shared" si="16"/>
        <v>396.14049335867753</v>
      </c>
      <c r="DS48" s="59">
        <f t="shared" si="17"/>
        <v>689.47382669201079</v>
      </c>
      <c r="DT48" s="59">
        <f ca="1">AVERAGE(OFFSET($DS$3,0,0,'Données projet'!$E$14+1,1))-AVERAGE(OFFSET($H$3,0,0,'Données projet'!$E$14+1,1))</f>
        <v>215.84581110302656</v>
      </c>
      <c r="DU48" s="59">
        <f t="shared" si="44"/>
        <v>193.88588526156104</v>
      </c>
      <c r="DV48" s="15">
        <f>IF(ISNA(VLOOKUP(A48,'Données projet'!$A$165:$I$185,3,0)),0,VLOOKUP(A48,'Données projet'!$A$165:$I$185,3,0))</f>
        <v>5</v>
      </c>
      <c r="DW48" s="15">
        <f>IF(ISNA(VLOOKUP(A48,'Données projet'!$A$165:$I$185,4,0)),0,VLOOKUP(A48,'Données projet'!$A$165:$I$185,4,0))</f>
        <v>31</v>
      </c>
      <c r="DX48" s="16">
        <f>IF(ISNA(VLOOKUP(A48,'Données projet'!$A$165:$I$185,5,0)),0%,VLOOKUP(A48,'Données projet'!$A$165:$I$185,5,0)*VLOOKUP('Données projet'!$B$14,Paramètres!$A$1:$I$89,7,0))</f>
        <v>0.43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30.452551578787237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30.452551578787237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6">
        <f t="shared" si="1"/>
        <v>344.25380277106626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12.933333333333337</v>
      </c>
      <c r="N49" s="13">
        <f>IF('Données projet'!$A$36&gt;35,N48+M49-V48,IF(A49&lt;'Données projet'!$A$36,$K$205^A49,IF(A49='Données projet'!$A$36,'Données projet'!$B$36,N48+M49-V48)))</f>
        <v>327.13333333333338</v>
      </c>
      <c r="O49" s="13">
        <f>N49*VLOOKUP('Données projet'!$B$9,Paramètres!$A$1:$I$89,3,0)*VLOOKUP('Données projet'!$B$9,Paramètres!$A$1:$I$89,5,0)</f>
        <v>204.13120000000004</v>
      </c>
      <c r="P49" s="13">
        <f t="shared" si="33"/>
        <v>50.650997272003906</v>
      </c>
      <c r="Q49" s="20">
        <f t="shared" si="53"/>
        <v>443.74566024874019</v>
      </c>
      <c r="R49" s="59">
        <f t="shared" si="0"/>
        <v>737.07899358207351</v>
      </c>
      <c r="S49" s="59">
        <f ca="1">AVERAGE(OFFSET($R$3,0,0,'Données projet'!$E$9+1,1))-AVERAGE(OFFSET($H$3,0,0,'Données projet'!$E$9+1,1))</f>
        <v>269.77739619445515</v>
      </c>
      <c r="T49" s="59">
        <f t="shared" si="34"/>
        <v>347.56964743629885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48.84669067755997</v>
      </c>
      <c r="AA49" s="21">
        <f>EXP(-LN(2)/25)*AA48+(1-EXP(-LN(2)/25))/(LN(2)/25)*Calculateur!V49*Calculateur!X49*VLOOKUP('Données projet'!$B$9,Paramètres!$A$1:$I$89,3,0)*0.475*44/12</f>
        <v>58.872152531183211</v>
      </c>
      <c r="AB49" s="21">
        <f>EXP(-LN(2)/2)*AB48+(1-EXP(-LN(2)/2))/(LN(2)/2)*V49*Y49*VLOOKUP('Données projet'!$B$9,Paramètres!$A$1:$I$89,3,0)*0.475*44/12</f>
        <v>9.70247891679174E-5</v>
      </c>
      <c r="AC49" s="22">
        <f t="shared" si="3"/>
        <v>107.71894023353235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24.6</v>
      </c>
      <c r="AI49" s="13">
        <f>IF('Données projet'!$A$62&gt;35,AI48+AH49-AQ48,IF(A49&lt;'Données projet'!$A$62,$AF$205^A49,IF(A49='Données projet'!$A$62,'Données projet'!$B$62,AI48+AH49-AQ48)))</f>
        <v>494.6</v>
      </c>
      <c r="AJ49" s="13">
        <f>AI49*VLOOKUP('Données projet'!$B$10,Paramètres!$A$1:$I$89,3,0)*VLOOKUP('Données projet'!$B$10,Paramètres!$A$1:$I$89,5,0)</f>
        <v>244.33240000000001</v>
      </c>
      <c r="AK49" s="13">
        <f t="shared" si="35"/>
        <v>59.370694653914605</v>
      </c>
      <c r="AL49" s="20">
        <f t="shared" si="4"/>
        <v>528.9495565222345</v>
      </c>
      <c r="AM49" s="59">
        <f t="shared" si="5"/>
        <v>822.28288985556787</v>
      </c>
      <c r="AN49" s="59">
        <f ca="1">AVERAGE(OFFSET($AM$3,0,0,'Données projet'!$E$10+1,1))-AVERAGE(OFFSET($H$3,0,0,'Données projet'!$E$10+1,1))</f>
        <v>396.27049617044378</v>
      </c>
      <c r="AO49" s="59">
        <f t="shared" si="36"/>
        <v>335.2680289568774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67.429576508954526</v>
      </c>
      <c r="AV49" s="21">
        <f>EXP(-LN(2)/25)*AV48+(1-EXP(-LN(2)/25))/(LN(2)/25)*Calculateur!AQ49*Calculateur!AS49*VLOOKUP('Données projet'!$B$10,Paramètres!$A$1:$I$89,3,0)*0.475*44/12</f>
        <v>30.165666942158222</v>
      </c>
      <c r="AW49" s="21">
        <f>EXP(-LN(2)/2)*AW48+(1-EXP(-LN(2)/2))/(LN(2)/2)*AQ49*AT49*VLOOKUP('Données projet'!$B$10,Paramètres!$A$1:$I$89,3,0)*0.475*44/12</f>
        <v>1.5020874767477587E-3</v>
      </c>
      <c r="AX49" s="21">
        <f t="shared" si="6"/>
        <v>97.596745538589502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</v>
      </c>
      <c r="BD49" s="12">
        <f>IF('Données projet'!$A$88&gt;35,BD48+BC49-BL48,IF(A49&lt;'Données projet'!$A$88,$BA$205^A49,IF(A49='Données projet'!$A$88,'Données projet'!$B$88,BD48+BC49-BL48)))</f>
        <v>173.00000000000003</v>
      </c>
      <c r="BE49" s="13">
        <f>BD49*VLOOKUP('Données projet'!$B$11,Paramètres!$A$1:$I$89,3,0)*VLOOKUP('Données projet'!$B$11,Paramètres!$A$1:$I$89,5,0)</f>
        <v>148.43400000000003</v>
      </c>
      <c r="BF49" s="13">
        <f t="shared" si="37"/>
        <v>38.222489421716382</v>
      </c>
      <c r="BG49" s="20">
        <f t="shared" si="7"/>
        <v>325.0933857428227</v>
      </c>
      <c r="BH49" s="59">
        <f t="shared" si="8"/>
        <v>618.42671907615602</v>
      </c>
      <c r="BI49" s="59">
        <f ca="1">AVERAGE(OFFSET($BH$3,0,0,'Données projet'!$E$11+1,1))-AVERAGE(OFFSET($H$3,0,0,'Données projet'!$E$11+1,1))</f>
        <v>352.61091660077574</v>
      </c>
      <c r="BJ49" s="59">
        <f t="shared" si="38"/>
        <v>186.48649111821521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37.618605841837798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37.618605841837798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7.2</v>
      </c>
      <c r="BY49" s="12">
        <f>IF('Données projet'!$A$114&gt;35,BY48+BX49-CG48,IF(A49&lt;'Données projet'!$A$114,$BV$205^A49,IF(A49='Données projet'!$A$114,'Données projet'!$B$114,BY48+BX49-CG48)))</f>
        <v>190.19999999999993</v>
      </c>
      <c r="BZ49" s="13">
        <f>BY49*VLOOKUP('Données projet'!$B$12,Paramètres!$A$1:$I$89,3,0)*VLOOKUP('Données projet'!$B$12,Paramètres!$A$1:$I$89,5,0)</f>
        <v>151.32311999999996</v>
      </c>
      <c r="CA49" s="13">
        <f t="shared" si="39"/>
        <v>38.879115530839606</v>
      </c>
      <c r="CB49" s="20">
        <f t="shared" si="10"/>
        <v>331.26889354954557</v>
      </c>
      <c r="CC49" s="59">
        <f t="shared" si="11"/>
        <v>624.60222688287888</v>
      </c>
      <c r="CD49" s="59">
        <f ca="1">AVERAGE(OFFSET($CC$3,0,0,'Données projet'!$E$12+1,1))-AVERAGE(OFFSET($H$3,0,0,'Données projet'!$E$12+1,1))</f>
        <v>225.2323446080772</v>
      </c>
      <c r="CE49" s="59">
        <f t="shared" si="40"/>
        <v>222.29030402759292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32.140702832274975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32.140702832274975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5.6</v>
      </c>
      <c r="CT49" s="12">
        <f>IF('Données projet'!$A$140&gt;35,CT48+CS49-DB48,IF(A49&lt;'Données projet'!$A$140,$CQ$205^A49,IF(A49='Données projet'!$A$140,'Données projet'!$B$140,CT48+CS49-DB48)))</f>
        <v>151.59999999999997</v>
      </c>
      <c r="CU49" s="17">
        <f>CT49*VLOOKUP('Données projet'!$B$13,Paramètres!$A$1:$I$89,3,0)*VLOOKUP('Données projet'!$B$13,Paramètres!$A$1:$I$89,5,0)</f>
        <v>146.62751999999998</v>
      </c>
      <c r="CV49" s="13">
        <f t="shared" si="41"/>
        <v>37.811166085087244</v>
      </c>
      <c r="CW49" s="20">
        <f t="shared" si="13"/>
        <v>321.23071159819352</v>
      </c>
      <c r="CX49" s="59">
        <f t="shared" si="14"/>
        <v>614.56404493152684</v>
      </c>
      <c r="CY49" s="59">
        <f ca="1">AVERAGE(OFFSET($CX$3,0,0,'Données projet'!$E$13+1,1))-AVERAGE(OFFSET($H$3,0,0,'Données projet'!$E$13+1,1))</f>
        <v>212.32823943192528</v>
      </c>
      <c r="CZ49" s="59">
        <f t="shared" si="42"/>
        <v>209.60834138503003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24.451676377231152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24.451676377231152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10.199999999999999</v>
      </c>
      <c r="DO49" s="12">
        <f>IF('Données projet'!$A$166&gt;35,DO48+DN49-DW48,IF(A49&lt;'Données projet'!$A$166,$DL$205^A49,IF(A49='Données projet'!$A$166,'Données projet'!$B$166,DO48+DN49-DW48)))</f>
        <v>212.20000000000005</v>
      </c>
      <c r="DP49" s="17">
        <f>DO49*VLOOKUP('Données projet'!$B$14,Paramètres!$A$1:$I$89,3,0)*VLOOKUP('Données projet'!$B$14,Paramètres!$A$1:$I$89,5,0)</f>
        <v>165.51600000000005</v>
      </c>
      <c r="DQ49" s="13">
        <f t="shared" si="43"/>
        <v>42.084199740832013</v>
      </c>
      <c r="DR49" s="20">
        <f t="shared" si="16"/>
        <v>361.57034788194915</v>
      </c>
      <c r="DS49" s="59">
        <f t="shared" si="17"/>
        <v>654.9036812152824</v>
      </c>
      <c r="DT49" s="59">
        <f ca="1">AVERAGE(OFFSET($DS$3,0,0,'Données projet'!$E$14+1,1))-AVERAGE(OFFSET($H$3,0,0,'Données projet'!$E$14+1,1))</f>
        <v>215.84581110302656</v>
      </c>
      <c r="DU49" s="59">
        <f t="shared" si="44"/>
        <v>193.88588526156104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29.855395616549629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29.855395616549629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6">
        <f t="shared" si="1"/>
        <v>345.32913312910375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12.933333333333337</v>
      </c>
      <c r="N50" s="13">
        <f>IF('Données projet'!$A$36&gt;35,N49+M50-V49,IF(A50&lt;'Données projet'!$A$36,$K$205^A50,IF(A50='Données projet'!$A$36,'Données projet'!$B$36,N49+M50-V49)))</f>
        <v>340.06666666666672</v>
      </c>
      <c r="O50" s="13">
        <f>N50*VLOOKUP('Données projet'!$B$9,Paramètres!$A$1:$I$89,3,0)*VLOOKUP('Données projet'!$B$9,Paramètres!$A$1:$I$89,5,0)</f>
        <v>212.20160000000004</v>
      </c>
      <c r="P50" s="13">
        <f t="shared" si="33"/>
        <v>52.416398278764817</v>
      </c>
      <c r="Q50" s="20">
        <f t="shared" si="53"/>
        <v>460.87634700218206</v>
      </c>
      <c r="R50" s="59">
        <f t="shared" si="0"/>
        <v>754.20968033551537</v>
      </c>
      <c r="S50" s="59">
        <f ca="1">AVERAGE(OFFSET($R$3,0,0,'Données projet'!$E$9+1,1))-AVERAGE(OFFSET($H$3,0,0,'Données projet'!$E$9+1,1))</f>
        <v>269.77739619445515</v>
      </c>
      <c r="T50" s="59">
        <f t="shared" si="34"/>
        <v>347.56964743629885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47.888836866912463</v>
      </c>
      <c r="AA50" s="21">
        <f>EXP(-LN(2)/25)*AA49+(1-EXP(-LN(2)/25))/(LN(2)/25)*Calculateur!V50*Calculateur!X50*VLOOKUP('Données projet'!$B$9,Paramètres!$A$1:$I$89,3,0)*0.475*44/12</f>
        <v>57.262290424266055</v>
      </c>
      <c r="AB50" s="21">
        <f>EXP(-LN(2)/2)*AB49+(1-EXP(-LN(2)/2))/(LN(2)/2)*V50*Y50*VLOOKUP('Données projet'!$B$9,Paramètres!$A$1:$I$89,3,0)*0.475*44/12</f>
        <v>6.8606886363829474E-5</v>
      </c>
      <c r="AC50" s="22">
        <f t="shared" si="3"/>
        <v>105.15119589806487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24.6</v>
      </c>
      <c r="AI50" s="13">
        <f>IF('Données projet'!$A$62&gt;35,AI49+AH50-AQ49,IF(A50&lt;'Données projet'!$A$62,$AF$205^A50,IF(A50='Données projet'!$A$62,'Données projet'!$B$62,AI49+AH50-AQ49)))</f>
        <v>519.20000000000005</v>
      </c>
      <c r="AJ50" s="13">
        <f>AI50*VLOOKUP('Données projet'!$B$10,Paramètres!$A$1:$I$89,3,0)*VLOOKUP('Données projet'!$B$10,Paramètres!$A$1:$I$89,5,0)</f>
        <v>256.48480000000006</v>
      </c>
      <c r="AK50" s="13">
        <f t="shared" si="35"/>
        <v>61.97248678472635</v>
      </c>
      <c r="AL50" s="20">
        <f t="shared" si="4"/>
        <v>554.64644115006513</v>
      </c>
      <c r="AM50" s="59">
        <f t="shared" si="5"/>
        <v>847.97977448339839</v>
      </c>
      <c r="AN50" s="59">
        <f ca="1">AVERAGE(OFFSET($AM$3,0,0,'Données projet'!$E$10+1,1))-AVERAGE(OFFSET($H$3,0,0,'Données projet'!$E$10+1,1))</f>
        <v>396.27049617044378</v>
      </c>
      <c r="AO50" s="59">
        <f t="shared" si="36"/>
        <v>335.2680289568774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66.107323641594547</v>
      </c>
      <c r="AV50" s="21">
        <f>EXP(-LN(2)/25)*AV49+(1-EXP(-LN(2)/25))/(LN(2)/25)*Calculateur!AQ50*Calculateur!AS50*VLOOKUP('Données projet'!$B$10,Paramètres!$A$1:$I$89,3,0)*0.475*44/12</f>
        <v>29.340785193281427</v>
      </c>
      <c r="AW50" s="21">
        <f>EXP(-LN(2)/2)*AW49+(1-EXP(-LN(2)/2))/(LN(2)/2)*AQ50*AT50*VLOOKUP('Données projet'!$B$10,Paramètres!$A$1:$I$89,3,0)*0.475*44/12</f>
        <v>1.0621362407437307E-3</v>
      </c>
      <c r="AX50" s="21">
        <f t="shared" si="6"/>
        <v>95.449170971116715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</v>
      </c>
      <c r="BD50" s="12">
        <f>IF('Données projet'!$A$88&gt;35,BD49+BC50-BL49,IF(A50&lt;'Données projet'!$A$88,$BA$205^A50,IF(A50='Données projet'!$A$88,'Données projet'!$B$88,BD49+BC50-BL49)))</f>
        <v>184.00000000000003</v>
      </c>
      <c r="BE50" s="13">
        <f>BD50*VLOOKUP('Données projet'!$B$11,Paramètres!$A$1:$I$89,3,0)*VLOOKUP('Données projet'!$B$11,Paramètres!$A$1:$I$89,5,0)</f>
        <v>157.87200000000004</v>
      </c>
      <c r="BF50" s="13">
        <f t="shared" si="37"/>
        <v>40.362165684361159</v>
      </c>
      <c r="BG50" s="20">
        <f t="shared" si="7"/>
        <v>345.25783856692902</v>
      </c>
      <c r="BH50" s="59">
        <f t="shared" si="8"/>
        <v>638.59117190026234</v>
      </c>
      <c r="BI50" s="59">
        <f ca="1">AVERAGE(OFFSET($BH$3,0,0,'Données projet'!$E$11+1,1))-AVERAGE(OFFSET($H$3,0,0,'Données projet'!$E$11+1,1))</f>
        <v>352.61091660077574</v>
      </c>
      <c r="BJ50" s="59">
        <f t="shared" si="38"/>
        <v>186.48649111821521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36.880927926363285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36.880927926363285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7.2</v>
      </c>
      <c r="BY50" s="12">
        <f>IF('Données projet'!$A$114&gt;35,BY49+BX50-CG49,IF(A50&lt;'Données projet'!$A$114,$BV$205^A50,IF(A50='Données projet'!$A$114,'Données projet'!$B$114,BY49+BX50-CG49)))</f>
        <v>197.39999999999992</v>
      </c>
      <c r="BZ50" s="13">
        <f>BY50*VLOOKUP('Données projet'!$B$12,Paramètres!$A$1:$I$89,3,0)*VLOOKUP('Données projet'!$B$12,Paramètres!$A$1:$I$89,5,0)</f>
        <v>157.05143999999996</v>
      </c>
      <c r="CA50" s="13">
        <f t="shared" si="39"/>
        <v>40.176741230099708</v>
      </c>
      <c r="CB50" s="20">
        <f t="shared" si="10"/>
        <v>343.50574897575689</v>
      </c>
      <c r="CC50" s="59">
        <f t="shared" si="11"/>
        <v>636.83908230909014</v>
      </c>
      <c r="CD50" s="59">
        <f ca="1">AVERAGE(OFFSET($CC$3,0,0,'Données projet'!$E$12+1,1))-AVERAGE(OFFSET($H$3,0,0,'Données projet'!$E$12+1,1))</f>
        <v>225.2323446080772</v>
      </c>
      <c r="CE50" s="59">
        <f t="shared" si="40"/>
        <v>222.29030402759292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31.510443253627066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31.510443253627066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5.6</v>
      </c>
      <c r="CT50" s="12">
        <f>IF('Données projet'!$A$140&gt;35,CT49+CS50-DB49,IF(A50&lt;'Données projet'!$A$140,$CQ$205^A50,IF(A50='Données projet'!$A$140,'Données projet'!$B$140,CT49+CS50-DB49)))</f>
        <v>157.19999999999996</v>
      </c>
      <c r="CU50" s="17">
        <f>CT50*VLOOKUP('Données projet'!$B$13,Paramètres!$A$1:$I$89,3,0)*VLOOKUP('Données projet'!$B$13,Paramètres!$A$1:$I$89,5,0)</f>
        <v>152.04383999999996</v>
      </c>
      <c r="CV50" s="13">
        <f t="shared" si="41"/>
        <v>39.042689119875831</v>
      </c>
      <c r="CW50" s="20">
        <f t="shared" si="13"/>
        <v>332.80903821711701</v>
      </c>
      <c r="CX50" s="59">
        <f t="shared" si="14"/>
        <v>626.14237155045032</v>
      </c>
      <c r="CY50" s="59">
        <f ca="1">AVERAGE(OFFSET($CX$3,0,0,'Données projet'!$E$13+1,1))-AVERAGE(OFFSET($H$3,0,0,'Données projet'!$E$13+1,1))</f>
        <v>212.32823943192528</v>
      </c>
      <c r="CZ50" s="59">
        <f t="shared" si="42"/>
        <v>209.60834138503003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23.972193917523597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23.972193917523597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10.199999999999999</v>
      </c>
      <c r="DO50" s="12">
        <f>IF('Données projet'!$A$166&gt;35,DO49+DN50-DW49,IF(A50&lt;'Données projet'!$A$166,$DL$205^A50,IF(A50='Données projet'!$A$166,'Données projet'!$B$166,DO49+DN50-DW49)))</f>
        <v>222.40000000000003</v>
      </c>
      <c r="DP50" s="17">
        <f>DO50*VLOOKUP('Données projet'!$B$14,Paramètres!$A$1:$I$89,3,0)*VLOOKUP('Données projet'!$B$14,Paramètres!$A$1:$I$89,5,0)</f>
        <v>173.47200000000004</v>
      </c>
      <c r="DQ50" s="13">
        <f t="shared" si="43"/>
        <v>43.866718728383574</v>
      </c>
      <c r="DR50" s="20">
        <f t="shared" si="16"/>
        <v>378.53160178526809</v>
      </c>
      <c r="DS50" s="59">
        <f t="shared" si="17"/>
        <v>671.86493511860135</v>
      </c>
      <c r="DT50" s="59">
        <f ca="1">AVERAGE(OFFSET($DS$3,0,0,'Données projet'!$E$14+1,1))-AVERAGE(OFFSET($H$3,0,0,'Données projet'!$E$14+1,1))</f>
        <v>215.84581110302656</v>
      </c>
      <c r="DU50" s="59">
        <f t="shared" si="44"/>
        <v>193.88588526156104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29.26994951850233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29.26994951850233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6">
        <f t="shared" si="1"/>
        <v>346.40387575715488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353</v>
      </c>
      <c r="L51" s="12">
        <f>VLOOKUP(A51,'Données projet'!$A$35:$I$55,9,0)</f>
        <v>12.933333333333337</v>
      </c>
      <c r="M51" s="12">
        <f t="array" ref="M51">INDEX(L:L,MIN(IF(ISNUMBER(L51:L247),ROW(L51:L247),"")))</f>
        <v>12.933333333333337</v>
      </c>
      <c r="N51" s="13">
        <f>IF('Données projet'!$A$36&gt;35,N50+M51-V50,IF(A51&lt;'Données projet'!$A$36,$K$205^A51,IF(A51='Données projet'!$A$36,'Données projet'!$B$36,N50+M51-V50)))</f>
        <v>353.00000000000006</v>
      </c>
      <c r="O51" s="13">
        <f>N51*VLOOKUP('Données projet'!$B$9,Paramètres!$A$1:$I$89,3,0)*VLOOKUP('Données projet'!$B$9,Paramètres!$A$1:$I$89,5,0)</f>
        <v>220.27200000000005</v>
      </c>
      <c r="P51" s="13">
        <f t="shared" si="33"/>
        <v>54.173999324746809</v>
      </c>
      <c r="Q51" s="20">
        <f t="shared" si="53"/>
        <v>477.99344882393416</v>
      </c>
      <c r="R51" s="59">
        <f t="shared" si="0"/>
        <v>771.32678215726742</v>
      </c>
      <c r="S51" s="59">
        <f ca="1">AVERAGE(OFFSET($R$3,0,0,'Données projet'!$E$9+1,1))-AVERAGE(OFFSET($H$3,0,0,'Données projet'!$E$9+1,1))</f>
        <v>269.77739619445515</v>
      </c>
      <c r="T51" s="59">
        <f t="shared" si="34"/>
        <v>347.56964743629885</v>
      </c>
      <c r="U51" s="15">
        <f>IF(ISNA(VLOOKUP(A51,'Données projet'!$A$35:$I$55,3,0)),0,VLOOKUP(A51,'Données projet'!$A$35:$I$55,3,0))</f>
        <v>7</v>
      </c>
      <c r="V51" s="15">
        <f>IF(ISNA(VLOOKUP(A51,'Données projet'!$A$35:$I$55,4,0)),0,VLOOKUP(A51,'Données projet'!$A$35:$I$55,4,0))</f>
        <v>48.2</v>
      </c>
      <c r="W51" s="16">
        <f>IF(ISNA(VLOOKUP(A51,'Données projet'!$A$35:$I$55,5,0)),0%,VLOOKUP(A51,'Données projet'!$A$35:$I$55,5,0)*VLOOKUP('Données projet'!$B$9,Paramètres!$A$1:$I$89,7,0))</f>
        <v>0.6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70.889054273276997</v>
      </c>
      <c r="AA51" s="21">
        <f>EXP(-LN(2)/25)*AA50+(1-EXP(-LN(2)/25))/(LN(2)/25)*Calculateur!V51*Calculateur!X51*VLOOKUP('Données projet'!$B$9,Paramètres!$A$1:$I$89,3,0)*0.475*44/12</f>
        <v>55.696450081321522</v>
      </c>
      <c r="AB51" s="21">
        <f>EXP(-LN(2)/2)*AB50+(1-EXP(-LN(2)/2))/(LN(2)/2)*V51*Y51*VLOOKUP('Données projet'!$B$9,Paramètres!$A$1:$I$89,3,0)*0.475*44/12</f>
        <v>4.85123945839587E-5</v>
      </c>
      <c r="AC51" s="22">
        <f t="shared" si="3"/>
        <v>126.58555286699311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24.6</v>
      </c>
      <c r="AI51" s="13">
        <f>IF('Données projet'!$A$62&gt;35,AI50+AH51-AQ50,IF(A51&lt;'Données projet'!$A$62,$AF$205^A51,IF(A51='Données projet'!$A$62,'Données projet'!$B$62,AI50+AH51-AQ50)))</f>
        <v>543.80000000000007</v>
      </c>
      <c r="AJ51" s="13">
        <f>AI51*VLOOKUP('Données projet'!$B$10,Paramètres!$A$1:$I$89,3,0)*VLOOKUP('Données projet'!$B$10,Paramètres!$A$1:$I$89,5,0)</f>
        <v>268.63720000000006</v>
      </c>
      <c r="AK51" s="13">
        <f t="shared" si="35"/>
        <v>64.559963611890851</v>
      </c>
      <c r="AL51" s="20">
        <f t="shared" si="4"/>
        <v>580.31839329070999</v>
      </c>
      <c r="AM51" s="59">
        <f t="shared" si="5"/>
        <v>873.65172662404325</v>
      </c>
      <c r="AN51" s="59">
        <f ca="1">AVERAGE(OFFSET($AM$3,0,0,'Données projet'!$E$10+1,1))-AVERAGE(OFFSET($H$3,0,0,'Données projet'!$E$10+1,1))</f>
        <v>396.27049617044378</v>
      </c>
      <c r="AO51" s="59">
        <f t="shared" si="36"/>
        <v>335.2680289568774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64.81099934646889</v>
      </c>
      <c r="AV51" s="21">
        <f>EXP(-LN(2)/25)*AV50+(1-EXP(-LN(2)/25))/(LN(2)/25)*Calculateur!AQ51*Calculateur!AS51*VLOOKUP('Données projet'!$B$10,Paramètres!$A$1:$I$89,3,0)*0.475*44/12</f>
        <v>28.538459879206311</v>
      </c>
      <c r="AW51" s="21">
        <f>EXP(-LN(2)/2)*AW50+(1-EXP(-LN(2)/2))/(LN(2)/2)*AQ51*AT51*VLOOKUP('Données projet'!$B$10,Paramètres!$A$1:$I$89,3,0)*0.475*44/12</f>
        <v>7.5104373837387936E-4</v>
      </c>
      <c r="AX51" s="21">
        <f t="shared" si="6"/>
        <v>93.35021026941358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</v>
      </c>
      <c r="BD51" s="12">
        <f>IF('Données projet'!$A$88&gt;35,BD50+BC51-BL50,IF(A51&lt;'Données projet'!$A$88,$BA$205^A51,IF(A51='Données projet'!$A$88,'Données projet'!$B$88,BD50+BC51-BL50)))</f>
        <v>195.00000000000003</v>
      </c>
      <c r="BE51" s="13">
        <f>BD51*VLOOKUP('Données projet'!$B$11,Paramètres!$A$1:$I$89,3,0)*VLOOKUP('Données projet'!$B$11,Paramètres!$A$1:$I$89,5,0)</f>
        <v>167.31000000000006</v>
      </c>
      <c r="BF51" s="13">
        <f t="shared" si="37"/>
        <v>42.486994942347515</v>
      </c>
      <c r="BG51" s="20">
        <f t="shared" si="7"/>
        <v>365.39643285792204</v>
      </c>
      <c r="BH51" s="59">
        <f t="shared" si="8"/>
        <v>658.72976619125529</v>
      </c>
      <c r="BI51" s="59">
        <f ca="1">AVERAGE(OFFSET($BH$3,0,0,'Données projet'!$E$11+1,1))-AVERAGE(OFFSET($H$3,0,0,'Données projet'!$E$11+1,1))</f>
        <v>352.61091660077574</v>
      </c>
      <c r="BJ51" s="59">
        <f t="shared" si="38"/>
        <v>186.48649111821521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36.157715424872123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36.157715424872123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7.2</v>
      </c>
      <c r="BY51" s="12">
        <f>IF('Données projet'!$A$114&gt;35,BY50+BX51-CG50,IF(A51&lt;'Données projet'!$A$114,$BV$205^A51,IF(A51='Données projet'!$A$114,'Données projet'!$B$114,BY50+BX51-CG50)))</f>
        <v>204.59999999999991</v>
      </c>
      <c r="BZ51" s="13">
        <f>BY51*VLOOKUP('Données projet'!$B$12,Paramètres!$A$1:$I$89,3,0)*VLOOKUP('Données projet'!$B$12,Paramètres!$A$1:$I$89,5,0)</f>
        <v>162.77975999999995</v>
      </c>
      <c r="CA51" s="13">
        <f t="shared" si="39"/>
        <v>41.468868129640057</v>
      </c>
      <c r="CB51" s="20">
        <f t="shared" si="10"/>
        <v>355.73302732578964</v>
      </c>
      <c r="CC51" s="59">
        <f t="shared" si="11"/>
        <v>649.06636065912289</v>
      </c>
      <c r="CD51" s="59">
        <f ca="1">AVERAGE(OFFSET($CC$3,0,0,'Données projet'!$E$12+1,1))-AVERAGE(OFFSET($H$3,0,0,'Données projet'!$E$12+1,1))</f>
        <v>225.2323446080772</v>
      </c>
      <c r="CE51" s="59">
        <f t="shared" si="40"/>
        <v>222.29030402759292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30.89254268089606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30.89254268089606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5.6</v>
      </c>
      <c r="CT51" s="12">
        <f>IF('Données projet'!$A$140&gt;35,CT50+CS51-DB50,IF(A51&lt;'Données projet'!$A$140,$CQ$205^A51,IF(A51='Données projet'!$A$140,'Données projet'!$B$140,CT50+CS51-DB50)))</f>
        <v>162.79999999999995</v>
      </c>
      <c r="CU51" s="17">
        <f>CT51*VLOOKUP('Données projet'!$B$13,Paramètres!$A$1:$I$89,3,0)*VLOOKUP('Données projet'!$B$13,Paramètres!$A$1:$I$89,5,0)</f>
        <v>157.46015999999995</v>
      </c>
      <c r="CV51" s="13">
        <f t="shared" si="41"/>
        <v>40.269114998475459</v>
      </c>
      <c r="CW51" s="20">
        <f t="shared" si="13"/>
        <v>344.37848728901128</v>
      </c>
      <c r="CX51" s="59">
        <f t="shared" si="14"/>
        <v>637.71182062234459</v>
      </c>
      <c r="CY51" s="59">
        <f ca="1">AVERAGE(OFFSET($CX$3,0,0,'Données projet'!$E$13+1,1))-AVERAGE(OFFSET($H$3,0,0,'Données projet'!$E$13+1,1))</f>
        <v>212.32823943192528</v>
      </c>
      <c r="CZ51" s="59">
        <f t="shared" si="42"/>
        <v>209.60834138503003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23.502113816395486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23.502113816395486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10.199999999999999</v>
      </c>
      <c r="DO51" s="12">
        <f>IF('Données projet'!$A$166&gt;35,DO50+DN51-DW50,IF(A51&lt;'Données projet'!$A$166,$DL$205^A51,IF(A51='Données projet'!$A$166,'Données projet'!$B$166,DO50+DN51-DW50)))</f>
        <v>232.60000000000002</v>
      </c>
      <c r="DP51" s="17">
        <f>DO51*VLOOKUP('Données projet'!$B$14,Paramètres!$A$1:$I$89,3,0)*VLOOKUP('Données projet'!$B$14,Paramètres!$A$1:$I$89,5,0)</f>
        <v>181.42800000000003</v>
      </c>
      <c r="DQ51" s="13">
        <f t="shared" si="43"/>
        <v>45.639743598335336</v>
      </c>
      <c r="DR51" s="20">
        <f t="shared" si="16"/>
        <v>395.47632010043407</v>
      </c>
      <c r="DS51" s="59">
        <f t="shared" si="17"/>
        <v>688.80965343376738</v>
      </c>
      <c r="DT51" s="59">
        <f ca="1">AVERAGE(OFFSET($DS$3,0,0,'Données projet'!$E$14+1,1))-AVERAGE(OFFSET($H$3,0,0,'Données projet'!$E$14+1,1))</f>
        <v>215.84581110302656</v>
      </c>
      <c r="DU51" s="59">
        <f t="shared" si="44"/>
        <v>193.88588526156104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28.695983661350876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28.695983661350876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6">
        <f t="shared" si="1"/>
        <v>347.47804431027294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11.533333333333331</v>
      </c>
      <c r="N52" s="13">
        <f>IF('Données projet'!$A$36&gt;35,N51+M52-V51,IF(A52&lt;'Données projet'!$A$36,$K$205^A52,IF(A52='Données projet'!$A$36,'Données projet'!$B$36,N51+M52-V51)))</f>
        <v>316.33333333333343</v>
      </c>
      <c r="O52" s="13">
        <f>N52*VLOOKUP('Données projet'!$B$9,Paramètres!$A$1:$I$89,3,0)*VLOOKUP('Données projet'!$B$9,Paramètres!$A$1:$I$89,5,0)</f>
        <v>197.39200000000005</v>
      </c>
      <c r="P52" s="13">
        <f t="shared" si="33"/>
        <v>49.170571149417825</v>
      </c>
      <c r="Q52" s="20">
        <f t="shared" si="53"/>
        <v>429.42981141856944</v>
      </c>
      <c r="R52" s="59">
        <f t="shared" si="0"/>
        <v>722.7631447519027</v>
      </c>
      <c r="S52" s="59">
        <f ca="1">AVERAGE(OFFSET($R$3,0,0,'Données projet'!$E$9+1,1))-AVERAGE(OFFSET($H$3,0,0,'Données projet'!$E$9+1,1))</f>
        <v>269.77739619445515</v>
      </c>
      <c r="T52" s="59">
        <f t="shared" si="34"/>
        <v>347.56964743629885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69.498963157031739</v>
      </c>
      <c r="AA52" s="21">
        <f>EXP(-LN(2)/25)*AA51+(1-EXP(-LN(2)/25))/(LN(2)/25)*Calculateur!V52*Calculateur!X52*VLOOKUP('Données projet'!$B$9,Paramètres!$A$1:$I$89,3,0)*0.475*44/12</f>
        <v>54.173427724898772</v>
      </c>
      <c r="AB52" s="21">
        <f>EXP(-LN(2)/2)*AB51+(1-EXP(-LN(2)/2))/(LN(2)/2)*V52*Y52*VLOOKUP('Données projet'!$B$9,Paramètres!$A$1:$I$89,3,0)*0.475*44/12</f>
        <v>3.4303443181914737E-5</v>
      </c>
      <c r="AC52" s="22">
        <f t="shared" si="3"/>
        <v>123.6724251853737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24.6</v>
      </c>
      <c r="AI52" s="13">
        <f>IF('Données projet'!$A$62&gt;35,AI51+AH52-AQ51,IF(A52&lt;'Données projet'!$A$62,$AF$205^A52,IF(A52='Données projet'!$A$62,'Données projet'!$B$62,AI51+AH52-AQ51)))</f>
        <v>568.40000000000009</v>
      </c>
      <c r="AJ52" s="13">
        <f>AI52*VLOOKUP('Données projet'!$B$10,Paramètres!$A$1:$I$89,3,0)*VLOOKUP('Données projet'!$B$10,Paramètres!$A$1:$I$89,5,0)</f>
        <v>280.78960000000006</v>
      </c>
      <c r="AK52" s="13">
        <f t="shared" si="35"/>
        <v>67.133846701538161</v>
      </c>
      <c r="AL52" s="20">
        <f t="shared" si="4"/>
        <v>605.96666967184581</v>
      </c>
      <c r="AM52" s="59">
        <f t="shared" si="5"/>
        <v>899.30000300517918</v>
      </c>
      <c r="AN52" s="59">
        <f ca="1">AVERAGE(OFFSET($AM$3,0,0,'Données projet'!$E$10+1,1))-AVERAGE(OFFSET($H$3,0,0,'Données projet'!$E$10+1,1))</f>
        <v>396.27049617044378</v>
      </c>
      <c r="AO52" s="59">
        <f t="shared" si="36"/>
        <v>335.2680289568774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63.540095180090894</v>
      </c>
      <c r="AV52" s="21">
        <f>EXP(-LN(2)/25)*AV51+(1-EXP(-LN(2)/25))/(LN(2)/25)*Calculateur!AQ52*Calculateur!AS52*VLOOKUP('Données projet'!$B$10,Paramètres!$A$1:$I$89,3,0)*0.475*44/12</f>
        <v>27.758074193037036</v>
      </c>
      <c r="AW52" s="21">
        <f>EXP(-LN(2)/2)*AW51+(1-EXP(-LN(2)/2))/(LN(2)/2)*AQ52*AT52*VLOOKUP('Données projet'!$B$10,Paramètres!$A$1:$I$89,3,0)*0.475*44/12</f>
        <v>5.3106812037186535E-4</v>
      </c>
      <c r="AX52" s="21">
        <f t="shared" si="6"/>
        <v>91.2987004412483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</v>
      </c>
      <c r="BD52" s="12">
        <f>IF('Données projet'!$A$88&gt;35,BD51+BC52-BL51,IF(A52&lt;'Données projet'!$A$88,$BA$205^A52,IF(A52='Données projet'!$A$88,'Données projet'!$B$88,BD51+BC52-BL51)))</f>
        <v>206.00000000000003</v>
      </c>
      <c r="BE52" s="13">
        <f>BD52*VLOOKUP('Données projet'!$B$11,Paramètres!$A$1:$I$89,3,0)*VLOOKUP('Données projet'!$B$11,Paramètres!$A$1:$I$89,5,0)</f>
        <v>176.74800000000005</v>
      </c>
      <c r="BF52" s="13">
        <f t="shared" si="37"/>
        <v>44.597910160550732</v>
      </c>
      <c r="BG52" s="20">
        <f t="shared" si="7"/>
        <v>385.51079352962591</v>
      </c>
      <c r="BH52" s="59">
        <f t="shared" si="8"/>
        <v>678.84412686295923</v>
      </c>
      <c r="BI52" s="59">
        <f ca="1">AVERAGE(OFFSET($BH$3,0,0,'Données projet'!$E$11+1,1))-AVERAGE(OFFSET($H$3,0,0,'Données projet'!$E$11+1,1))</f>
        <v>352.61091660077574</v>
      </c>
      <c r="BJ52" s="59">
        <f t="shared" si="38"/>
        <v>186.48649111821521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35.448684679419138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35.448684679419138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7.2</v>
      </c>
      <c r="BY52" s="12">
        <f>IF('Données projet'!$A$114&gt;35,BY51+BX52-CG51,IF(A52&lt;'Données projet'!$A$114,$BV$205^A52,IF(A52='Données projet'!$A$114,'Données projet'!$B$114,BY51+BX52-CG51)))</f>
        <v>211.7999999999999</v>
      </c>
      <c r="BZ52" s="13">
        <f>BY52*VLOOKUP('Données projet'!$B$12,Paramètres!$A$1:$I$89,3,0)*VLOOKUP('Données projet'!$B$12,Paramètres!$A$1:$I$89,5,0)</f>
        <v>168.50807999999992</v>
      </c>
      <c r="CA52" s="13">
        <f t="shared" si="39"/>
        <v>42.755711908378117</v>
      </c>
      <c r="CB52" s="20">
        <f t="shared" si="10"/>
        <v>367.95110424042508</v>
      </c>
      <c r="CC52" s="59">
        <f t="shared" si="11"/>
        <v>661.2844375737584</v>
      </c>
      <c r="CD52" s="59">
        <f ca="1">AVERAGE(OFFSET($CC$3,0,0,'Données projet'!$E$12+1,1))-AVERAGE(OFFSET($H$3,0,0,'Données projet'!$E$12+1,1))</f>
        <v>225.2323446080772</v>
      </c>
      <c r="CE52" s="59">
        <f t="shared" si="40"/>
        <v>222.29030402759292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30.286758761514172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30.286758761514172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5.6</v>
      </c>
      <c r="CT52" s="12">
        <f>IF('Données projet'!$A$140&gt;35,CT51+CS52-DB51,IF(A52&lt;'Données projet'!$A$140,$CQ$205^A52,IF(A52='Données projet'!$A$140,'Données projet'!$B$140,CT51+CS52-DB51)))</f>
        <v>168.39999999999995</v>
      </c>
      <c r="CU52" s="17">
        <f>CT52*VLOOKUP('Données projet'!$B$13,Paramètres!$A$1:$I$89,3,0)*VLOOKUP('Données projet'!$B$13,Paramètres!$A$1:$I$89,5,0)</f>
        <v>162.87647999999996</v>
      </c>
      <c r="CV52" s="13">
        <f t="shared" si="41"/>
        <v>41.490639148678852</v>
      </c>
      <c r="CW52" s="20">
        <f t="shared" si="13"/>
        <v>355.93939918394886</v>
      </c>
      <c r="CX52" s="59">
        <f t="shared" si="14"/>
        <v>649.27273251728218</v>
      </c>
      <c r="CY52" s="59">
        <f ca="1">AVERAGE(OFFSET($CX$3,0,0,'Données projet'!$E$13+1,1))-AVERAGE(OFFSET($H$3,0,0,'Données projet'!$E$13+1,1))</f>
        <v>212.32823943192528</v>
      </c>
      <c r="CZ52" s="59">
        <f t="shared" si="42"/>
        <v>209.60834138503003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23.041251699329948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23.041251699329948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10.199999999999999</v>
      </c>
      <c r="DO52" s="12">
        <f>IF('Données projet'!$A$166&gt;35,DO51+DN52-DW51,IF(A52&lt;'Données projet'!$A$166,$DL$205^A52,IF(A52='Données projet'!$A$166,'Données projet'!$B$166,DO51+DN52-DW51)))</f>
        <v>242.8</v>
      </c>
      <c r="DP52" s="17">
        <f>DO52*VLOOKUP('Données projet'!$B$14,Paramètres!$A$1:$I$89,3,0)*VLOOKUP('Données projet'!$B$14,Paramètres!$A$1:$I$89,5,0)</f>
        <v>189.38400000000001</v>
      </c>
      <c r="DQ52" s="13">
        <f t="shared" si="43"/>
        <v>47.403738268724076</v>
      </c>
      <c r="DR52" s="20">
        <f t="shared" si="16"/>
        <v>412.40531081802777</v>
      </c>
      <c r="DS52" s="59">
        <f t="shared" si="17"/>
        <v>705.73864415136109</v>
      </c>
      <c r="DT52" s="59">
        <f ca="1">AVERAGE(OFFSET($DS$3,0,0,'Données projet'!$E$14+1,1))-AVERAGE(OFFSET($H$3,0,0,'Données projet'!$E$14+1,1))</f>
        <v>215.84581110302656</v>
      </c>
      <c r="DU52" s="59">
        <f t="shared" si="44"/>
        <v>193.88588526156104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28.133272924573561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28.133272924573561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6">
        <f t="shared" si="1"/>
        <v>348.55165185430155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11.533333333333331</v>
      </c>
      <c r="N53" s="13">
        <f>IF('Données projet'!$A$36&gt;35,N52+M53-V52,IF(A53&lt;'Données projet'!$A$36,$K$205^A53,IF(A53='Données projet'!$A$36,'Données projet'!$B$36,N52+M53-V52)))</f>
        <v>327.86666666666679</v>
      </c>
      <c r="O53" s="13">
        <f>N53*VLOOKUP('Données projet'!$B$9,Paramètres!$A$1:$I$89,3,0)*VLOOKUP('Données projet'!$B$9,Paramètres!$A$1:$I$89,5,0)</f>
        <v>204.58880000000008</v>
      </c>
      <c r="P53" s="13">
        <f t="shared" si="33"/>
        <v>50.751311773101563</v>
      </c>
      <c r="Q53" s="20">
        <f t="shared" si="53"/>
        <v>444.71736133815199</v>
      </c>
      <c r="R53" s="59">
        <f t="shared" si="0"/>
        <v>738.0506946714853</v>
      </c>
      <c r="S53" s="59">
        <f ca="1">AVERAGE(OFFSET($R$3,0,0,'Données projet'!$E$9+1,1))-AVERAGE(OFFSET($H$3,0,0,'Données projet'!$E$9+1,1))</f>
        <v>269.77739619445515</v>
      </c>
      <c r="T53" s="59">
        <f t="shared" si="34"/>
        <v>347.56964743629885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68.136130879704183</v>
      </c>
      <c r="AA53" s="21">
        <f>EXP(-LN(2)/25)*AA52+(1-EXP(-LN(2)/25))/(LN(2)/25)*Calculateur!V53*Calculateur!X53*VLOOKUP('Données projet'!$B$9,Paramètres!$A$1:$I$89,3,0)*0.475*44/12</f>
        <v>52.692052494904665</v>
      </c>
      <c r="AB53" s="21">
        <f>EXP(-LN(2)/2)*AB52+(1-EXP(-LN(2)/2))/(LN(2)/2)*V53*Y53*VLOOKUP('Données projet'!$B$9,Paramètres!$A$1:$I$89,3,0)*0.475*44/12</f>
        <v>2.425619729197935E-5</v>
      </c>
      <c r="AC53" s="22">
        <f t="shared" si="3"/>
        <v>120.82820763080613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593</v>
      </c>
      <c r="AG53" s="12">
        <f>VLOOKUP(A53,'Données projet'!$A$61:$I$81,9,0)</f>
        <v>24.6</v>
      </c>
      <c r="AH53" s="12">
        <f t="array" ref="AH53">INDEX(AG:AG,MIN(IF(ISNUMBER(AG53:AG249),ROW(AG53:AG249),"")))</f>
        <v>24.6</v>
      </c>
      <c r="AI53" s="13">
        <f>IF('Données projet'!$A$62&gt;35,AI52+AH53-AQ52,IF(A53&lt;'Données projet'!$A$62,$AF$205^A53,IF(A53='Données projet'!$A$62,'Données projet'!$B$62,AI52+AH53-AQ52)))</f>
        <v>593.00000000000011</v>
      </c>
      <c r="AJ53" s="13">
        <f>AI53*VLOOKUP('Données projet'!$B$10,Paramètres!$A$1:$I$89,3,0)*VLOOKUP('Données projet'!$B$10,Paramètres!$A$1:$I$89,5,0)</f>
        <v>292.94200000000006</v>
      </c>
      <c r="AK53" s="13">
        <f t="shared" si="35"/>
        <v>69.694791629766996</v>
      </c>
      <c r="AL53" s="20">
        <f t="shared" si="4"/>
        <v>631.59241208851097</v>
      </c>
      <c r="AM53" s="59">
        <f t="shared" si="5"/>
        <v>924.92574542184434</v>
      </c>
      <c r="AN53" s="59">
        <f ca="1">AVERAGE(OFFSET($AM$3,0,0,'Données projet'!$E$10+1,1))-AVERAGE(OFFSET($H$3,0,0,'Données projet'!$E$10+1,1))</f>
        <v>396.27049617044378</v>
      </c>
      <c r="AO53" s="59">
        <f t="shared" si="36"/>
        <v>335.2680289568774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70</v>
      </c>
      <c r="AR53" s="16">
        <f>IF(ISNA(VLOOKUP(A53,'Données projet'!$A$61:$I$81,5,0)),0%,VLOOKUP(A53,'Données projet'!$A$61:$I$81,5,0)*VLOOKUP('Données projet'!$B$10,Paramètres!$A$1:$I$89,7,0))</f>
        <v>0.55000000000000004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87.524042047245189</v>
      </c>
      <c r="AV53" s="21">
        <f>EXP(-LN(2)/25)*AV52+(1-EXP(-LN(2)/25))/(LN(2)/25)*Calculateur!AQ53*Calculateur!AS53*VLOOKUP('Données projet'!$B$10,Paramètres!$A$1:$I$89,3,0)*0.475*44/12</f>
        <v>26.999028194494759</v>
      </c>
      <c r="AW53" s="21">
        <f>EXP(-LN(2)/2)*AW52+(1-EXP(-LN(2)/2))/(LN(2)/2)*AQ53*AT53*VLOOKUP('Données projet'!$B$10,Paramètres!$A$1:$I$89,3,0)*0.475*44/12</f>
        <v>3.7552186918693968E-4</v>
      </c>
      <c r="AX53" s="21">
        <f t="shared" si="6"/>
        <v>114.52344576360913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217</v>
      </c>
      <c r="BB53" s="12">
        <f>VLOOKUP(A53,'Données projet'!$A$87:$I$107,9,0)</f>
        <v>11</v>
      </c>
      <c r="BC53" s="12">
        <f t="array" ref="BC53">INDEX(BB:BB,MIN(IF(ISNUMBER(BB53:BB249),ROW(BB53:BB249),"")))</f>
        <v>11</v>
      </c>
      <c r="BD53" s="12">
        <f>IF('Données projet'!$A$88&gt;35,BD52+BC53-BL52,IF(A53&lt;'Données projet'!$A$88,$BA$205^A53,IF(A53='Données projet'!$A$88,'Données projet'!$B$88,BD52+BC53-BL52)))</f>
        <v>217.00000000000003</v>
      </c>
      <c r="BE53" s="13">
        <f>BD53*VLOOKUP('Données projet'!$B$11,Paramètres!$A$1:$I$89,3,0)*VLOOKUP('Données projet'!$B$11,Paramètres!$A$1:$I$89,5,0)</f>
        <v>186.18600000000004</v>
      </c>
      <c r="BF53" s="13">
        <f t="shared" si="37"/>
        <v>46.69573903947046</v>
      </c>
      <c r="BG53" s="20">
        <f t="shared" si="7"/>
        <v>405.60236216041108</v>
      </c>
      <c r="BH53" s="59">
        <f t="shared" si="8"/>
        <v>698.93569549374433</v>
      </c>
      <c r="BI53" s="59">
        <f ca="1">AVERAGE(OFFSET($BH$3,0,0,'Données projet'!$E$11+1,1))-AVERAGE(OFFSET($H$3,0,0,'Données projet'!$E$11+1,1))</f>
        <v>352.61091660077574</v>
      </c>
      <c r="BJ53" s="59">
        <f t="shared" si="38"/>
        <v>186.48649111821521</v>
      </c>
      <c r="BK53" s="15">
        <f>IF(ISNA(VLOOKUP(A53,'Données projet'!$A$87:$I$107,3,0)),0,VLOOKUP(A53,'Données projet'!$A$87:$I$107,3,0))</f>
        <v>6</v>
      </c>
      <c r="BL53" s="15">
        <f>IF(ISNA(VLOOKUP(A53,'Données projet'!$A$87:$I$107,4,0)),0,VLOOKUP(A53,'Données projet'!$A$87:$I$107,4,0))</f>
        <v>28</v>
      </c>
      <c r="BM53" s="16">
        <f>IF(ISNA(VLOOKUP(A53,'Données projet'!$A$87:$I$107,5,0)),0%,VLOOKUP(A53,'Données projet'!$A$87:$I$107,5,0)*VLOOKUP('Données projet'!$B$11,Paramètres!$A$1:$I$89,7,0))</f>
        <v>0.53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48.829202405305217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48.829202405305217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219</v>
      </c>
      <c r="BW53" s="12">
        <f>VLOOKUP(A53,'Données projet'!$A$113:$I$133,9,0)</f>
        <v>7.2</v>
      </c>
      <c r="BX53" s="12">
        <f t="array" ref="BX53">INDEX(BW:BW,MIN(IF(ISNUMBER(BW53:BW249),ROW(BW53:BW249),"")))</f>
        <v>7.2</v>
      </c>
      <c r="BY53" s="12">
        <f>IF('Données projet'!$A$114&gt;35,BY52+BX53-CG52,IF(A53&lt;'Données projet'!$A$114,$BV$205^A53,IF(A53='Données projet'!$A$114,'Données projet'!$B$114,BY52+BX53-CG52)))</f>
        <v>218.99999999999989</v>
      </c>
      <c r="BZ53" s="13">
        <f>BY53*VLOOKUP('Données projet'!$B$12,Paramètres!$A$1:$I$89,3,0)*VLOOKUP('Données projet'!$B$12,Paramètres!$A$1:$I$89,5,0)</f>
        <v>174.23639999999992</v>
      </c>
      <c r="CA53" s="13">
        <f t="shared" si="39"/>
        <v>44.03747274965864</v>
      </c>
      <c r="CB53" s="20">
        <f t="shared" si="10"/>
        <v>380.160328372322</v>
      </c>
      <c r="CC53" s="59">
        <f t="shared" si="11"/>
        <v>673.49366170565531</v>
      </c>
      <c r="CD53" s="59">
        <f ca="1">AVERAGE(OFFSET($CC$3,0,0,'Données projet'!$E$12+1,1))-AVERAGE(OFFSET($H$3,0,0,'Données projet'!$E$12+1,1))</f>
        <v>225.2323446080772</v>
      </c>
      <c r="CE53" s="59">
        <f t="shared" si="40"/>
        <v>222.29030402759292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17</v>
      </c>
      <c r="CH53" s="16">
        <f>IF(ISNA(VLOOKUP(A53,'Données projet'!$A$113:$I$133,5,0)),0%,VLOOKUP(A53,'Données projet'!$A$113:$I$133,5,0)*VLOOKUP('Données projet'!$B$12,Paramètres!$A$1:$I$89,7,0))</f>
        <v>0.53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37.617259123246953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37.617259123246953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174</v>
      </c>
      <c r="CR53" s="12">
        <f>VLOOKUP(A53,'Données projet'!$A$139:$I$159,9,0)</f>
        <v>5.6</v>
      </c>
      <c r="CS53" s="12">
        <f t="array" ref="CS53">INDEX(CR:CR,MIN(IF(ISNUMBER(CR53:CR249),ROW(CR53:CR249),"")))</f>
        <v>5.6</v>
      </c>
      <c r="CT53" s="12">
        <f>IF('Données projet'!$A$140&gt;35,CT52+CS53-DB52,IF(A53&lt;'Données projet'!$A$140,$CQ$205^A53,IF(A53='Données projet'!$A$140,'Données projet'!$B$140,CT52+CS53-DB52)))</f>
        <v>173.99999999999994</v>
      </c>
      <c r="CU53" s="17">
        <f>CT53*VLOOKUP('Données projet'!$B$13,Paramètres!$A$1:$I$89,3,0)*VLOOKUP('Données projet'!$B$13,Paramètres!$A$1:$I$89,5,0)</f>
        <v>168.29279999999994</v>
      </c>
      <c r="CV53" s="13">
        <f t="shared" si="41"/>
        <v>42.707443263135069</v>
      </c>
      <c r="CW53" s="20">
        <f t="shared" si="13"/>
        <v>367.49209034996011</v>
      </c>
      <c r="CX53" s="59">
        <f t="shared" si="14"/>
        <v>660.82542368329337</v>
      </c>
      <c r="CY53" s="59">
        <f ca="1">AVERAGE(OFFSET($CX$3,0,0,'Données projet'!$E$13+1,1))-AVERAGE(OFFSET($H$3,0,0,'Données projet'!$E$13+1,1))</f>
        <v>212.32823943192528</v>
      </c>
      <c r="CZ53" s="59">
        <f t="shared" si="42"/>
        <v>209.60834138503003</v>
      </c>
      <c r="DA53" s="15">
        <f>IF(ISNA(VLOOKUP(A53,'Données projet'!$A$139:$I$159,3,0)),0,VLOOKUP(A53,'Données projet'!$A$139:$I$159,3,0))</f>
        <v>7</v>
      </c>
      <c r="DB53" s="15">
        <f>IF(ISNA(VLOOKUP(A53,'Données projet'!$A$139:$I$159,4,0)),0,VLOOKUP(A53,'Données projet'!$A$139:$I$159,4,0))</f>
        <v>13</v>
      </c>
      <c r="DC53" s="16">
        <f>IF(ISNA(VLOOKUP(A53,'Données projet'!$A$139:$I$159,5,0)),0%,VLOOKUP(A53,'Données projet'!$A$139:$I$159,5,0)*VLOOKUP('Données projet'!$B$13,Paramètres!$A$1:$I$89,7,0))</f>
        <v>0.43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28.566316023842994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28.566316023842994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253</v>
      </c>
      <c r="DM53" s="12">
        <f>VLOOKUP(A53,'Données projet'!$A$165:$I$185,9,0)</f>
        <v>10.199999999999999</v>
      </c>
      <c r="DN53" s="12">
        <f t="array" ref="DN53">INDEX(DM:DM,MIN(IF(ISNUMBER(DM53:DM249),ROW(DM53:DM249),"")))</f>
        <v>10.199999999999999</v>
      </c>
      <c r="DO53" s="12">
        <f>IF('Données projet'!$A$166&gt;35,DO52+DN53-DW52,IF(A53&lt;'Données projet'!$A$166,$DL$205^A53,IF(A53='Données projet'!$A$166,'Données projet'!$B$166,DO52+DN53-DW52)))</f>
        <v>253</v>
      </c>
      <c r="DP53" s="17">
        <f>DO53*VLOOKUP('Données projet'!$B$14,Paramètres!$A$1:$I$89,3,0)*VLOOKUP('Données projet'!$B$14,Paramètres!$A$1:$I$89,5,0)</f>
        <v>197.34</v>
      </c>
      <c r="DQ53" s="13">
        <f t="shared" si="43"/>
        <v>49.159125474269977</v>
      </c>
      <c r="DR53" s="20">
        <f t="shared" si="16"/>
        <v>429.31931020102024</v>
      </c>
      <c r="DS53" s="59">
        <f t="shared" si="17"/>
        <v>722.6526435343535</v>
      </c>
      <c r="DT53" s="59">
        <f ca="1">AVERAGE(OFFSET($DS$3,0,0,'Données projet'!$E$14+1,1))-AVERAGE(OFFSET($H$3,0,0,'Données projet'!$E$14+1,1))</f>
        <v>215.84581110302656</v>
      </c>
      <c r="DU53" s="59">
        <f t="shared" si="44"/>
        <v>193.88588526156104</v>
      </c>
      <c r="DV53" s="15">
        <f>IF(ISNA(VLOOKUP(A53,'Données projet'!$A$165:$I$185,3,0)),0,VLOOKUP(A53,'Données projet'!$A$165:$I$185,3,0))</f>
        <v>6</v>
      </c>
      <c r="DW53" s="15">
        <f>IF(ISNA(VLOOKUP(A53,'Données projet'!$A$165:$I$185,4,0)),0,VLOOKUP(A53,'Données projet'!$A$165:$I$185,4,0))</f>
        <v>30</v>
      </c>
      <c r="DX53" s="16">
        <f>IF(ISNA(VLOOKUP(A53,'Données projet'!$A$165:$I$185,5,0)),0%,VLOOKUP(A53,'Données projet'!$A$165:$I$185,5,0)*VLOOKUP('Données projet'!$B$14,Paramètres!$A$1:$I$89,7,0))</f>
        <v>0.43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38.704839560985334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38.704839560985334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6">
        <f t="shared" si="1"/>
        <v>349.62471090256616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11.533333333333331</v>
      </c>
      <c r="N54" s="13">
        <f>IF('Données projet'!$A$36&gt;35,N53+M54-V53,IF(A54&lt;'Données projet'!$A$36,$K$205^A54,IF(A54='Données projet'!$A$36,'Données projet'!$B$36,N53+M54-V53)))</f>
        <v>339.40000000000009</v>
      </c>
      <c r="O54" s="13">
        <f>N54*VLOOKUP('Données projet'!$B$9,Paramètres!$A$1:$I$89,3,0)*VLOOKUP('Données projet'!$B$9,Paramètres!$A$1:$I$89,5,0)</f>
        <v>211.78560000000004</v>
      </c>
      <c r="P54" s="13">
        <f t="shared" si="33"/>
        <v>52.325591735507324</v>
      </c>
      <c r="Q54" s="20">
        <f t="shared" si="53"/>
        <v>459.99365893934191</v>
      </c>
      <c r="R54" s="59">
        <f t="shared" si="0"/>
        <v>753.32699227267517</v>
      </c>
      <c r="S54" s="59">
        <f ca="1">AVERAGE(OFFSET($R$3,0,0,'Données projet'!$E$9+1,1))-AVERAGE(OFFSET($H$3,0,0,'Données projet'!$E$9+1,1))</f>
        <v>269.77739619445515</v>
      </c>
      <c r="T54" s="59">
        <f t="shared" si="34"/>
        <v>347.56964743629885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66.800022912089418</v>
      </c>
      <c r="AA54" s="21">
        <f>EXP(-LN(2)/25)*AA53+(1-EXP(-LN(2)/25))/(LN(2)/25)*Calculateur!V54*Calculateur!X54*VLOOKUP('Données projet'!$B$9,Paramètres!$A$1:$I$89,3,0)*0.475*44/12</f>
        <v>51.251185548476883</v>
      </c>
      <c r="AB54" s="21">
        <f>EXP(-LN(2)/2)*AB53+(1-EXP(-LN(2)/2))/(LN(2)/2)*V54*Y54*VLOOKUP('Données projet'!$B$9,Paramètres!$A$1:$I$89,3,0)*0.475*44/12</f>
        <v>1.7151721590957369E-5</v>
      </c>
      <c r="AC54" s="22">
        <f t="shared" si="3"/>
        <v>118.05122561228789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23.4</v>
      </c>
      <c r="AI54" s="13">
        <f>IF('Données projet'!$A$62&gt;35,AI53+AH54-AQ53,IF(A54&lt;'Données projet'!$A$62,$AF$205^A54,IF(A54='Données projet'!$A$62,'Données projet'!$B$62,AI53+AH54-AQ53)))</f>
        <v>546.40000000000009</v>
      </c>
      <c r="AJ54" s="13">
        <f>AI54*VLOOKUP('Données projet'!$B$10,Paramètres!$A$1:$I$89,3,0)*VLOOKUP('Données projet'!$B$10,Paramètres!$A$1:$I$89,5,0)</f>
        <v>269.92160000000007</v>
      </c>
      <c r="AK54" s="13">
        <f t="shared" si="35"/>
        <v>64.832630547942557</v>
      </c>
      <c r="AL54" s="20">
        <f t="shared" si="4"/>
        <v>583.03028487099994</v>
      </c>
      <c r="AM54" s="59">
        <f t="shared" si="5"/>
        <v>876.36361820433331</v>
      </c>
      <c r="AN54" s="59">
        <f ca="1">AVERAGE(OFFSET($AM$3,0,0,'Données projet'!$E$10+1,1))-AVERAGE(OFFSET($H$3,0,0,'Données projet'!$E$10+1,1))</f>
        <v>396.27049617044378</v>
      </c>
      <c r="AO54" s="59">
        <f t="shared" si="36"/>
        <v>335.2680289568774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85.80774896709309</v>
      </c>
      <c r="AV54" s="21">
        <f>EXP(-LN(2)/25)*AV53+(1-EXP(-LN(2)/25))/(LN(2)/25)*Calculateur!AQ54*Calculateur!AS54*VLOOKUP('Données projet'!$B$10,Paramètres!$A$1:$I$89,3,0)*0.475*44/12</f>
        <v>26.260738348699114</v>
      </c>
      <c r="AW54" s="21">
        <f>EXP(-LN(2)/2)*AW53+(1-EXP(-LN(2)/2))/(LN(2)/2)*AQ54*AT54*VLOOKUP('Données projet'!$B$10,Paramètres!$A$1:$I$89,3,0)*0.475*44/12</f>
        <v>2.6553406018593268E-4</v>
      </c>
      <c r="AX54" s="21">
        <f t="shared" si="6"/>
        <v>112.06875284985239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11</v>
      </c>
      <c r="BD54" s="12">
        <f>IF('Données projet'!$A$88&gt;35,BD53+BC54-BL53,IF(A54&lt;'Données projet'!$A$88,$BA$205^A54,IF(A54='Données projet'!$A$88,'Données projet'!$B$88,BD53+BC54-BL53)))</f>
        <v>200.00000000000003</v>
      </c>
      <c r="BE54" s="13">
        <f>BD54*VLOOKUP('Données projet'!$B$11,Paramètres!$A$1:$I$89,3,0)*VLOOKUP('Données projet'!$B$11,Paramètres!$A$1:$I$89,5,0)</f>
        <v>171.60000000000005</v>
      </c>
      <c r="BF54" s="13">
        <f t="shared" si="37"/>
        <v>43.44817475464852</v>
      </c>
      <c r="BG54" s="20">
        <f t="shared" si="7"/>
        <v>374.54223769767958</v>
      </c>
      <c r="BH54" s="59">
        <f t="shared" si="8"/>
        <v>667.8755710310129</v>
      </c>
      <c r="BI54" s="59">
        <f ca="1">AVERAGE(OFFSET($BH$3,0,0,'Données projet'!$E$11+1,1))-AVERAGE(OFFSET($H$3,0,0,'Données projet'!$E$11+1,1))</f>
        <v>352.61091660077574</v>
      </c>
      <c r="BJ54" s="59">
        <f t="shared" si="38"/>
        <v>186.48649111821521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47.871691529009837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47.871691529009837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6</v>
      </c>
      <c r="BY54" s="12">
        <f>IF('Données projet'!$A$114&gt;35,BY53+BX54-CG53,IF(A54&lt;'Données projet'!$A$114,$BV$205^A54,IF(A54='Données projet'!$A$114,'Données projet'!$B$114,BY53+BX54-CG53)))</f>
        <v>207.99999999999989</v>
      </c>
      <c r="BZ54" s="13">
        <f>BY54*VLOOKUP('Données projet'!$B$12,Paramètres!$A$1:$I$89,3,0)*VLOOKUP('Données projet'!$B$12,Paramètres!$A$1:$I$89,5,0)</f>
        <v>165.48479999999992</v>
      </c>
      <c r="CA54" s="13">
        <f t="shared" si="39"/>
        <v>42.077190125964002</v>
      </c>
      <c r="CB54" s="20">
        <f t="shared" si="10"/>
        <v>361.5037994693871</v>
      </c>
      <c r="CC54" s="59">
        <f t="shared" si="11"/>
        <v>654.83713280272036</v>
      </c>
      <c r="CD54" s="59">
        <f ca="1">AVERAGE(OFFSET($CC$3,0,0,'Données projet'!$E$12+1,1))-AVERAGE(OFFSET($H$3,0,0,'Données projet'!$E$12+1,1))</f>
        <v>225.2323446080772</v>
      </c>
      <c r="CE54" s="59">
        <f t="shared" si="40"/>
        <v>222.29030402759292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36.879607616102589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36.879607616102589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4.8</v>
      </c>
      <c r="CT54" s="12">
        <f>IF('Données projet'!$A$140&gt;35,CT53+CS54-DB53,IF(A54&lt;'Données projet'!$A$140,$CQ$205^A54,IF(A54='Données projet'!$A$140,'Données projet'!$B$140,CT53+CS54-DB53)))</f>
        <v>165.79999999999995</v>
      </c>
      <c r="CU54" s="17">
        <f>CT54*VLOOKUP('Données projet'!$B$13,Paramètres!$A$1:$I$89,3,0)*VLOOKUP('Données projet'!$B$13,Paramètres!$A$1:$I$89,5,0)</f>
        <v>160.36175999999998</v>
      </c>
      <c r="CV54" s="13">
        <f t="shared" si="41"/>
        <v>40.924100656281027</v>
      </c>
      <c r="CW54" s="20">
        <f t="shared" si="13"/>
        <v>350.57287397635605</v>
      </c>
      <c r="CX54" s="59">
        <f t="shared" si="14"/>
        <v>643.90620730968931</v>
      </c>
      <c r="CY54" s="59">
        <f ca="1">AVERAGE(OFFSET($CX$3,0,0,'Données projet'!$E$13+1,1))-AVERAGE(OFFSET($H$3,0,0,'Données projet'!$E$13+1,1))</f>
        <v>212.32823943192528</v>
      </c>
      <c r="CZ54" s="59">
        <f t="shared" si="42"/>
        <v>209.60834138503003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28.006147990347756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28.006147990347756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8.1999999999999993</v>
      </c>
      <c r="DO54" s="12">
        <f>IF('Données projet'!$A$166&gt;35,DO53+DN54-DW53,IF(A54&lt;'Données projet'!$A$166,$DL$205^A54,IF(A54='Données projet'!$A$166,'Données projet'!$B$166,DO53+DN54-DW53)))</f>
        <v>231.2</v>
      </c>
      <c r="DP54" s="17">
        <f>DO54*VLOOKUP('Données projet'!$B$14,Paramètres!$A$1:$I$89,3,0)*VLOOKUP('Données projet'!$B$14,Paramètres!$A$1:$I$89,5,0)</f>
        <v>180.33599999999998</v>
      </c>
      <c r="DQ54" s="13">
        <f t="shared" si="43"/>
        <v>45.396931860513298</v>
      </c>
      <c r="DR54" s="20">
        <f t="shared" si="16"/>
        <v>393.15152299039391</v>
      </c>
      <c r="DS54" s="59">
        <f t="shared" si="17"/>
        <v>686.48485632372717</v>
      </c>
      <c r="DT54" s="59">
        <f ca="1">AVERAGE(OFFSET($DS$3,0,0,'Données projet'!$E$14+1,1))-AVERAGE(OFFSET($H$3,0,0,'Données projet'!$E$14+1,1))</f>
        <v>215.84581110302656</v>
      </c>
      <c r="DU54" s="59">
        <f t="shared" si="44"/>
        <v>193.88588526156104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37.945861264815484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37.945861264815484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6">
        <f t="shared" si="1"/>
        <v>350.69723344960619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11.533333333333331</v>
      </c>
      <c r="N55" s="13">
        <f>IF('Données projet'!$A$36&gt;35,N54+M55-V54,IF(A55&lt;'Données projet'!$A$36,$K$205^A55,IF(A55='Données projet'!$A$36,'Données projet'!$B$36,N54+M55-V54)))</f>
        <v>350.93333333333339</v>
      </c>
      <c r="O55" s="13">
        <f>N55*VLOOKUP('Données projet'!$B$9,Paramètres!$A$1:$I$89,3,0)*VLOOKUP('Données projet'!$B$9,Paramètres!$A$1:$I$89,5,0)</f>
        <v>218.98240000000004</v>
      </c>
      <c r="P55" s="13">
        <f t="shared" si="33"/>
        <v>53.893655746249046</v>
      </c>
      <c r="Q55" s="20">
        <f t="shared" si="53"/>
        <v>475.25913042471711</v>
      </c>
      <c r="R55" s="59">
        <f t="shared" si="0"/>
        <v>768.59246375805037</v>
      </c>
      <c r="S55" s="59">
        <f ca="1">AVERAGE(OFFSET($R$3,0,0,'Données projet'!$E$9+1,1))-AVERAGE(OFFSET($H$3,0,0,'Données projet'!$E$9+1,1))</f>
        <v>269.77739619445515</v>
      </c>
      <c r="T55" s="59">
        <f t="shared" si="34"/>
        <v>347.56964743629885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65.490115206774192</v>
      </c>
      <c r="AA55" s="21">
        <f>EXP(-LN(2)/25)*AA54+(1-EXP(-LN(2)/25))/(LN(2)/25)*Calculateur!V55*Calculateur!X55*VLOOKUP('Données projet'!$B$9,Paramètres!$A$1:$I$89,3,0)*0.475*44/12</f>
        <v>49.84971918447107</v>
      </c>
      <c r="AB55" s="21">
        <f>EXP(-LN(2)/2)*AB54+(1-EXP(-LN(2)/2))/(LN(2)/2)*V55*Y55*VLOOKUP('Données projet'!$B$9,Paramètres!$A$1:$I$89,3,0)*0.475*44/12</f>
        <v>1.2128098645989675E-5</v>
      </c>
      <c r="AC55" s="22">
        <f t="shared" si="3"/>
        <v>115.33984651934391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23.4</v>
      </c>
      <c r="AI55" s="13">
        <f>IF('Données projet'!$A$62&gt;35,AI54+AH55-AQ54,IF(A55&lt;'Données projet'!$A$62,$AF$205^A55,IF(A55='Données projet'!$A$62,'Données projet'!$B$62,AI54+AH55-AQ54)))</f>
        <v>569.80000000000007</v>
      </c>
      <c r="AJ55" s="13">
        <f>AI55*VLOOKUP('Données projet'!$B$10,Paramètres!$A$1:$I$89,3,0)*VLOOKUP('Données projet'!$B$10,Paramètres!$A$1:$I$89,5,0)</f>
        <v>281.48120000000006</v>
      </c>
      <c r="AK55" s="13">
        <f t="shared" si="35"/>
        <v>67.279932837741256</v>
      </c>
      <c r="AL55" s="20">
        <f t="shared" si="4"/>
        <v>607.42563969239939</v>
      </c>
      <c r="AM55" s="59">
        <f t="shared" si="5"/>
        <v>900.75897302573276</v>
      </c>
      <c r="AN55" s="59">
        <f ca="1">AVERAGE(OFFSET($AM$3,0,0,'Données projet'!$E$10+1,1))-AVERAGE(OFFSET($H$3,0,0,'Données projet'!$E$10+1,1))</f>
        <v>396.27049617044378</v>
      </c>
      <c r="AO55" s="59">
        <f t="shared" si="36"/>
        <v>335.2680289568774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84.125111347407355</v>
      </c>
      <c r="AV55" s="21">
        <f>EXP(-LN(2)/25)*AV54+(1-EXP(-LN(2)/25))/(LN(2)/25)*Calculateur!AQ55*Calculateur!AS55*VLOOKUP('Données projet'!$B$10,Paramètres!$A$1:$I$89,3,0)*0.475*44/12</f>
        <v>25.542637077561725</v>
      </c>
      <c r="AW55" s="21">
        <f>EXP(-LN(2)/2)*AW54+(1-EXP(-LN(2)/2))/(LN(2)/2)*AQ55*AT55*VLOOKUP('Données projet'!$B$10,Paramètres!$A$1:$I$89,3,0)*0.475*44/12</f>
        <v>1.8776093459346984E-4</v>
      </c>
      <c r="AX55" s="21">
        <f t="shared" si="6"/>
        <v>109.66793618590367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11</v>
      </c>
      <c r="BD55" s="12">
        <f>IF('Données projet'!$A$88&gt;35,BD54+BC55-BL54,IF(A55&lt;'Données projet'!$A$88,$BA$205^A55,IF(A55='Données projet'!$A$88,'Données projet'!$B$88,BD54+BC55-BL54)))</f>
        <v>211.00000000000003</v>
      </c>
      <c r="BE55" s="13">
        <f>BD55*VLOOKUP('Données projet'!$B$11,Paramètres!$A$1:$I$89,3,0)*VLOOKUP('Données projet'!$B$11,Paramètres!$A$1:$I$89,5,0)</f>
        <v>181.03800000000004</v>
      </c>
      <c r="BF55" s="13">
        <f t="shared" si="37"/>
        <v>45.553044701671382</v>
      </c>
      <c r="BG55" s="20">
        <f t="shared" si="7"/>
        <v>394.64606952207765</v>
      </c>
      <c r="BH55" s="59">
        <f t="shared" si="8"/>
        <v>687.97940285541097</v>
      </c>
      <c r="BI55" s="59">
        <f ca="1">AVERAGE(OFFSET($BH$3,0,0,'Données projet'!$E$11+1,1))-AVERAGE(OFFSET($H$3,0,0,'Données projet'!$E$11+1,1))</f>
        <v>352.61091660077574</v>
      </c>
      <c r="BJ55" s="59">
        <f t="shared" si="38"/>
        <v>186.48649111821521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46.932956856974641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46.932956856974641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6</v>
      </c>
      <c r="BY55" s="12">
        <f>IF('Données projet'!$A$114&gt;35,BY54+BX55-CG54,IF(A55&lt;'Données projet'!$A$114,$BV$205^A55,IF(A55='Données projet'!$A$114,'Données projet'!$B$114,BY54+BX55-CG54)))</f>
        <v>213.99999999999989</v>
      </c>
      <c r="BZ55" s="13">
        <f>BY55*VLOOKUP('Données projet'!$B$12,Paramètres!$A$1:$I$89,3,0)*VLOOKUP('Données projet'!$B$12,Paramètres!$A$1:$I$89,5,0)</f>
        <v>170.25839999999991</v>
      </c>
      <c r="CA55" s="13">
        <f t="shared" si="39"/>
        <v>43.147891472685018</v>
      </c>
      <c r="CB55" s="20">
        <f t="shared" si="10"/>
        <v>371.68262431492622</v>
      </c>
      <c r="CC55" s="59">
        <f t="shared" si="11"/>
        <v>665.01595764825947</v>
      </c>
      <c r="CD55" s="59">
        <f ca="1">AVERAGE(OFFSET($CC$3,0,0,'Données projet'!$E$12+1,1))-AVERAGE(OFFSET($H$3,0,0,'Données projet'!$E$12+1,1))</f>
        <v>225.2323446080772</v>
      </c>
      <c r="CE55" s="59">
        <f t="shared" si="40"/>
        <v>222.29030402759292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36.15642100509033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36.15642100509033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4.8</v>
      </c>
      <c r="CT55" s="12">
        <f>IF('Données projet'!$A$140&gt;35,CT54+CS55-DB54,IF(A55&lt;'Données projet'!$A$140,$CQ$205^A55,IF(A55='Données projet'!$A$140,'Données projet'!$B$140,CT54+CS55-DB54)))</f>
        <v>170.59999999999997</v>
      </c>
      <c r="CU55" s="17">
        <f>CT55*VLOOKUP('Données projet'!$B$13,Paramètres!$A$1:$I$89,3,0)*VLOOKUP('Données projet'!$B$13,Paramètres!$A$1:$I$89,5,0)</f>
        <v>165.00431999999998</v>
      </c>
      <c r="CV55" s="13">
        <f t="shared" si="41"/>
        <v>41.969222611359086</v>
      </c>
      <c r="CW55" s="20">
        <f t="shared" si="13"/>
        <v>360.478920048117</v>
      </c>
      <c r="CX55" s="59">
        <f t="shared" si="14"/>
        <v>653.81225338145032</v>
      </c>
      <c r="CY55" s="59">
        <f ca="1">AVERAGE(OFFSET($CX$3,0,0,'Données projet'!$E$13+1,1))-AVERAGE(OFFSET($H$3,0,0,'Données projet'!$E$13+1,1))</f>
        <v>212.32823943192528</v>
      </c>
      <c r="CZ55" s="59">
        <f t="shared" si="42"/>
        <v>209.60834138503003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27.456964510320596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27.456964510320596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8.1999999999999993</v>
      </c>
      <c r="DO55" s="12">
        <f>IF('Données projet'!$A$166&gt;35,DO54+DN55-DW54,IF(A55&lt;'Données projet'!$A$166,$DL$205^A55,IF(A55='Données projet'!$A$166,'Données projet'!$B$166,DO54+DN55-DW54)))</f>
        <v>239.39999999999998</v>
      </c>
      <c r="DP55" s="17">
        <f>DO55*VLOOKUP('Données projet'!$B$14,Paramètres!$A$1:$I$89,3,0)*VLOOKUP('Données projet'!$B$14,Paramètres!$A$1:$I$89,5,0)</f>
        <v>186.732</v>
      </c>
      <c r="DQ55" s="13">
        <f t="shared" si="43"/>
        <v>46.81671651923142</v>
      </c>
      <c r="DR55" s="20">
        <f t="shared" si="16"/>
        <v>406.764014604328</v>
      </c>
      <c r="DS55" s="59">
        <f t="shared" si="17"/>
        <v>700.09734793766131</v>
      </c>
      <c r="DT55" s="59">
        <f ca="1">AVERAGE(OFFSET($DS$3,0,0,'Données projet'!$E$14+1,1))-AVERAGE(OFFSET($H$3,0,0,'Données projet'!$E$14+1,1))</f>
        <v>215.84581110302656</v>
      </c>
      <c r="DU55" s="59">
        <f t="shared" si="44"/>
        <v>193.88588526156104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37.201766070102472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37.201766070102472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6">
        <f t="shared" si="1"/>
        <v>351.76923100223922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11.533333333333331</v>
      </c>
      <c r="N56" s="13">
        <f>IF('Données projet'!$A$36&gt;35,N55+M56-V55,IF(A56&lt;'Données projet'!$A$36,$K$205^A56,IF(A56='Données projet'!$A$36,'Données projet'!$B$36,N55+M56-V55)))</f>
        <v>362.4666666666667</v>
      </c>
      <c r="O56" s="13">
        <f>N56*VLOOKUP('Données projet'!$B$9,Paramètres!$A$1:$I$89,3,0)*VLOOKUP('Données projet'!$B$9,Paramètres!$A$1:$I$89,5,0)</f>
        <v>226.17920000000001</v>
      </c>
      <c r="P56" s="13">
        <f t="shared" si="33"/>
        <v>55.455731517393232</v>
      </c>
      <c r="Q56" s="20">
        <f t="shared" si="53"/>
        <v>490.51417239279317</v>
      </c>
      <c r="R56" s="59">
        <f t="shared" si="0"/>
        <v>783.84750572612643</v>
      </c>
      <c r="S56" s="59">
        <f ca="1">AVERAGE(OFFSET($R$3,0,0,'Données projet'!$E$9+1,1))-AVERAGE(OFFSET($H$3,0,0,'Données projet'!$E$9+1,1))</f>
        <v>269.77739619445515</v>
      </c>
      <c r="T56" s="59">
        <f t="shared" si="34"/>
        <v>347.56964743629885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64.205893992595378</v>
      </c>
      <c r="AA56" s="21">
        <f>EXP(-LN(2)/25)*AA55+(1-EXP(-LN(2)/25))/(LN(2)/25)*Calculateur!V56*Calculateur!X56*VLOOKUP('Données projet'!$B$9,Paramètres!$A$1:$I$89,3,0)*0.475*44/12</f>
        <v>48.486575991888913</v>
      </c>
      <c r="AB56" s="21">
        <f>EXP(-LN(2)/2)*AB55+(1-EXP(-LN(2)/2))/(LN(2)/2)*V56*Y56*VLOOKUP('Données projet'!$B$9,Paramètres!$A$1:$I$89,3,0)*0.475*44/12</f>
        <v>8.5758607954786843E-6</v>
      </c>
      <c r="AC56" s="22">
        <f t="shared" si="3"/>
        <v>112.69247856034508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23.4</v>
      </c>
      <c r="AI56" s="13">
        <f>IF('Données projet'!$A$62&gt;35,AI55+AH56-AQ55,IF(A56&lt;'Données projet'!$A$62,$AF$205^A56,IF(A56='Données projet'!$A$62,'Données projet'!$B$62,AI55+AH56-AQ55)))</f>
        <v>593.20000000000005</v>
      </c>
      <c r="AJ56" s="13">
        <f>AI56*VLOOKUP('Données projet'!$B$10,Paramètres!$A$1:$I$89,3,0)*VLOOKUP('Données projet'!$B$10,Paramètres!$A$1:$I$89,5,0)</f>
        <v>293.04080000000005</v>
      </c>
      <c r="AK56" s="13">
        <f t="shared" si="35"/>
        <v>69.715560975209158</v>
      </c>
      <c r="AL56" s="20">
        <f t="shared" si="4"/>
        <v>631.80066203182264</v>
      </c>
      <c r="AM56" s="59">
        <f t="shared" si="5"/>
        <v>925.1339953651559</v>
      </c>
      <c r="AN56" s="59">
        <f ca="1">AVERAGE(OFFSET($AM$3,0,0,'Données projet'!$E$10+1,1))-AVERAGE(OFFSET($H$3,0,0,'Données projet'!$E$10+1,1))</f>
        <v>396.27049617044378</v>
      </c>
      <c r="AO56" s="59">
        <f t="shared" si="36"/>
        <v>335.2680289568774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82.475469225136052</v>
      </c>
      <c r="AV56" s="21">
        <f>EXP(-LN(2)/25)*AV55+(1-EXP(-LN(2)/25))/(LN(2)/25)*Calculateur!AQ56*Calculateur!AS56*VLOOKUP('Données projet'!$B$10,Paramètres!$A$1:$I$89,3,0)*0.475*44/12</f>
        <v>24.844172323446895</v>
      </c>
      <c r="AW56" s="21">
        <f>EXP(-LN(2)/2)*AW55+(1-EXP(-LN(2)/2))/(LN(2)/2)*AQ56*AT56*VLOOKUP('Données projet'!$B$10,Paramètres!$A$1:$I$89,3,0)*0.475*44/12</f>
        <v>1.3276703009296634E-4</v>
      </c>
      <c r="AX56" s="21">
        <f t="shared" si="6"/>
        <v>107.31977431561305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11</v>
      </c>
      <c r="BD56" s="12">
        <f>IF('Données projet'!$A$88&gt;35,BD55+BC56-BL55,IF(A56&lt;'Données projet'!$A$88,$BA$205^A56,IF(A56='Données projet'!$A$88,'Données projet'!$B$88,BD55+BC56-BL55)))</f>
        <v>222.00000000000003</v>
      </c>
      <c r="BE56" s="13">
        <f>BD56*VLOOKUP('Données projet'!$B$11,Paramètres!$A$1:$I$89,3,0)*VLOOKUP('Données projet'!$B$11,Paramètres!$A$1:$I$89,5,0)</f>
        <v>190.47600000000006</v>
      </c>
      <c r="BF56" s="13">
        <f t="shared" si="37"/>
        <v>47.645174362968355</v>
      </c>
      <c r="BG56" s="20">
        <f t="shared" si="7"/>
        <v>414.7277120155033</v>
      </c>
      <c r="BH56" s="59">
        <f t="shared" si="8"/>
        <v>708.06104534883661</v>
      </c>
      <c r="BI56" s="59">
        <f ca="1">AVERAGE(OFFSET($BH$3,0,0,'Données projet'!$E$11+1,1))-AVERAGE(OFFSET($H$3,0,0,'Données projet'!$E$11+1,1))</f>
        <v>352.61091660077574</v>
      </c>
      <c r="BJ56" s="59">
        <f t="shared" si="38"/>
        <v>186.48649111821521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46.012630199286441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46.012630199286441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</v>
      </c>
      <c r="BY56" s="12">
        <f>IF('Données projet'!$A$114&gt;35,BY55+BX56-CG55,IF(A56&lt;'Données projet'!$A$114,$BV$205^A56,IF(A56='Données projet'!$A$114,'Données projet'!$B$114,BY55+BX56-CG55)))</f>
        <v>219.99999999999989</v>
      </c>
      <c r="BZ56" s="13">
        <f>BY56*VLOOKUP('Données projet'!$B$12,Paramètres!$A$1:$I$89,3,0)*VLOOKUP('Données projet'!$B$12,Paramètres!$A$1:$I$89,5,0)</f>
        <v>175.03199999999993</v>
      </c>
      <c r="CA56" s="13">
        <f t="shared" si="39"/>
        <v>44.215103743191008</v>
      </c>
      <c r="CB56" s="20">
        <f t="shared" si="10"/>
        <v>381.85537235272426</v>
      </c>
      <c r="CC56" s="59">
        <f t="shared" si="11"/>
        <v>675.18870568605757</v>
      </c>
      <c r="CD56" s="59">
        <f ca="1">AVERAGE(OFFSET($CC$3,0,0,'Données projet'!$E$12+1,1))-AVERAGE(OFFSET($H$3,0,0,'Données projet'!$E$12+1,1))</f>
        <v>225.2323446080772</v>
      </c>
      <c r="CE56" s="59">
        <f t="shared" si="40"/>
        <v>222.29030402759292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35.447415642419742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35.447415642419742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4.8</v>
      </c>
      <c r="CT56" s="12">
        <f>IF('Données projet'!$A$140&gt;35,CT55+CS56-DB55,IF(A56&lt;'Données projet'!$A$140,$CQ$205^A56,IF(A56='Données projet'!$A$140,'Données projet'!$B$140,CT55+CS56-DB55)))</f>
        <v>175.39999999999998</v>
      </c>
      <c r="CU56" s="17">
        <f>CT56*VLOOKUP('Données projet'!$B$13,Paramètres!$A$1:$I$89,3,0)*VLOOKUP('Données projet'!$B$13,Paramètres!$A$1:$I$89,5,0)</f>
        <v>169.64687999999998</v>
      </c>
      <c r="CV56" s="13">
        <f t="shared" si="41"/>
        <v>43.010926883703142</v>
      </c>
      <c r="CW56" s="20">
        <f t="shared" si="13"/>
        <v>370.37901365578296</v>
      </c>
      <c r="CX56" s="59">
        <f t="shared" si="14"/>
        <v>663.71234698911621</v>
      </c>
      <c r="CY56" s="59">
        <f ca="1">AVERAGE(OFFSET($CX$3,0,0,'Données projet'!$E$13+1,1))-AVERAGE(OFFSET($H$3,0,0,'Données projet'!$E$13+1,1))</f>
        <v>212.32823943192528</v>
      </c>
      <c r="CZ56" s="59">
        <f t="shared" si="42"/>
        <v>209.60834138503003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26.918550183367923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26.918550183367923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8.1999999999999993</v>
      </c>
      <c r="DO56" s="12">
        <f>IF('Données projet'!$A$166&gt;35,DO55+DN56-DW55,IF(A56&lt;'Données projet'!$A$166,$DL$205^A56,IF(A56='Données projet'!$A$166,'Données projet'!$B$166,DO55+DN56-DW55)))</f>
        <v>247.59999999999997</v>
      </c>
      <c r="DP56" s="17">
        <f>DO56*VLOOKUP('Données projet'!$B$14,Paramètres!$A$1:$I$89,3,0)*VLOOKUP('Données projet'!$B$14,Paramètres!$A$1:$I$89,5,0)</f>
        <v>193.12799999999999</v>
      </c>
      <c r="DQ56" s="13">
        <f t="shared" si="43"/>
        <v>48.230850644982517</v>
      </c>
      <c r="DR56" s="20">
        <f t="shared" si="16"/>
        <v>420.36666487334452</v>
      </c>
      <c r="DS56" s="59">
        <f t="shared" si="17"/>
        <v>713.69999820667783</v>
      </c>
      <c r="DT56" s="59">
        <f ca="1">AVERAGE(OFFSET($DS$3,0,0,'Données projet'!$E$14+1,1))-AVERAGE(OFFSET($H$3,0,0,'Données projet'!$E$14+1,1))</f>
        <v>215.84581110302656</v>
      </c>
      <c r="DU56" s="59">
        <f t="shared" si="44"/>
        <v>193.88588526156104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36.472262128304529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36.472262128304529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6">
        <f t="shared" si="1"/>
        <v>352.84071460821417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374</v>
      </c>
      <c r="L57" s="12">
        <f>VLOOKUP(A57,'Données projet'!$A$35:$I$55,9,0)</f>
        <v>11.533333333333331</v>
      </c>
      <c r="M57" s="12">
        <f t="array" ref="M57">INDEX(L:L,MIN(IF(ISNUMBER(L57:L253),ROW(L57:L253),"")))</f>
        <v>11.533333333333331</v>
      </c>
      <c r="N57" s="13">
        <f>IF('Données projet'!$A$36&gt;35,N56+M57-V56,IF(A57&lt;'Données projet'!$A$36,$K$205^A57,IF(A57='Données projet'!$A$36,'Données projet'!$B$36,N56+M57-V56)))</f>
        <v>374</v>
      </c>
      <c r="O57" s="13">
        <f>N57*VLOOKUP('Données projet'!$B$9,Paramètres!$A$1:$I$89,3,0)*VLOOKUP('Données projet'!$B$9,Paramètres!$A$1:$I$89,5,0)</f>
        <v>233.37599999999998</v>
      </c>
      <c r="P57" s="13">
        <f t="shared" si="33"/>
        <v>57.012031446990107</v>
      </c>
      <c r="Q57" s="20">
        <f t="shared" si="53"/>
        <v>505.75915477017446</v>
      </c>
      <c r="R57" s="59">
        <f t="shared" si="0"/>
        <v>799.09248810350778</v>
      </c>
      <c r="S57" s="59">
        <f ca="1">AVERAGE(OFFSET($R$3,0,0,'Données projet'!$E$9+1,1))-AVERAGE(OFFSET($H$3,0,0,'Données projet'!$E$9+1,1))</f>
        <v>269.77739619445515</v>
      </c>
      <c r="T57" s="59">
        <f t="shared" si="34"/>
        <v>347.56964743629885</v>
      </c>
      <c r="U57" s="15">
        <f>IF(ISNA(VLOOKUP(A57,'Données projet'!$A$35:$I$55,3,0)),0,VLOOKUP(A57,'Données projet'!$A$35:$I$55,3,0))</f>
        <v>8</v>
      </c>
      <c r="V57" s="15">
        <f>IF(ISNA(VLOOKUP(A57,'Données projet'!$A$35:$I$55,4,0)),0,VLOOKUP(A57,'Données projet'!$A$35:$I$55,4,0))</f>
        <v>46.9</v>
      </c>
      <c r="W57" s="16">
        <f>IF(ISNA(VLOOKUP(A57,'Données projet'!$A$35:$I$55,5,0)),0%,VLOOKUP(A57,'Données projet'!$A$35:$I$55,5,0)*VLOOKUP('Données projet'!$B$9,Paramètres!$A$1:$I$89,7,0))</f>
        <v>0.6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86.240478409395863</v>
      </c>
      <c r="AA57" s="21">
        <f>EXP(-LN(2)/25)*AA56+(1-EXP(-LN(2)/25))/(LN(2)/25)*Calculateur!V57*Calculateur!X57*VLOOKUP('Données projet'!$B$9,Paramètres!$A$1:$I$89,3,0)*0.475*44/12</f>
        <v>47.160708021592498</v>
      </c>
      <c r="AB57" s="21">
        <f>EXP(-LN(2)/2)*AB56+(1-EXP(-LN(2)/2))/(LN(2)/2)*V57*Y57*VLOOKUP('Données projet'!$B$9,Paramètres!$A$1:$I$89,3,0)*0.475*44/12</f>
        <v>6.0640493229948375E-6</v>
      </c>
      <c r="AC57" s="22">
        <f t="shared" si="3"/>
        <v>133.40119249503769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23.4</v>
      </c>
      <c r="AI57" s="13">
        <f>IF('Données projet'!$A$62&gt;35,AI56+AH57-AQ56,IF(A57&lt;'Données projet'!$A$62,$AF$205^A57,IF(A57='Données projet'!$A$62,'Données projet'!$B$62,AI56+AH57-AQ56)))</f>
        <v>616.6</v>
      </c>
      <c r="AJ57" s="13">
        <f>AI57*VLOOKUP('Données projet'!$B$10,Paramètres!$A$1:$I$89,3,0)*VLOOKUP('Données projet'!$B$10,Paramètres!$A$1:$I$89,5,0)</f>
        <v>304.60040000000004</v>
      </c>
      <c r="AK57" s="13">
        <f t="shared" si="35"/>
        <v>72.140028167549659</v>
      </c>
      <c r="AL57" s="20">
        <f t="shared" si="4"/>
        <v>656.15624572514901</v>
      </c>
      <c r="AM57" s="59">
        <f t="shared" si="5"/>
        <v>949.48957905848238</v>
      </c>
      <c r="AN57" s="59">
        <f ca="1">AVERAGE(OFFSET($AM$3,0,0,'Données projet'!$E$10+1,1))-AVERAGE(OFFSET($H$3,0,0,'Données projet'!$E$10+1,1))</f>
        <v>396.27049617044378</v>
      </c>
      <c r="AO57" s="59">
        <f t="shared" si="36"/>
        <v>335.2680289568774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80.858175578700155</v>
      </c>
      <c r="AV57" s="21">
        <f>EXP(-LN(2)/25)*AV56+(1-EXP(-LN(2)/25))/(LN(2)/25)*Calculateur!AQ57*Calculateur!AS57*VLOOKUP('Données projet'!$B$10,Paramètres!$A$1:$I$89,3,0)*0.475*44/12</f>
        <v>24.164807124764</v>
      </c>
      <c r="AW57" s="21">
        <f>EXP(-LN(2)/2)*AW56+(1-EXP(-LN(2)/2))/(LN(2)/2)*AQ57*AT57*VLOOKUP('Données projet'!$B$10,Paramètres!$A$1:$I$89,3,0)*0.475*44/12</f>
        <v>9.388046729673492E-5</v>
      </c>
      <c r="AX57" s="21">
        <f t="shared" si="6"/>
        <v>105.02307658393144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11</v>
      </c>
      <c r="BD57" s="12">
        <f>IF('Données projet'!$A$88&gt;35,BD56+BC57-BL56,IF(A57&lt;'Données projet'!$A$88,$BA$205^A57,IF(A57='Données projet'!$A$88,'Données projet'!$B$88,BD56+BC57-BL56)))</f>
        <v>233.00000000000003</v>
      </c>
      <c r="BE57" s="13">
        <f>BD57*VLOOKUP('Données projet'!$B$11,Paramètres!$A$1:$I$89,3,0)*VLOOKUP('Données projet'!$B$11,Paramètres!$A$1:$I$89,5,0)</f>
        <v>199.91400000000007</v>
      </c>
      <c r="BF57" s="13">
        <f t="shared" si="37"/>
        <v>49.725267055272241</v>
      </c>
      <c r="BG57" s="20">
        <f t="shared" si="7"/>
        <v>434.78839012126599</v>
      </c>
      <c r="BH57" s="59">
        <f t="shared" si="8"/>
        <v>728.12172345459931</v>
      </c>
      <c r="BI57" s="59">
        <f ca="1">AVERAGE(OFFSET($BH$3,0,0,'Données projet'!$E$11+1,1))-AVERAGE(OFFSET($H$3,0,0,'Données projet'!$E$11+1,1))</f>
        <v>352.61091660077574</v>
      </c>
      <c r="BJ57" s="59">
        <f t="shared" si="38"/>
        <v>186.48649111821521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45.110350586011677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45.110350586011677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</v>
      </c>
      <c r="BY57" s="12">
        <f>IF('Données projet'!$A$114&gt;35,BY56+BX57-CG56,IF(A57&lt;'Données projet'!$A$114,$BV$205^A57,IF(A57='Données projet'!$A$114,'Données projet'!$B$114,BY56+BX57-CG56)))</f>
        <v>225.99999999999989</v>
      </c>
      <c r="BZ57" s="13">
        <f>BY57*VLOOKUP('Données projet'!$B$12,Paramètres!$A$1:$I$89,3,0)*VLOOKUP('Données projet'!$B$12,Paramètres!$A$1:$I$89,5,0)</f>
        <v>179.80559999999991</v>
      </c>
      <c r="CA57" s="13">
        <f t="shared" si="39"/>
        <v>45.278933028529984</v>
      </c>
      <c r="CB57" s="20">
        <f t="shared" si="10"/>
        <v>392.02222835802286</v>
      </c>
      <c r="CC57" s="59">
        <f t="shared" si="11"/>
        <v>685.35556169135612</v>
      </c>
      <c r="CD57" s="59">
        <f ca="1">AVERAGE(OFFSET($CC$3,0,0,'Données projet'!$E$12+1,1))-AVERAGE(OFFSET($H$3,0,0,'Données projet'!$E$12+1,1))</f>
        <v>225.2323446080772</v>
      </c>
      <c r="CE57" s="59">
        <f t="shared" si="40"/>
        <v>222.29030402759292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34.752313442460554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34.752313442460554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4.8</v>
      </c>
      <c r="CT57" s="12">
        <f>IF('Données projet'!$A$140&gt;35,CT56+CS57-DB56,IF(A57&lt;'Données projet'!$A$140,$CQ$205^A57,IF(A57='Données projet'!$A$140,'Données projet'!$B$140,CT56+CS57-DB56)))</f>
        <v>180.2</v>
      </c>
      <c r="CU57" s="17">
        <f>CT57*VLOOKUP('Données projet'!$B$13,Paramètres!$A$1:$I$89,3,0)*VLOOKUP('Données projet'!$B$13,Paramètres!$A$1:$I$89,5,0)</f>
        <v>174.28943999999998</v>
      </c>
      <c r="CV57" s="13">
        <f t="shared" si="41"/>
        <v>44.049317748626251</v>
      </c>
      <c r="CW57" s="20">
        <f t="shared" si="13"/>
        <v>380.27333641219064</v>
      </c>
      <c r="CX57" s="59">
        <f t="shared" si="14"/>
        <v>673.60666974552396</v>
      </c>
      <c r="CY57" s="59">
        <f ca="1">AVERAGE(OFFSET($CX$3,0,0,'Données projet'!$E$13+1,1))-AVERAGE(OFFSET($H$3,0,0,'Données projet'!$E$13+1,1))</f>
        <v>212.32823943192528</v>
      </c>
      <c r="CZ57" s="59">
        <f t="shared" si="42"/>
        <v>209.60834138503003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26.39069383296648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26.39069383296648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8.1999999999999993</v>
      </c>
      <c r="DO57" s="12">
        <f>IF('Données projet'!$A$166&gt;35,DO56+DN57-DW56,IF(A57&lt;'Données projet'!$A$166,$DL$205^A57,IF(A57='Données projet'!$A$166,'Données projet'!$B$166,DO56+DN57-DW56)))</f>
        <v>255.79999999999995</v>
      </c>
      <c r="DP57" s="17">
        <f>DO57*VLOOKUP('Données projet'!$B$14,Paramètres!$A$1:$I$89,3,0)*VLOOKUP('Données projet'!$B$14,Paramètres!$A$1:$I$89,5,0)</f>
        <v>199.52399999999997</v>
      </c>
      <c r="DQ57" s="13">
        <f t="shared" si="43"/>
        <v>49.639542829407041</v>
      </c>
      <c r="DR57" s="20">
        <f t="shared" si="16"/>
        <v>433.95983709455049</v>
      </c>
      <c r="DS57" s="59">
        <f t="shared" si="17"/>
        <v>727.29317042788375</v>
      </c>
      <c r="DT57" s="59">
        <f ca="1">AVERAGE(OFFSET($DS$3,0,0,'Données projet'!$E$14+1,1))-AVERAGE(OFFSET($H$3,0,0,'Données projet'!$E$14+1,1))</f>
        <v>215.84581110302656</v>
      </c>
      <c r="DU57" s="59">
        <f t="shared" si="44"/>
        <v>193.88588526156104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35.757063313851774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35.757063313851774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6">
        <f t="shared" si="1"/>
        <v>353.91169488268253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12.316666666666663</v>
      </c>
      <c r="N58" s="13">
        <f>IF('Données projet'!$A$36&gt;35,N57+M58-V57,IF(A58&lt;'Données projet'!$A$36,$K$205^A58,IF(A58='Données projet'!$A$36,'Données projet'!$B$36,N57+M58-V57)))</f>
        <v>339.41666666666669</v>
      </c>
      <c r="O58" s="13">
        <f>N58*VLOOKUP('Données projet'!$B$9,Paramètres!$A$1:$I$89,3,0)*VLOOKUP('Données projet'!$B$9,Paramètres!$A$1:$I$89,5,0)</f>
        <v>211.79600000000002</v>
      </c>
      <c r="P58" s="13">
        <f t="shared" si="33"/>
        <v>52.327862151963842</v>
      </c>
      <c r="Q58" s="20">
        <f t="shared" si="53"/>
        <v>460.01572658133705</v>
      </c>
      <c r="R58" s="59">
        <f t="shared" si="0"/>
        <v>753.34905991467031</v>
      </c>
      <c r="S58" s="59">
        <f ca="1">AVERAGE(OFFSET($R$3,0,0,'Données projet'!$E$9+1,1))-AVERAGE(OFFSET($H$3,0,0,'Données projet'!$E$9+1,1))</f>
        <v>269.77739619445515</v>
      </c>
      <c r="T58" s="59">
        <f t="shared" si="34"/>
        <v>347.56964743629885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84.549355229285467</v>
      </c>
      <c r="AA58" s="21">
        <f>EXP(-LN(2)/25)*AA57+(1-EXP(-LN(2)/25))/(LN(2)/25)*Calculateur!V58*Calculateur!X58*VLOOKUP('Données projet'!$B$9,Paramètres!$A$1:$I$89,3,0)*0.475*44/12</f>
        <v>45.871095980668201</v>
      </c>
      <c r="AB58" s="21">
        <f>EXP(-LN(2)/2)*AB57+(1-EXP(-LN(2)/2))/(LN(2)/2)*V58*Y58*VLOOKUP('Données projet'!$B$9,Paramètres!$A$1:$I$89,3,0)*0.475*44/12</f>
        <v>4.2879303977393421E-6</v>
      </c>
      <c r="AC58" s="22">
        <f t="shared" si="3"/>
        <v>130.42045549788409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640</v>
      </c>
      <c r="AG58" s="12">
        <f>VLOOKUP(A58,'Données projet'!$A$61:$I$81,9,0)</f>
        <v>23.4</v>
      </c>
      <c r="AH58" s="12">
        <f t="array" ref="AH58">INDEX(AG:AG,MIN(IF(ISNUMBER(AG58:AG254),ROW(AG58:AG254),"")))</f>
        <v>23.4</v>
      </c>
      <c r="AI58" s="13">
        <f>IF('Données projet'!$A$62&gt;35,AI57+AH58-AQ57,IF(A58&lt;'Données projet'!$A$62,$AF$205^A58,IF(A58='Données projet'!$A$62,'Données projet'!$B$62,AI57+AH58-AQ57)))</f>
        <v>640</v>
      </c>
      <c r="AJ58" s="13">
        <f>AI58*VLOOKUP('Données projet'!$B$10,Paramètres!$A$1:$I$89,3,0)*VLOOKUP('Données projet'!$B$10,Paramètres!$A$1:$I$89,5,0)</f>
        <v>316.15999999999997</v>
      </c>
      <c r="AK58" s="13">
        <f t="shared" si="35"/>
        <v>74.553806463174055</v>
      </c>
      <c r="AL58" s="20">
        <f t="shared" si="4"/>
        <v>680.49321292336128</v>
      </c>
      <c r="AM58" s="59">
        <f t="shared" si="5"/>
        <v>973.82654625669466</v>
      </c>
      <c r="AN58" s="59">
        <f ca="1">AVERAGE(OFFSET($AM$3,0,0,'Données projet'!$E$10+1,1))-AVERAGE(OFFSET($H$3,0,0,'Données projet'!$E$10+1,1))</f>
        <v>396.27049617044378</v>
      </c>
      <c r="AO58" s="59">
        <f t="shared" si="36"/>
        <v>335.2680289568774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68</v>
      </c>
      <c r="AR58" s="16">
        <f>IF(ISNA(VLOOKUP(A58,'Données projet'!$A$61:$I$81,5,0)),0%,VLOOKUP(A58,'Données projet'!$A$61:$I$81,5,0)*VLOOKUP('Données projet'!$B$10,Paramètres!$A$1:$I$89,7,0))</f>
        <v>0.55000000000000004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103.7816703271379</v>
      </c>
      <c r="AV58" s="21">
        <f>EXP(-LN(2)/25)*AV57+(1-EXP(-LN(2)/25))/(LN(2)/25)*Calculateur!AQ58*Calculateur!AS58*VLOOKUP('Données projet'!$B$10,Paramètres!$A$1:$I$89,3,0)*0.475*44/12</f>
        <v>23.504019203165353</v>
      </c>
      <c r="AW58" s="21">
        <f>EXP(-LN(2)/2)*AW57+(1-EXP(-LN(2)/2))/(LN(2)/2)*AQ58*AT58*VLOOKUP('Données projet'!$B$10,Paramètres!$A$1:$I$89,3,0)*0.475*44/12</f>
        <v>6.6383515046483169E-5</v>
      </c>
      <c r="AX58" s="21">
        <f t="shared" si="6"/>
        <v>127.28575591381831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244</v>
      </c>
      <c r="BB58" s="12">
        <f>VLOOKUP(A58,'Données projet'!$A$87:$I$107,9,0)</f>
        <v>11</v>
      </c>
      <c r="BC58" s="12">
        <f t="array" ref="BC58">INDEX(BB:BB,MIN(IF(ISNUMBER(BB58:BB254),ROW(BB58:BB254),"")))</f>
        <v>11</v>
      </c>
      <c r="BD58" s="12">
        <f>IF('Données projet'!$A$88&gt;35,BD57+BC58-BL57,IF(A58&lt;'Données projet'!$A$88,$BA$205^A58,IF(A58='Données projet'!$A$88,'Données projet'!$B$88,BD57+BC58-BL57)))</f>
        <v>244.00000000000003</v>
      </c>
      <c r="BE58" s="13">
        <f>BD58*VLOOKUP('Données projet'!$B$11,Paramètres!$A$1:$I$89,3,0)*VLOOKUP('Données projet'!$B$11,Paramètres!$A$1:$I$89,5,0)</f>
        <v>209.35200000000003</v>
      </c>
      <c r="BF58" s="13">
        <f t="shared" si="37"/>
        <v>51.79395593509436</v>
      </c>
      <c r="BG58" s="20">
        <f t="shared" si="7"/>
        <v>454.82920658695599</v>
      </c>
      <c r="BH58" s="59">
        <f t="shared" si="8"/>
        <v>748.1625399202893</v>
      </c>
      <c r="BI58" s="59">
        <f ca="1">AVERAGE(OFFSET($BH$3,0,0,'Données projet'!$E$11+1,1))-AVERAGE(OFFSET($H$3,0,0,'Données projet'!$E$11+1,1))</f>
        <v>352.61091660077574</v>
      </c>
      <c r="BJ58" s="59">
        <f t="shared" si="38"/>
        <v>186.48649111821521</v>
      </c>
      <c r="BK58" s="15">
        <f>IF(ISNA(VLOOKUP(A58,'Données projet'!$A$87:$I$107,3,0)),0,VLOOKUP(A58,'Données projet'!$A$87:$I$107,3,0))</f>
        <v>7</v>
      </c>
      <c r="BL58" s="15">
        <f>IF(ISNA(VLOOKUP(A58,'Données projet'!$A$87:$I$107,4,0)),0,VLOOKUP(A58,'Données projet'!$A$87:$I$107,4,0))</f>
        <v>28</v>
      </c>
      <c r="BM58" s="16">
        <f>IF(ISNA(VLOOKUP(A58,'Données projet'!$A$87:$I$107,5,0)),0%,VLOOKUP(A58,'Données projet'!$A$87:$I$107,5,0)*VLOOKUP('Données projet'!$B$11,Paramètres!$A$1:$I$89,7,0))</f>
        <v>0.53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58.30140893650379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58.30140893650379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232</v>
      </c>
      <c r="BW58" s="12">
        <f>VLOOKUP(A58,'Données projet'!$A$113:$I$133,9,0)</f>
        <v>6</v>
      </c>
      <c r="BX58" s="12">
        <f t="array" ref="BX58">INDEX(BW:BW,MIN(IF(ISNUMBER(BW58:BW254),ROW(BW58:BW254),"")))</f>
        <v>6</v>
      </c>
      <c r="BY58" s="12">
        <f>IF('Données projet'!$A$114&gt;35,BY57+BX58-CG57,IF(A58&lt;'Données projet'!$A$114,$BV$205^A58,IF(A58='Données projet'!$A$114,'Données projet'!$B$114,BY57+BX58-CG57)))</f>
        <v>231.99999999999989</v>
      </c>
      <c r="BZ58" s="13">
        <f>BY58*VLOOKUP('Données projet'!$B$12,Paramètres!$A$1:$I$89,3,0)*VLOOKUP('Données projet'!$B$12,Paramètres!$A$1:$I$89,5,0)</f>
        <v>184.57919999999993</v>
      </c>
      <c r="CA58" s="13">
        <f t="shared" si="39"/>
        <v>46.339479465836618</v>
      </c>
      <c r="CB58" s="20">
        <f t="shared" si="10"/>
        <v>402.18336673633195</v>
      </c>
      <c r="CC58" s="59">
        <f t="shared" si="11"/>
        <v>695.51670006966526</v>
      </c>
      <c r="CD58" s="59">
        <f ca="1">AVERAGE(OFFSET($CC$3,0,0,'Données projet'!$E$12+1,1))-AVERAGE(OFFSET($H$3,0,0,'Données projet'!$E$12+1,1))</f>
        <v>225.2323446080772</v>
      </c>
      <c r="CE58" s="59">
        <f t="shared" si="40"/>
        <v>222.29030402759292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13</v>
      </c>
      <c r="CH58" s="16">
        <f>IF(ISNA(VLOOKUP(A58,'Données projet'!$A$113:$I$133,5,0)),0%,VLOOKUP(A58,'Données projet'!$A$113:$I$133,5,0)*VLOOKUP('Données projet'!$B$12,Paramètres!$A$1:$I$89,7,0))</f>
        <v>0.53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40.130681064631787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40.130681064631787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185</v>
      </c>
      <c r="CR58" s="12">
        <f>VLOOKUP(A58,'Données projet'!$A$139:$I$159,9,0)</f>
        <v>4.8</v>
      </c>
      <c r="CS58" s="12">
        <f t="array" ref="CS58">INDEX(CR:CR,MIN(IF(ISNUMBER(CR58:CR254),ROW(CR58:CR254),"")))</f>
        <v>4.8</v>
      </c>
      <c r="CT58" s="12">
        <f>IF('Données projet'!$A$140&gt;35,CT57+CS58-DB57,IF(A58&lt;'Données projet'!$A$140,$CQ$205^A58,IF(A58='Données projet'!$A$140,'Données projet'!$B$140,CT57+CS58-DB57)))</f>
        <v>185</v>
      </c>
      <c r="CU58" s="17">
        <f>CT58*VLOOKUP('Données projet'!$B$13,Paramètres!$A$1:$I$89,3,0)*VLOOKUP('Données projet'!$B$13,Paramètres!$A$1:$I$89,5,0)</f>
        <v>178.93200000000002</v>
      </c>
      <c r="CV58" s="13">
        <f t="shared" si="41"/>
        <v>45.084493609959594</v>
      </c>
      <c r="CW58" s="20">
        <f t="shared" si="13"/>
        <v>390.16205970401296</v>
      </c>
      <c r="CX58" s="59">
        <f t="shared" si="14"/>
        <v>683.49539303734628</v>
      </c>
      <c r="CY58" s="59">
        <f ca="1">AVERAGE(OFFSET($CX$3,0,0,'Données projet'!$E$13+1,1))-AVERAGE(OFFSET($H$3,0,0,'Données projet'!$E$13+1,1))</f>
        <v>212.32823943192528</v>
      </c>
      <c r="CZ58" s="59">
        <f t="shared" si="42"/>
        <v>209.60834138503003</v>
      </c>
      <c r="DA58" s="15">
        <f>IF(ISNA(VLOOKUP(A58,'Données projet'!$A$139:$I$159,3,0)),0,VLOOKUP(A58,'Données projet'!$A$139:$I$159,3,0))</f>
        <v>8</v>
      </c>
      <c r="DB58" s="15">
        <f>IF(ISNA(VLOOKUP(A58,'Données projet'!$A$139:$I$159,4,0)),0,VLOOKUP(A58,'Données projet'!$A$139:$I$159,4,0))</f>
        <v>11</v>
      </c>
      <c r="DC58" s="16">
        <f>IF(ISNA(VLOOKUP(A58,'Données projet'!$A$139:$I$159,5,0)),0%,VLOOKUP(A58,'Données projet'!$A$139:$I$159,5,0)*VLOOKUP('Données projet'!$B$13,Paramètres!$A$1:$I$89,7,0))</f>
        <v>0.43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30.930556222264418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30.930556222264418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264</v>
      </c>
      <c r="DM58" s="12">
        <f>VLOOKUP(A58,'Données projet'!$A$165:$I$185,9,0)</f>
        <v>8.1999999999999993</v>
      </c>
      <c r="DN58" s="12">
        <f t="array" ref="DN58">INDEX(DM:DM,MIN(IF(ISNUMBER(DM58:DM254),ROW(DM58:DM254),"")))</f>
        <v>8.1999999999999993</v>
      </c>
      <c r="DO58" s="12">
        <f>IF('Données projet'!$A$166&gt;35,DO57+DN58-DW57,IF(A58&lt;'Données projet'!$A$166,$DL$205^A58,IF(A58='Données projet'!$A$166,'Données projet'!$B$166,DO57+DN58-DW57)))</f>
        <v>263.99999999999994</v>
      </c>
      <c r="DP58" s="17">
        <f>DO58*VLOOKUP('Données projet'!$B$14,Paramètres!$A$1:$I$89,3,0)*VLOOKUP('Données projet'!$B$14,Paramètres!$A$1:$I$89,5,0)</f>
        <v>205.91999999999996</v>
      </c>
      <c r="DQ58" s="13">
        <f t="shared" si="43"/>
        <v>51.042987531485686</v>
      </c>
      <c r="DR58" s="20">
        <f t="shared" si="16"/>
        <v>447.5438699506708</v>
      </c>
      <c r="DS58" s="59">
        <f t="shared" si="17"/>
        <v>740.87720328400405</v>
      </c>
      <c r="DT58" s="59">
        <f ca="1">AVERAGE(OFFSET($DS$3,0,0,'Données projet'!$E$14+1,1))-AVERAGE(OFFSET($H$3,0,0,'Données projet'!$E$14+1,1))</f>
        <v>215.84581110302656</v>
      </c>
      <c r="DU58" s="59">
        <f t="shared" si="44"/>
        <v>193.88588526156104</v>
      </c>
      <c r="DV58" s="15">
        <f>IF(ISNA(VLOOKUP(A58,'Données projet'!$A$165:$I$185,3,0)),0,VLOOKUP(A58,'Données projet'!$A$165:$I$185,3,0))</f>
        <v>7</v>
      </c>
      <c r="DW58" s="15">
        <f>IF(ISNA(VLOOKUP(A58,'Données projet'!$A$165:$I$185,4,0)),0,VLOOKUP(A58,'Données projet'!$A$165:$I$185,4,0))</f>
        <v>30</v>
      </c>
      <c r="DX58" s="16">
        <f>IF(ISNA(VLOOKUP(A58,'Données projet'!$A$165:$I$185,5,0)),0%,VLOOKUP(A58,'Données projet'!$A$165:$I$185,5,0)*VLOOKUP('Données projet'!$B$14,Paramètres!$A$1:$I$89,7,0))</f>
        <v>0.43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46.179132070782778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46.179132070782778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6">
        <f t="shared" si="1"/>
        <v>354.98218203268914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12.316666666666663</v>
      </c>
      <c r="N59" s="13">
        <f>IF('Données projet'!$A$36&gt;35,N58+M59-V58,IF(A59&lt;'Données projet'!$A$36,$K$205^A59,IF(A59='Données projet'!$A$36,'Données projet'!$B$36,N58+M59-V58)))</f>
        <v>351.73333333333335</v>
      </c>
      <c r="O59" s="13">
        <f>N59*VLOOKUP('Données projet'!$B$9,Paramètres!$A$1:$I$89,3,0)*VLOOKUP('Données projet'!$B$9,Paramètres!$A$1:$I$89,5,0)</f>
        <v>219.48159999999999</v>
      </c>
      <c r="P59" s="13">
        <f t="shared" si="33"/>
        <v>54.002198576508427</v>
      </c>
      <c r="Q59" s="20">
        <f t="shared" si="53"/>
        <v>476.31761585408549</v>
      </c>
      <c r="R59" s="59">
        <f t="shared" si="0"/>
        <v>769.65094918741875</v>
      </c>
      <c r="S59" s="59">
        <f ca="1">AVERAGE(OFFSET($R$3,0,0,'Données projet'!$E$9+1,1))-AVERAGE(OFFSET($H$3,0,0,'Données projet'!$E$9+1,1))</f>
        <v>269.77739619445515</v>
      </c>
      <c r="T59" s="59">
        <f t="shared" si="34"/>
        <v>347.56964743629885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82.891393943253746</v>
      </c>
      <c r="AA59" s="21">
        <f>EXP(-LN(2)/25)*AA58+(1-EXP(-LN(2)/25))/(LN(2)/25)*Calculateur!V59*Calculateur!X59*VLOOKUP('Données projet'!$B$9,Paramètres!$A$1:$I$89,3,0)*0.475*44/12</f>
        <v>44.616748448820729</v>
      </c>
      <c r="AB59" s="21">
        <f>EXP(-LN(2)/2)*AB58+(1-EXP(-LN(2)/2))/(LN(2)/2)*V59*Y59*VLOOKUP('Données projet'!$B$9,Paramètres!$A$1:$I$89,3,0)*0.475*44/12</f>
        <v>3.0320246614974188E-6</v>
      </c>
      <c r="AC59" s="22">
        <f t="shared" si="3"/>
        <v>127.50814542409914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22.4</v>
      </c>
      <c r="AI59" s="13">
        <f>IF('Données projet'!$A$62&gt;35,AI58+AH59-AQ58,IF(A59&lt;'Données projet'!$A$62,$AF$205^A59,IF(A59='Données projet'!$A$62,'Données projet'!$B$62,AI58+AH59-AQ58)))</f>
        <v>594.4</v>
      </c>
      <c r="AJ59" s="13">
        <f>AI59*VLOOKUP('Données projet'!$B$10,Paramètres!$A$1:$I$89,3,0)*VLOOKUP('Données projet'!$B$10,Paramètres!$A$1:$I$89,5,0)</f>
        <v>293.6336</v>
      </c>
      <c r="AK59" s="13">
        <f t="shared" si="35"/>
        <v>69.840159942070457</v>
      </c>
      <c r="AL59" s="20">
        <f t="shared" si="4"/>
        <v>633.05013189910608</v>
      </c>
      <c r="AM59" s="59">
        <f t="shared" si="5"/>
        <v>926.38346523243945</v>
      </c>
      <c r="AN59" s="59">
        <f ca="1">AVERAGE(OFFSET($AM$3,0,0,'Données projet'!$E$10+1,1))-AVERAGE(OFFSET($H$3,0,0,'Données projet'!$E$10+1,1))</f>
        <v>396.27049617044378</v>
      </c>
      <c r="AO59" s="59">
        <f t="shared" si="36"/>
        <v>335.2680289568774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101.74657507259121</v>
      </c>
      <c r="AV59" s="21">
        <f>EXP(-LN(2)/25)*AV58+(1-EXP(-LN(2)/25))/(LN(2)/25)*Calculateur!AQ59*Calculateur!AS59*VLOOKUP('Données projet'!$B$10,Paramètres!$A$1:$I$89,3,0)*0.475*44/12</f>
        <v>22.861300562032145</v>
      </c>
      <c r="AW59" s="21">
        <f>EXP(-LN(2)/2)*AW58+(1-EXP(-LN(2)/2))/(LN(2)/2)*AQ59*AT59*VLOOKUP('Données projet'!$B$10,Paramètres!$A$1:$I$89,3,0)*0.475*44/12</f>
        <v>4.694023364836746E-5</v>
      </c>
      <c r="AX59" s="21">
        <f t="shared" si="6"/>
        <v>124.607922574857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10.8</v>
      </c>
      <c r="BD59" s="12">
        <f>IF('Données projet'!$A$88&gt;35,BD58+BC59-BL58,IF(A59&lt;'Données projet'!$A$88,$BA$205^A59,IF(A59='Données projet'!$A$88,'Données projet'!$B$88,BD58+BC59-BL58)))</f>
        <v>226.80000000000004</v>
      </c>
      <c r="BE59" s="13">
        <f>BD59*VLOOKUP('Données projet'!$B$11,Paramètres!$A$1:$I$89,3,0)*VLOOKUP('Données projet'!$B$11,Paramètres!$A$1:$I$89,5,0)</f>
        <v>194.59440000000006</v>
      </c>
      <c r="BF59" s="13">
        <f t="shared" si="37"/>
        <v>48.554292648263456</v>
      </c>
      <c r="BG59" s="20">
        <f t="shared" si="7"/>
        <v>423.48397302905897</v>
      </c>
      <c r="BH59" s="59">
        <f t="shared" si="8"/>
        <v>716.81730636239229</v>
      </c>
      <c r="BI59" s="59">
        <f ca="1">AVERAGE(OFFSET($BH$3,0,0,'Données projet'!$E$11+1,1))-AVERAGE(OFFSET($H$3,0,0,'Données projet'!$E$11+1,1))</f>
        <v>352.61091660077574</v>
      </c>
      <c r="BJ59" s="59">
        <f t="shared" si="38"/>
        <v>186.48649111821521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57.158153867607112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57.158153867607112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5.2</v>
      </c>
      <c r="BY59" s="12">
        <f>IF('Données projet'!$A$114&gt;35,BY58+BX59-CG58,IF(A59&lt;'Données projet'!$A$114,$BV$205^A59,IF(A59='Données projet'!$A$114,'Données projet'!$B$114,BY58+BX59-CG58)))</f>
        <v>224.19999999999987</v>
      </c>
      <c r="BZ59" s="13">
        <f>BY59*VLOOKUP('Données projet'!$B$12,Paramètres!$A$1:$I$89,3,0)*VLOOKUP('Données projet'!$B$12,Paramètres!$A$1:$I$89,5,0)</f>
        <v>178.37351999999993</v>
      </c>
      <c r="CA59" s="13">
        <f t="shared" si="39"/>
        <v>44.960133388294842</v>
      </c>
      <c r="CB59" s="20">
        <f t="shared" si="10"/>
        <v>388.97277965128006</v>
      </c>
      <c r="CC59" s="59">
        <f t="shared" si="11"/>
        <v>682.30611298461338</v>
      </c>
      <c r="CD59" s="59">
        <f ca="1">AVERAGE(OFFSET($CC$3,0,0,'Données projet'!$E$12+1,1))-AVERAGE(OFFSET($H$3,0,0,'Données projet'!$E$12+1,1))</f>
        <v>225.2323446080772</v>
      </c>
      <c r="CE59" s="59">
        <f t="shared" si="40"/>
        <v>222.29030402759292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39.343742886252876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39.343742886252876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4</v>
      </c>
      <c r="CT59" s="12">
        <f>IF('Données projet'!$A$140&gt;35,CT58+CS59-DB58,IF(A59&lt;'Données projet'!$A$140,$CQ$205^A59,IF(A59='Données projet'!$A$140,'Données projet'!$B$140,CT58+CS59-DB58)))</f>
        <v>178</v>
      </c>
      <c r="CU59" s="17">
        <f>CT59*VLOOKUP('Données projet'!$B$13,Paramètres!$A$1:$I$89,3,0)*VLOOKUP('Données projet'!$B$13,Paramètres!$A$1:$I$89,5,0)</f>
        <v>172.16159999999999</v>
      </c>
      <c r="CV59" s="13">
        <f t="shared" si="41"/>
        <v>43.57379349403616</v>
      </c>
      <c r="CW59" s="20">
        <f t="shared" si="13"/>
        <v>375.7391436687796</v>
      </c>
      <c r="CX59" s="59">
        <f t="shared" si="14"/>
        <v>669.07247700211292</v>
      </c>
      <c r="CY59" s="59">
        <f ca="1">AVERAGE(OFFSET($CX$3,0,0,'Données projet'!$E$13+1,1))-AVERAGE(OFFSET($H$3,0,0,'Données projet'!$E$13+1,1))</f>
        <v>212.32823943192528</v>
      </c>
      <c r="CZ59" s="59">
        <f t="shared" si="42"/>
        <v>209.60834138503003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30.324026880522268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30.324026880522268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7.4</v>
      </c>
      <c r="DO59" s="12">
        <f>IF('Données projet'!$A$166&gt;35,DO58+DN59-DW58,IF(A59&lt;'Données projet'!$A$166,$DL$205^A59,IF(A59='Données projet'!$A$166,'Données projet'!$B$166,DO58+DN59-DW58)))</f>
        <v>241.39999999999992</v>
      </c>
      <c r="DP59" s="17">
        <f>DO59*VLOOKUP('Données projet'!$B$14,Paramètres!$A$1:$I$89,3,0)*VLOOKUP('Données projet'!$B$14,Paramètres!$A$1:$I$89,5,0)</f>
        <v>188.29199999999994</v>
      </c>
      <c r="DQ59" s="13">
        <f t="shared" si="43"/>
        <v>47.162140074549235</v>
      </c>
      <c r="DR59" s="20">
        <f t="shared" si="16"/>
        <v>410.08262729650642</v>
      </c>
      <c r="DS59" s="59">
        <f t="shared" si="17"/>
        <v>703.41596062983967</v>
      </c>
      <c r="DT59" s="59">
        <f ca="1">AVERAGE(OFFSET($DS$3,0,0,'Données projet'!$E$14+1,1))-AVERAGE(OFFSET($H$3,0,0,'Données projet'!$E$14+1,1))</f>
        <v>215.84581110302656</v>
      </c>
      <c r="DU59" s="59">
        <f t="shared" si="44"/>
        <v>193.88588526156104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45.27358745736408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45.27358745736408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6">
        <f t="shared" si="1"/>
        <v>356.05218587986496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12.316666666666663</v>
      </c>
      <c r="N60" s="13">
        <f>IF('Données projet'!$A$36&gt;35,N59+M60-V59,IF(A60&lt;'Données projet'!$A$36,$K$205^A60,IF(A60='Données projet'!$A$36,'Données projet'!$B$36,N59+M60-V59)))</f>
        <v>364.05</v>
      </c>
      <c r="O60" s="13">
        <f>N60*VLOOKUP('Données projet'!$B$9,Paramètres!$A$1:$I$89,3,0)*VLOOKUP('Données projet'!$B$9,Paramètres!$A$1:$I$89,5,0)</f>
        <v>227.16720000000001</v>
      </c>
      <c r="P60" s="13">
        <f t="shared" si="33"/>
        <v>55.669722848822659</v>
      </c>
      <c r="Q60" s="20">
        <f t="shared" si="53"/>
        <v>492.60764062836614</v>
      </c>
      <c r="R60" s="59">
        <f t="shared" si="0"/>
        <v>785.94097396169946</v>
      </c>
      <c r="S60" s="59">
        <f ca="1">AVERAGE(OFFSET($R$3,0,0,'Données projet'!$E$9+1,1))-AVERAGE(OFFSET($H$3,0,0,'Données projet'!$E$9+1,1))</f>
        <v>269.77739619445515</v>
      </c>
      <c r="T60" s="59">
        <f t="shared" si="34"/>
        <v>347.56964743629885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81.265944266784587</v>
      </c>
      <c r="AA60" s="21">
        <f>EXP(-LN(2)/25)*AA59+(1-EXP(-LN(2)/25))/(LN(2)/25)*Calculateur!V60*Calculateur!X60*VLOOKUP('Données projet'!$B$9,Paramètres!$A$1:$I$89,3,0)*0.475*44/12</f>
        <v>43.396701116194897</v>
      </c>
      <c r="AB60" s="21">
        <f>EXP(-LN(2)/2)*AB59+(1-EXP(-LN(2)/2))/(LN(2)/2)*V60*Y60*VLOOKUP('Données projet'!$B$9,Paramètres!$A$1:$I$89,3,0)*0.475*44/12</f>
        <v>2.1439651988696711E-6</v>
      </c>
      <c r="AC60" s="22">
        <f t="shared" si="3"/>
        <v>124.6626475269447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22.4</v>
      </c>
      <c r="AI60" s="13">
        <f>IF('Données projet'!$A$62&gt;35,AI59+AH60-AQ59,IF(A60&lt;'Données projet'!$A$62,$AF$205^A60,IF(A60='Données projet'!$A$62,'Données projet'!$B$62,AI59+AH60-AQ59)))</f>
        <v>616.79999999999995</v>
      </c>
      <c r="AJ60" s="13">
        <f>AI60*VLOOKUP('Données projet'!$B$10,Paramètres!$A$1:$I$89,3,0)*VLOOKUP('Données projet'!$B$10,Paramètres!$A$1:$I$89,5,0)</f>
        <v>304.69920000000002</v>
      </c>
      <c r="AK60" s="13">
        <f t="shared" si="35"/>
        <v>72.160703394832638</v>
      </c>
      <c r="AL60" s="20">
        <f t="shared" si="4"/>
        <v>656.36433174600018</v>
      </c>
      <c r="AM60" s="59">
        <f t="shared" si="5"/>
        <v>949.69766507933355</v>
      </c>
      <c r="AN60" s="59">
        <f ca="1">AVERAGE(OFFSET($AM$3,0,0,'Données projet'!$E$10+1,1))-AVERAGE(OFFSET($H$3,0,0,'Données projet'!$E$10+1,1))</f>
        <v>396.27049617044378</v>
      </c>
      <c r="AO60" s="59">
        <f t="shared" si="36"/>
        <v>335.2680289568774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99.75138679470065</v>
      </c>
      <c r="AV60" s="21">
        <f>EXP(-LN(2)/25)*AV59+(1-EXP(-LN(2)/25))/(LN(2)/25)*Calculateur!AQ60*Calculateur!AS60*VLOOKUP('Données projet'!$B$10,Paramètres!$A$1:$I$89,3,0)*0.475*44/12</f>
        <v>22.236157095939831</v>
      </c>
      <c r="AW60" s="21">
        <f>EXP(-LN(2)/2)*AW59+(1-EXP(-LN(2)/2))/(LN(2)/2)*AQ60*AT60*VLOOKUP('Données projet'!$B$10,Paramètres!$A$1:$I$89,3,0)*0.475*44/12</f>
        <v>3.3191757523241585E-5</v>
      </c>
      <c r="AX60" s="21">
        <f t="shared" si="6"/>
        <v>121.987577082398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10.8</v>
      </c>
      <c r="BD60" s="12">
        <f>IF('Données projet'!$A$88&gt;35,BD59+BC60-BL59,IF(A60&lt;'Données projet'!$A$88,$BA$205^A60,IF(A60='Données projet'!$A$88,'Données projet'!$B$88,BD59+BC60-BL59)))</f>
        <v>237.60000000000005</v>
      </c>
      <c r="BE60" s="13">
        <f>BD60*VLOOKUP('Données projet'!$B$11,Paramètres!$A$1:$I$89,3,0)*VLOOKUP('Données projet'!$B$11,Paramètres!$A$1:$I$89,5,0)</f>
        <v>203.86080000000007</v>
      </c>
      <c r="BF60" s="13">
        <f t="shared" si="37"/>
        <v>50.591708220421786</v>
      </c>
      <c r="BG60" s="20">
        <f t="shared" si="7"/>
        <v>443.17145181723475</v>
      </c>
      <c r="BH60" s="59">
        <f t="shared" si="8"/>
        <v>736.50478515056807</v>
      </c>
      <c r="BI60" s="59">
        <f ca="1">AVERAGE(OFFSET($BH$3,0,0,'Données projet'!$E$11+1,1))-AVERAGE(OFFSET($H$3,0,0,'Données projet'!$E$11+1,1))</f>
        <v>352.61091660077574</v>
      </c>
      <c r="BJ60" s="59">
        <f t="shared" si="38"/>
        <v>186.48649111821521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56.037317333294759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56.037317333294759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5.2</v>
      </c>
      <c r="BY60" s="12">
        <f>IF('Données projet'!$A$114&gt;35,BY59+BX60-CG59,IF(A60&lt;'Données projet'!$A$114,$BV$205^A60,IF(A60='Données projet'!$A$114,'Données projet'!$B$114,BY59+BX60-CG59)))</f>
        <v>229.39999999999986</v>
      </c>
      <c r="BZ60" s="13">
        <f>BY60*VLOOKUP('Données projet'!$B$12,Paramètres!$A$1:$I$89,3,0)*VLOOKUP('Données projet'!$B$12,Paramètres!$A$1:$I$89,5,0)</f>
        <v>182.51063999999988</v>
      </c>
      <c r="CA60" s="13">
        <f t="shared" si="39"/>
        <v>45.880306213791371</v>
      </c>
      <c r="CB60" s="20">
        <f t="shared" si="10"/>
        <v>397.78089798901971</v>
      </c>
      <c r="CC60" s="59">
        <f t="shared" si="11"/>
        <v>691.11423132235302</v>
      </c>
      <c r="CD60" s="59">
        <f ca="1">AVERAGE(OFFSET($CC$3,0,0,'Données projet'!$E$12+1,1))-AVERAGE(OFFSET($H$3,0,0,'Données projet'!$E$12+1,1))</f>
        <v>225.2323446080772</v>
      </c>
      <c r="CE60" s="59">
        <f t="shared" si="40"/>
        <v>222.29030402759292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38.572236085567077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38.572236085567077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4</v>
      </c>
      <c r="CT60" s="12">
        <f>IF('Données projet'!$A$140&gt;35,CT59+CS60-DB59,IF(A60&lt;'Données projet'!$A$140,$CQ$205^A60,IF(A60='Données projet'!$A$140,'Données projet'!$B$140,CT59+CS60-DB59)))</f>
        <v>182</v>
      </c>
      <c r="CU60" s="17">
        <f>CT60*VLOOKUP('Données projet'!$B$13,Paramètres!$A$1:$I$89,3,0)*VLOOKUP('Données projet'!$B$13,Paramètres!$A$1:$I$89,5,0)</f>
        <v>176.03040000000001</v>
      </c>
      <c r="CV60" s="13">
        <f t="shared" si="41"/>
        <v>44.437880346232944</v>
      </c>
      <c r="CW60" s="20">
        <f t="shared" si="13"/>
        <v>383.98225493635573</v>
      </c>
      <c r="CX60" s="59">
        <f t="shared" si="14"/>
        <v>677.31558826968899</v>
      </c>
      <c r="CY60" s="59">
        <f ca="1">AVERAGE(OFFSET($CX$3,0,0,'Données projet'!$E$13+1,1))-AVERAGE(OFFSET($H$3,0,0,'Données projet'!$E$13+1,1))</f>
        <v>212.32823943192528</v>
      </c>
      <c r="CZ60" s="59">
        <f t="shared" si="42"/>
        <v>209.60834138503003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29.729391209225312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29.729391209225312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7.4</v>
      </c>
      <c r="DO60" s="12">
        <f>IF('Données projet'!$A$166&gt;35,DO59+DN60-DW59,IF(A60&lt;'Données projet'!$A$166,$DL$205^A60,IF(A60='Données projet'!$A$166,'Données projet'!$B$166,DO59+DN60-DW59)))</f>
        <v>248.79999999999993</v>
      </c>
      <c r="DP60" s="17">
        <f>DO60*VLOOKUP('Données projet'!$B$14,Paramètres!$A$1:$I$89,3,0)*VLOOKUP('Données projet'!$B$14,Paramètres!$A$1:$I$89,5,0)</f>
        <v>194.06399999999994</v>
      </c>
      <c r="DQ60" s="13">
        <f t="shared" si="43"/>
        <v>48.437335849011056</v>
      </c>
      <c r="DR60" s="20">
        <f t="shared" si="16"/>
        <v>422.35649327036077</v>
      </c>
      <c r="DS60" s="59">
        <f t="shared" si="17"/>
        <v>715.68982660369409</v>
      </c>
      <c r="DT60" s="59">
        <f ca="1">AVERAGE(OFFSET($DS$3,0,0,'Données projet'!$E$14+1,1))-AVERAGE(OFFSET($H$3,0,0,'Données projet'!$E$14+1,1))</f>
        <v>215.84581110302656</v>
      </c>
      <c r="DU60" s="59">
        <f t="shared" si="44"/>
        <v>193.88588526156104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44.385800021486844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44.385800021486844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6">
        <f t="shared" si="1"/>
        <v>357.12171588148163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12.316666666666663</v>
      </c>
      <c r="N61" s="13">
        <f>IF('Données projet'!$A$36&gt;35,N60+M61-V60,IF(A61&lt;'Données projet'!$A$36,$K$205^A61,IF(A61='Données projet'!$A$36,'Données projet'!$B$36,N60+M61-V60)))</f>
        <v>376.36666666666667</v>
      </c>
      <c r="O61" s="13">
        <f>N61*VLOOKUP('Données projet'!$B$9,Paramètres!$A$1:$I$89,3,0)*VLOOKUP('Données projet'!$B$9,Paramètres!$A$1:$I$89,5,0)</f>
        <v>234.8528</v>
      </c>
      <c r="P61" s="13">
        <f t="shared" si="33"/>
        <v>57.330691860456056</v>
      </c>
      <c r="Q61" s="20">
        <f t="shared" si="53"/>
        <v>508.88624832362757</v>
      </c>
      <c r="R61" s="59">
        <f t="shared" si="0"/>
        <v>802.21958165696083</v>
      </c>
      <c r="S61" s="59">
        <f ca="1">AVERAGE(OFFSET($R$3,0,0,'Données projet'!$E$9+1,1))-AVERAGE(OFFSET($H$3,0,0,'Données projet'!$E$9+1,1))</f>
        <v>269.77739619445515</v>
      </c>
      <c r="T61" s="59">
        <f t="shared" si="34"/>
        <v>347.56964743629885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79.67236866704458</v>
      </c>
      <c r="AA61" s="21">
        <f>EXP(-LN(2)/25)*AA60+(1-EXP(-LN(2)/25))/(LN(2)/25)*Calculateur!V61*Calculateur!X61*VLOOKUP('Données projet'!$B$9,Paramètres!$A$1:$I$89,3,0)*0.475*44/12</f>
        <v>42.210016042039221</v>
      </c>
      <c r="AB61" s="21">
        <f>EXP(-LN(2)/2)*AB60+(1-EXP(-LN(2)/2))/(LN(2)/2)*V61*Y61*VLOOKUP('Données projet'!$B$9,Paramètres!$A$1:$I$89,3,0)*0.475*44/12</f>
        <v>1.5160123307487094E-6</v>
      </c>
      <c r="AC61" s="22">
        <f t="shared" si="3"/>
        <v>121.88238622509613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22.4</v>
      </c>
      <c r="AI61" s="13">
        <f>IF('Données projet'!$A$62&gt;35,AI60+AH61-AQ60,IF(A61&lt;'Données projet'!$A$62,$AF$205^A61,IF(A61='Données projet'!$A$62,'Données projet'!$B$62,AI60+AH61-AQ60)))</f>
        <v>639.19999999999993</v>
      </c>
      <c r="AJ61" s="13">
        <f>AI61*VLOOKUP('Données projet'!$B$10,Paramètres!$A$1:$I$89,3,0)*VLOOKUP('Données projet'!$B$10,Paramètres!$A$1:$I$89,5,0)</f>
        <v>315.76479999999998</v>
      </c>
      <c r="AK61" s="13">
        <f t="shared" si="35"/>
        <v>74.471455790571582</v>
      </c>
      <c r="AL61" s="20">
        <f t="shared" si="4"/>
        <v>679.66147883524548</v>
      </c>
      <c r="AM61" s="59">
        <f t="shared" si="5"/>
        <v>972.99481216857885</v>
      </c>
      <c r="AN61" s="59">
        <f ca="1">AVERAGE(OFFSET($AM$3,0,0,'Données projet'!$E$10+1,1))-AVERAGE(OFFSET($H$3,0,0,'Données projet'!$E$10+1,1))</f>
        <v>396.27049617044378</v>
      </c>
      <c r="AO61" s="59">
        <f t="shared" si="36"/>
        <v>335.2680289568774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97.79532294199484</v>
      </c>
      <c r="AV61" s="21">
        <f>EXP(-LN(2)/25)*AV60+(1-EXP(-LN(2)/25))/(LN(2)/25)*Calculateur!AQ61*Calculateur!AS61*VLOOKUP('Données projet'!$B$10,Paramètres!$A$1:$I$89,3,0)*0.475*44/12</f>
        <v>21.628108210802676</v>
      </c>
      <c r="AW61" s="21">
        <f>EXP(-LN(2)/2)*AW60+(1-EXP(-LN(2)/2))/(LN(2)/2)*AQ61*AT61*VLOOKUP('Données projet'!$B$10,Paramètres!$A$1:$I$89,3,0)*0.475*44/12</f>
        <v>2.347011682418373E-5</v>
      </c>
      <c r="AX61" s="21">
        <f t="shared" si="6"/>
        <v>119.42345462291435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10.8</v>
      </c>
      <c r="BD61" s="12">
        <f>IF('Données projet'!$A$88&gt;35,BD60+BC61-BL60,IF(A61&lt;'Données projet'!$A$88,$BA$205^A61,IF(A61='Données projet'!$A$88,'Données projet'!$B$88,BD60+BC61-BL60)))</f>
        <v>248.40000000000006</v>
      </c>
      <c r="BE61" s="13">
        <f>BD61*VLOOKUP('Données projet'!$B$11,Paramètres!$A$1:$I$89,3,0)*VLOOKUP('Données projet'!$B$11,Paramètres!$A$1:$I$89,5,0)</f>
        <v>213.12720000000004</v>
      </c>
      <c r="BF61" s="13">
        <f t="shared" si="37"/>
        <v>52.618368568459893</v>
      </c>
      <c r="BG61" s="20">
        <f t="shared" si="7"/>
        <v>462.8401985900677</v>
      </c>
      <c r="BH61" s="59">
        <f t="shared" si="8"/>
        <v>756.17353192340101</v>
      </c>
      <c r="BI61" s="59">
        <f ca="1">AVERAGE(OFFSET($BH$3,0,0,'Données projet'!$E$11+1,1))-AVERAGE(OFFSET($H$3,0,0,'Données projet'!$E$11+1,1))</f>
        <v>352.61091660077574</v>
      </c>
      <c r="BJ61" s="59">
        <f t="shared" si="38"/>
        <v>186.48649111821521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54.938459719777491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54.938459719777491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5.2</v>
      </c>
      <c r="BY61" s="12">
        <f>IF('Données projet'!$A$114&gt;35,BY60+BX61-CG60,IF(A61&lt;'Données projet'!$A$114,$BV$205^A61,IF(A61='Données projet'!$A$114,'Données projet'!$B$114,BY60+BX61-CG60)))</f>
        <v>234.59999999999985</v>
      </c>
      <c r="BZ61" s="13">
        <f>BY61*VLOOKUP('Données projet'!$B$12,Paramètres!$A$1:$I$89,3,0)*VLOOKUP('Données projet'!$B$12,Paramètres!$A$1:$I$89,5,0)</f>
        <v>186.64775999999989</v>
      </c>
      <c r="CA61" s="13">
        <f t="shared" si="39"/>
        <v>46.79805411155214</v>
      </c>
      <c r="CB61" s="20">
        <f t="shared" si="10"/>
        <v>406.58479291095313</v>
      </c>
      <c r="CC61" s="59">
        <f t="shared" si="11"/>
        <v>699.91812624428644</v>
      </c>
      <c r="CD61" s="59">
        <f ca="1">AVERAGE(OFFSET($CC$3,0,0,'Données projet'!$E$12+1,1))-AVERAGE(OFFSET($H$3,0,0,'Données projet'!$E$12+1,1))</f>
        <v>225.2323446080772</v>
      </c>
      <c r="CE61" s="59">
        <f t="shared" si="40"/>
        <v>222.29030402759292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37.815858062670046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37.815858062670046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4</v>
      </c>
      <c r="CT61" s="12">
        <f>IF('Données projet'!$A$140&gt;35,CT60+CS61-DB60,IF(A61&lt;'Données projet'!$A$140,$CQ$205^A61,IF(A61='Données projet'!$A$140,'Données projet'!$B$140,CT60+CS61-DB60)))</f>
        <v>186</v>
      </c>
      <c r="CU61" s="17">
        <f>CT61*VLOOKUP('Données projet'!$B$13,Paramètres!$A$1:$I$89,3,0)*VLOOKUP('Données projet'!$B$13,Paramètres!$A$1:$I$89,5,0)</f>
        <v>179.89920000000001</v>
      </c>
      <c r="CV61" s="13">
        <f t="shared" si="41"/>
        <v>45.299759292628586</v>
      </c>
      <c r="CW61" s="20">
        <f t="shared" si="13"/>
        <v>392.22152076799483</v>
      </c>
      <c r="CX61" s="59">
        <f t="shared" si="14"/>
        <v>685.55485410132815</v>
      </c>
      <c r="CY61" s="59">
        <f ca="1">AVERAGE(OFFSET($CX$3,0,0,'Données projet'!$E$13+1,1))-AVERAGE(OFFSET($H$3,0,0,'Données projet'!$E$13+1,1))</f>
        <v>212.32823943192528</v>
      </c>
      <c r="CZ61" s="59">
        <f t="shared" si="42"/>
        <v>209.60834138503003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29.146415980750543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29.146415980750543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7.4</v>
      </c>
      <c r="DO61" s="12">
        <f>IF('Données projet'!$A$166&gt;35,DO60+DN61-DW60,IF(A61&lt;'Données projet'!$A$166,$DL$205^A61,IF(A61='Données projet'!$A$166,'Données projet'!$B$166,DO60+DN61-DW60)))</f>
        <v>256.19999999999993</v>
      </c>
      <c r="DP61" s="17">
        <f>DO61*VLOOKUP('Données projet'!$B$14,Paramètres!$A$1:$I$89,3,0)*VLOOKUP('Données projet'!$B$14,Paramètres!$A$1:$I$89,5,0)</f>
        <v>199.83599999999996</v>
      </c>
      <c r="DQ61" s="13">
        <f t="shared" si="43"/>
        <v>49.708123768564604</v>
      </c>
      <c r="DR61" s="20">
        <f t="shared" si="16"/>
        <v>434.62268223024995</v>
      </c>
      <c r="DS61" s="59">
        <f t="shared" si="17"/>
        <v>727.95601556358326</v>
      </c>
      <c r="DT61" s="59">
        <f ca="1">AVERAGE(OFFSET($DS$3,0,0,'Données projet'!$E$14+1,1))-AVERAGE(OFFSET($H$3,0,0,'Données projet'!$E$14+1,1))</f>
        <v>215.84581110302656</v>
      </c>
      <c r="DU61" s="59">
        <f t="shared" si="44"/>
        <v>193.88588526156104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43.515421555730299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43.515421555730299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6">
        <f t="shared" si="1"/>
        <v>358.19078115001309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12.316666666666663</v>
      </c>
      <c r="N62" s="13">
        <f>IF('Données projet'!$A$36&gt;35,N61+M62-V61,IF(A62&lt;'Données projet'!$A$36,$K$205^A62,IF(A62='Données projet'!$A$36,'Données projet'!$B$36,N61+M62-V61)))</f>
        <v>388.68333333333334</v>
      </c>
      <c r="O62" s="13">
        <f>N62*VLOOKUP('Données projet'!$B$9,Paramètres!$A$1:$I$89,3,0)*VLOOKUP('Données projet'!$B$9,Paramètres!$A$1:$I$89,5,0)</f>
        <v>242.5384</v>
      </c>
      <c r="P62" s="13">
        <f t="shared" si="33"/>
        <v>58.985344734966667</v>
      </c>
      <c r="Q62" s="20">
        <f t="shared" si="53"/>
        <v>525.15385541340027</v>
      </c>
      <c r="R62" s="59">
        <f t="shared" si="0"/>
        <v>818.48718874673364</v>
      </c>
      <c r="S62" s="59">
        <f ca="1">AVERAGE(OFFSET($R$3,0,0,'Données projet'!$E$9+1,1))-AVERAGE(OFFSET($H$3,0,0,'Données projet'!$E$9+1,1))</f>
        <v>269.77739619445515</v>
      </c>
      <c r="T62" s="59">
        <f t="shared" si="34"/>
        <v>347.56964743629885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78.110042112830328</v>
      </c>
      <c r="AA62" s="21">
        <f>EXP(-LN(2)/25)*AA61+(1-EXP(-LN(2)/25))/(LN(2)/25)*Calculateur!V62*Calculateur!X62*VLOOKUP('Données projet'!$B$9,Paramètres!$A$1:$I$89,3,0)*0.475*44/12</f>
        <v>41.055780933641387</v>
      </c>
      <c r="AB62" s="21">
        <f>EXP(-LN(2)/2)*AB61+(1-EXP(-LN(2)/2))/(LN(2)/2)*V62*Y62*VLOOKUP('Données projet'!$B$9,Paramètres!$A$1:$I$89,3,0)*0.475*44/12</f>
        <v>1.0719825994348355E-6</v>
      </c>
      <c r="AC62" s="22">
        <f t="shared" si="3"/>
        <v>119.16582411845431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22.4</v>
      </c>
      <c r="AI62" s="13">
        <f>IF('Données projet'!$A$62&gt;35,AI61+AH62-AQ61,IF(A62&lt;'Données projet'!$A$62,$AF$205^A62,IF(A62='Données projet'!$A$62,'Données projet'!$B$62,AI61+AH62-AQ61)))</f>
        <v>661.59999999999991</v>
      </c>
      <c r="AJ62" s="13">
        <f>AI62*VLOOKUP('Données projet'!$B$10,Paramètres!$A$1:$I$89,3,0)*VLOOKUP('Données projet'!$B$10,Paramètres!$A$1:$I$89,5,0)</f>
        <v>326.83039999999994</v>
      </c>
      <c r="AK62" s="13">
        <f t="shared" si="35"/>
        <v>76.772799562793949</v>
      </c>
      <c r="AL62" s="20">
        <f t="shared" si="4"/>
        <v>702.94223923853258</v>
      </c>
      <c r="AM62" s="59">
        <f t="shared" si="5"/>
        <v>996.27557257186595</v>
      </c>
      <c r="AN62" s="59">
        <f ca="1">AVERAGE(OFFSET($AM$3,0,0,'Données projet'!$E$10+1,1))-AVERAGE(OFFSET($H$3,0,0,'Données projet'!$E$10+1,1))</f>
        <v>396.27049617044378</v>
      </c>
      <c r="AO62" s="59">
        <f t="shared" si="36"/>
        <v>335.2680289568774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95.877616308359435</v>
      </c>
      <c r="AV62" s="21">
        <f>EXP(-LN(2)/25)*AV61+(1-EXP(-LN(2)/25))/(LN(2)/25)*Calculateur!AQ62*Calculateur!AS62*VLOOKUP('Données projet'!$B$10,Paramètres!$A$1:$I$89,3,0)*0.475*44/12</f>
        <v>21.036686454405498</v>
      </c>
      <c r="AW62" s="21">
        <f>EXP(-LN(2)/2)*AW61+(1-EXP(-LN(2)/2))/(LN(2)/2)*AQ62*AT62*VLOOKUP('Données projet'!$B$10,Paramètres!$A$1:$I$89,3,0)*0.475*44/12</f>
        <v>1.6595878761620792E-5</v>
      </c>
      <c r="AX62" s="21">
        <f t="shared" si="6"/>
        <v>116.9143193586437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10.8</v>
      </c>
      <c r="BD62" s="12">
        <f>IF('Données projet'!$A$88&gt;35,BD61+BC62-BL61,IF(A62&lt;'Données projet'!$A$88,$BA$205^A62,IF(A62='Données projet'!$A$88,'Données projet'!$B$88,BD61+BC62-BL61)))</f>
        <v>259.20000000000005</v>
      </c>
      <c r="BE62" s="13">
        <f>BD62*VLOOKUP('Données projet'!$B$11,Paramètres!$A$1:$I$89,3,0)*VLOOKUP('Données projet'!$B$11,Paramètres!$A$1:$I$89,5,0)</f>
        <v>222.39360000000005</v>
      </c>
      <c r="BF62" s="13">
        <f t="shared" si="37"/>
        <v>54.634794757949287</v>
      </c>
      <c r="BG62" s="20">
        <f t="shared" si="7"/>
        <v>482.49112087009513</v>
      </c>
      <c r="BH62" s="59">
        <f t="shared" si="8"/>
        <v>775.82445420342844</v>
      </c>
      <c r="BI62" s="59">
        <f ca="1">AVERAGE(OFFSET($BH$3,0,0,'Données projet'!$E$11+1,1))-AVERAGE(OFFSET($H$3,0,0,'Données projet'!$E$11+1,1))</f>
        <v>352.61091660077574</v>
      </c>
      <c r="BJ62" s="59">
        <f t="shared" si="38"/>
        <v>186.48649111821521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53.86115003382433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53.86115003382433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5.2</v>
      </c>
      <c r="BY62" s="12">
        <f>IF('Données projet'!$A$114&gt;35,BY61+BX62-CG61,IF(A62&lt;'Données projet'!$A$114,$BV$205^A62,IF(A62='Données projet'!$A$114,'Données projet'!$B$114,BY61+BX62-CG61)))</f>
        <v>239.79999999999984</v>
      </c>
      <c r="BZ62" s="13">
        <f>BY62*VLOOKUP('Données projet'!$B$12,Paramètres!$A$1:$I$89,3,0)*VLOOKUP('Données projet'!$B$12,Paramètres!$A$1:$I$89,5,0)</f>
        <v>190.78487999999987</v>
      </c>
      <c r="CA62" s="13">
        <f t="shared" si="39"/>
        <v>47.713437020051622</v>
      </c>
      <c r="CB62" s="20">
        <f t="shared" si="10"/>
        <v>415.384568809923</v>
      </c>
      <c r="CC62" s="59">
        <f t="shared" si="11"/>
        <v>708.71790214325631</v>
      </c>
      <c r="CD62" s="59">
        <f ca="1">AVERAGE(OFFSET($CC$3,0,0,'Données projet'!$E$12+1,1))-AVERAGE(OFFSET($H$3,0,0,'Données projet'!$E$12+1,1))</f>
        <v>225.2323446080772</v>
      </c>
      <c r="CE62" s="59">
        <f t="shared" si="40"/>
        <v>222.29030402759292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37.074312151456986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37.074312151456986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4</v>
      </c>
      <c r="CT62" s="12">
        <f>IF('Données projet'!$A$140&gt;35,CT61+CS62-DB61,IF(A62&lt;'Données projet'!$A$140,$CQ$205^A62,IF(A62='Données projet'!$A$140,'Données projet'!$B$140,CT61+CS62-DB61)))</f>
        <v>190</v>
      </c>
      <c r="CU62" s="17">
        <f>CT62*VLOOKUP('Données projet'!$B$13,Paramètres!$A$1:$I$89,3,0)*VLOOKUP('Données projet'!$B$13,Paramètres!$A$1:$I$89,5,0)</f>
        <v>183.768</v>
      </c>
      <c r="CV62" s="13">
        <f t="shared" si="41"/>
        <v>46.159483283907285</v>
      </c>
      <c r="CW62" s="20">
        <f t="shared" si="13"/>
        <v>400.45703338613856</v>
      </c>
      <c r="CX62" s="59">
        <f t="shared" si="14"/>
        <v>693.79036671947188</v>
      </c>
      <c r="CY62" s="59">
        <f ca="1">AVERAGE(OFFSET($CX$3,0,0,'Données projet'!$E$13+1,1))-AVERAGE(OFFSET($H$3,0,0,'Données projet'!$E$13+1,1))</f>
        <v>212.32823943192528</v>
      </c>
      <c r="CZ62" s="59">
        <f t="shared" si="42"/>
        <v>209.60834138503003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28.574872540926386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28.574872540926386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7.4</v>
      </c>
      <c r="DO62" s="12">
        <f>IF('Données projet'!$A$166&gt;35,DO61+DN62-DW61,IF(A62&lt;'Données projet'!$A$166,$DL$205^A62,IF(A62='Données projet'!$A$166,'Données projet'!$B$166,DO61+DN62-DW61)))</f>
        <v>263.59999999999991</v>
      </c>
      <c r="DP62" s="17">
        <f>DO62*VLOOKUP('Données projet'!$B$14,Paramètres!$A$1:$I$89,3,0)*VLOOKUP('Données projet'!$B$14,Paramètres!$A$1:$I$89,5,0)</f>
        <v>205.60799999999995</v>
      </c>
      <c r="DQ62" s="13">
        <f t="shared" si="43"/>
        <v>50.97464576911181</v>
      </c>
      <c r="DR62" s="20">
        <f t="shared" si="16"/>
        <v>446.88144138120293</v>
      </c>
      <c r="DS62" s="59">
        <f t="shared" si="17"/>
        <v>740.21477471453625</v>
      </c>
      <c r="DT62" s="59">
        <f ca="1">AVERAGE(OFFSET($DS$3,0,0,'Données projet'!$E$14+1,1))-AVERAGE(OFFSET($H$3,0,0,'Données projet'!$E$14+1,1))</f>
        <v>215.84581110302656</v>
      </c>
      <c r="DU62" s="59">
        <f t="shared" si="44"/>
        <v>193.88588526156104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42.662110680808794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42.662110680808794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6">
        <f t="shared" si="1"/>
        <v>359.25939047133363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401</v>
      </c>
      <c r="L63" s="12">
        <f>VLOOKUP(A63,'Données projet'!$A$35:$I$55,9,0)</f>
        <v>12.316666666666663</v>
      </c>
      <c r="M63" s="12">
        <f t="array" ref="M63">INDEX(L:L,MIN(IF(ISNUMBER(L63:L259),ROW(L63:L259),"")))</f>
        <v>12.316666666666663</v>
      </c>
      <c r="N63" s="13">
        <f>IF('Données projet'!$A$36&gt;35,N62+M63-V62,IF(A63&lt;'Données projet'!$A$36,$K$205^A63,IF(A63='Données projet'!$A$36,'Données projet'!$B$36,N62+M63-V62)))</f>
        <v>401</v>
      </c>
      <c r="O63" s="13">
        <f>N63*VLOOKUP('Données projet'!$B$9,Paramètres!$A$1:$I$89,3,0)*VLOOKUP('Données projet'!$B$9,Paramètres!$A$1:$I$89,5,0)</f>
        <v>250.22399999999999</v>
      </c>
      <c r="P63" s="13">
        <f t="shared" si="33"/>
        <v>60.633904580527918</v>
      </c>
      <c r="Q63" s="20">
        <f t="shared" si="53"/>
        <v>541.41085047775289</v>
      </c>
      <c r="R63" s="59">
        <f t="shared" si="0"/>
        <v>834.74418381108626</v>
      </c>
      <c r="S63" s="59">
        <f ca="1">AVERAGE(OFFSET($R$3,0,0,'Données projet'!$E$9+1,1))-AVERAGE(OFFSET($H$3,0,0,'Données projet'!$E$9+1,1))</f>
        <v>269.77739619445515</v>
      </c>
      <c r="T63" s="59">
        <f t="shared" si="34"/>
        <v>347.56964743629885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76.57835182941912</v>
      </c>
      <c r="AA63" s="21">
        <f>EXP(-LN(2)/25)*AA62+(1-EXP(-LN(2)/25))/(LN(2)/25)*Calculateur!V63*Calculateur!X63*VLOOKUP('Données projet'!$B$9,Paramètres!$A$1:$I$89,3,0)*0.475*44/12</f>
        <v>39.933108444981279</v>
      </c>
      <c r="AB63" s="21">
        <f>EXP(-LN(2)/2)*AB62+(1-EXP(-LN(2)/2))/(LN(2)/2)*V63*Y63*VLOOKUP('Données projet'!$B$9,Paramètres!$A$1:$I$89,3,0)*0.475*44/12</f>
        <v>7.5800616537435469E-7</v>
      </c>
      <c r="AC63" s="22">
        <f t="shared" si="3"/>
        <v>116.51146103240657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684</v>
      </c>
      <c r="AG63" s="12">
        <f>VLOOKUP(A63,'Données projet'!$A$61:$I$81,9,0)</f>
        <v>22.4</v>
      </c>
      <c r="AH63" s="12">
        <f t="array" ref="AH63">INDEX(AG:AG,MIN(IF(ISNUMBER(AG63:AG259),ROW(AG63:AG259),"")))</f>
        <v>22.4</v>
      </c>
      <c r="AI63" s="13">
        <f>IF('Données projet'!$A$62&gt;35,AI62+AH63-AQ62,IF(A63&lt;'Données projet'!$A$62,$AF$205^A63,IF(A63='Données projet'!$A$62,'Données projet'!$B$62,AI62+AH63-AQ62)))</f>
        <v>683.99999999999989</v>
      </c>
      <c r="AJ63" s="13">
        <f>AI63*VLOOKUP('Données projet'!$B$10,Paramètres!$A$1:$I$89,3,0)*VLOOKUP('Données projet'!$B$10,Paramètres!$A$1:$I$89,5,0)</f>
        <v>337.89599999999996</v>
      </c>
      <c r="AK63" s="13">
        <f t="shared" si="35"/>
        <v>79.065089779515802</v>
      </c>
      <c r="AL63" s="20">
        <f t="shared" si="4"/>
        <v>726.20723136598997</v>
      </c>
      <c r="AM63" s="59">
        <f t="shared" si="5"/>
        <v>1019.5405646993233</v>
      </c>
      <c r="AN63" s="59">
        <f ca="1">AVERAGE(OFFSET($AM$3,0,0,'Données projet'!$E$10+1,1))-AVERAGE(OFFSET($H$3,0,0,'Données projet'!$E$10+1,1))</f>
        <v>396.27049617044378</v>
      </c>
      <c r="AO63" s="59">
        <f t="shared" si="36"/>
        <v>335.2680289568774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60</v>
      </c>
      <c r="AR63" s="16">
        <f>IF(ISNA(VLOOKUP(A63,'Données projet'!$A$61:$I$81,5,0)),0%,VLOOKUP(A63,'Données projet'!$A$61:$I$81,5,0)*VLOOKUP('Données projet'!$B$10,Paramètres!$A$1:$I$89,7,0))</f>
        <v>0.55000000000000004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115.62316848469946</v>
      </c>
      <c r="AV63" s="21">
        <f>EXP(-LN(2)/25)*AV62+(1-EXP(-LN(2)/25))/(LN(2)/25)*Calculateur!AQ63*Calculateur!AS63*VLOOKUP('Données projet'!$B$10,Paramètres!$A$1:$I$89,3,0)*0.475*44/12</f>
        <v>20.461437157038517</v>
      </c>
      <c r="AW63" s="21">
        <f>EXP(-LN(2)/2)*AW62+(1-EXP(-LN(2)/2))/(LN(2)/2)*AQ63*AT63*VLOOKUP('Données projet'!$B$10,Paramètres!$A$1:$I$89,3,0)*0.475*44/12</f>
        <v>1.1735058412091865E-5</v>
      </c>
      <c r="AX63" s="21">
        <f t="shared" si="6"/>
        <v>136.08461737679642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270</v>
      </c>
      <c r="BB63" s="12">
        <f>VLOOKUP(A63,'Données projet'!$A$87:$I$107,9,0)</f>
        <v>10.8</v>
      </c>
      <c r="BC63" s="12">
        <f t="array" ref="BC63">INDEX(BB:BB,MIN(IF(ISNUMBER(BB63:BB259),ROW(BB63:BB259),"")))</f>
        <v>10.8</v>
      </c>
      <c r="BD63" s="12">
        <f>IF('Données projet'!$A$88&gt;35,BD62+BC63-BL62,IF(A63&lt;'Données projet'!$A$88,$BA$205^A63,IF(A63='Données projet'!$A$88,'Données projet'!$B$88,BD62+BC63-BL62)))</f>
        <v>270.00000000000006</v>
      </c>
      <c r="BE63" s="13">
        <f>BD63*VLOOKUP('Données projet'!$B$11,Paramètres!$A$1:$I$89,3,0)*VLOOKUP('Données projet'!$B$11,Paramètres!$A$1:$I$89,5,0)</f>
        <v>231.66000000000011</v>
      </c>
      <c r="BF63" s="13">
        <f t="shared" si="37"/>
        <v>56.641461975682823</v>
      </c>
      <c r="BG63" s="20">
        <f t="shared" si="7"/>
        <v>502.1250462743144</v>
      </c>
      <c r="BH63" s="59">
        <f t="shared" si="8"/>
        <v>795.45837960764766</v>
      </c>
      <c r="BI63" s="59">
        <f ca="1">AVERAGE(OFFSET($BH$3,0,0,'Données projet'!$E$11+1,1))-AVERAGE(OFFSET($H$3,0,0,'Données projet'!$E$11+1,1))</f>
        <v>352.61091660077574</v>
      </c>
      <c r="BJ63" s="59">
        <f t="shared" si="38"/>
        <v>186.48649111821521</v>
      </c>
      <c r="BK63" s="15">
        <f>IF(ISNA(VLOOKUP(A63,'Données projet'!$A$87:$I$107,3,0)),0,VLOOKUP(A63,'Données projet'!$A$87:$I$107,3,0))</f>
        <v>8</v>
      </c>
      <c r="BL63" s="15">
        <f>IF(ISNA(VLOOKUP(A63,'Données projet'!$A$87:$I$107,4,0)),0,VLOOKUP(A63,'Données projet'!$A$87:$I$107,4,0))</f>
        <v>28</v>
      </c>
      <c r="BM63" s="16">
        <f>IF(ISNA(VLOOKUP(A63,'Données projet'!$A$87:$I$107,5,0)),0%,VLOOKUP(A63,'Données projet'!$A$87:$I$107,5,0)*VLOOKUP('Données projet'!$B$11,Paramètres!$A$1:$I$89,7,0))</f>
        <v>0.53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66.880610544605474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66.880610544605474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245</v>
      </c>
      <c r="BW63" s="12">
        <f>VLOOKUP(A63,'Données projet'!$A$113:$I$133,9,0)</f>
        <v>5.2</v>
      </c>
      <c r="BX63" s="12">
        <f t="array" ref="BX63">INDEX(BW:BW,MIN(IF(ISNUMBER(BW63:BW259),ROW(BW63:BW259),"")))</f>
        <v>5.2</v>
      </c>
      <c r="BY63" s="12">
        <f>IF('Données projet'!$A$114&gt;35,BY62+BX63-CG62,IF(A63&lt;'Données projet'!$A$114,$BV$205^A63,IF(A63='Données projet'!$A$114,'Données projet'!$B$114,BY62+BX63-CG62)))</f>
        <v>244.99999999999983</v>
      </c>
      <c r="BZ63" s="13">
        <f>BY63*VLOOKUP('Données projet'!$B$12,Paramètres!$A$1:$I$89,3,0)*VLOOKUP('Données projet'!$B$12,Paramètres!$A$1:$I$89,5,0)</f>
        <v>194.92199999999988</v>
      </c>
      <c r="CA63" s="13">
        <f t="shared" si="39"/>
        <v>48.626512129794925</v>
      </c>
      <c r="CB63" s="20">
        <f t="shared" si="10"/>
        <v>424.18032529272591</v>
      </c>
      <c r="CC63" s="59">
        <f t="shared" si="11"/>
        <v>717.51365862605917</v>
      </c>
      <c r="CD63" s="59">
        <f ca="1">AVERAGE(OFFSET($CC$3,0,0,'Données projet'!$E$12+1,1))-AVERAGE(OFFSET($H$3,0,0,'Données projet'!$E$12+1,1))</f>
        <v>225.2323446080772</v>
      </c>
      <c r="CE63" s="59">
        <f t="shared" si="40"/>
        <v>222.29030402759292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12</v>
      </c>
      <c r="CH63" s="16">
        <f>IF(ISNA(VLOOKUP(A63,'Données projet'!$A$113:$I$133,5,0)),0%,VLOOKUP(A63,'Données projet'!$A$113:$I$133,5,0)*VLOOKUP('Données projet'!$B$12,Paramètres!$A$1:$I$89,7,0))</f>
        <v>0.53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41.941005311227265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41.941005311227265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194</v>
      </c>
      <c r="CR63" s="12">
        <f>VLOOKUP(A63,'Données projet'!$A$139:$I$159,9,0)</f>
        <v>4</v>
      </c>
      <c r="CS63" s="12">
        <f t="array" ref="CS63">INDEX(CR:CR,MIN(IF(ISNUMBER(CR63:CR259),ROW(CR63:CR259),"")))</f>
        <v>4</v>
      </c>
      <c r="CT63" s="12">
        <f>IF('Données projet'!$A$140&gt;35,CT62+CS63-DB62,IF(A63&lt;'Données projet'!$A$140,$CQ$205^A63,IF(A63='Données projet'!$A$140,'Données projet'!$B$140,CT62+CS63-DB62)))</f>
        <v>194</v>
      </c>
      <c r="CU63" s="17">
        <f>CT63*VLOOKUP('Données projet'!$B$13,Paramètres!$A$1:$I$89,3,0)*VLOOKUP('Données projet'!$B$13,Paramètres!$A$1:$I$89,5,0)</f>
        <v>187.63680000000002</v>
      </c>
      <c r="CV63" s="13">
        <f t="shared" si="41"/>
        <v>47.01710291385907</v>
      </c>
      <c r="CW63" s="20">
        <f t="shared" si="13"/>
        <v>408.68888090830461</v>
      </c>
      <c r="CX63" s="59">
        <f t="shared" si="14"/>
        <v>702.02221424163793</v>
      </c>
      <c r="CY63" s="59">
        <f ca="1">AVERAGE(OFFSET($CX$3,0,0,'Données projet'!$E$13+1,1))-AVERAGE(OFFSET($H$3,0,0,'Données projet'!$E$13+1,1))</f>
        <v>212.32823943192528</v>
      </c>
      <c r="CZ63" s="59">
        <f t="shared" si="42"/>
        <v>209.60834138503003</v>
      </c>
      <c r="DA63" s="15">
        <f>IF(ISNA(VLOOKUP(A63,'Données projet'!$A$139:$I$159,3,0)),0,VLOOKUP(A63,'Données projet'!$A$139:$I$159,3,0))</f>
        <v>9</v>
      </c>
      <c r="DB63" s="15">
        <f>IF(ISNA(VLOOKUP(A63,'Données projet'!$A$139:$I$159,4,0)),0,VLOOKUP(A63,'Données projet'!$A$139:$I$159,4,0))</f>
        <v>9</v>
      </c>
      <c r="DC63" s="16">
        <f>IF(ISNA(VLOOKUP(A63,'Données projet'!$A$139:$I$159,5,0)),0%,VLOOKUP(A63,'Données projet'!$A$139:$I$159,5,0)*VLOOKUP('Données projet'!$B$13,Paramètres!$A$1:$I$89,7,0))</f>
        <v>0.43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32.152383100046229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32.152383100046229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271</v>
      </c>
      <c r="DM63" s="12">
        <f>VLOOKUP(A63,'Données projet'!$A$165:$I$185,9,0)</f>
        <v>7.4</v>
      </c>
      <c r="DN63" s="12">
        <f t="array" ref="DN63">INDEX(DM:DM,MIN(IF(ISNUMBER(DM63:DM259),ROW(DM63:DM259),"")))</f>
        <v>7.4</v>
      </c>
      <c r="DO63" s="12">
        <f>IF('Données projet'!$A$166&gt;35,DO62+DN63-DW62,IF(A63&lt;'Données projet'!$A$166,$DL$205^A63,IF(A63='Données projet'!$A$166,'Données projet'!$B$166,DO62+DN63-DW62)))</f>
        <v>270.99999999999989</v>
      </c>
      <c r="DP63" s="17">
        <f>DO63*VLOOKUP('Données projet'!$B$14,Paramètres!$A$1:$I$89,3,0)*VLOOKUP('Données projet'!$B$14,Paramètres!$A$1:$I$89,5,0)</f>
        <v>211.37999999999991</v>
      </c>
      <c r="DQ63" s="13">
        <f t="shared" si="43"/>
        <v>52.237035364084207</v>
      </c>
      <c r="DR63" s="20">
        <f t="shared" si="16"/>
        <v>459.1330032591132</v>
      </c>
      <c r="DS63" s="59">
        <f t="shared" si="17"/>
        <v>752.46633659244651</v>
      </c>
      <c r="DT63" s="59">
        <f ca="1">AVERAGE(OFFSET($DS$3,0,0,'Données projet'!$E$14+1,1))-AVERAGE(OFFSET($H$3,0,0,'Données projet'!$E$14+1,1))</f>
        <v>215.84581110302656</v>
      </c>
      <c r="DU63" s="59">
        <f t="shared" si="44"/>
        <v>193.88588526156104</v>
      </c>
      <c r="DV63" s="15">
        <f>IF(ISNA(VLOOKUP(A63,'Données projet'!$A$165:$I$185,3,0)),0,VLOOKUP(A63,'Données projet'!$A$165:$I$185,3,0))</f>
        <v>8</v>
      </c>
      <c r="DW63" s="15">
        <f>IF(ISNA(VLOOKUP(A63,'Données projet'!$A$165:$I$185,4,0)),0,VLOOKUP(A63,'Données projet'!$A$165:$I$185,4,0))</f>
        <v>27</v>
      </c>
      <c r="DX63" s="16">
        <f>IF(ISNA(VLOOKUP(A63,'Données projet'!$A$165:$I$185,5,0)),0%,VLOOKUP(A63,'Données projet'!$A$165:$I$185,5,0)*VLOOKUP('Données projet'!$B$14,Paramètres!$A$1:$I$89,7,0))</f>
        <v>0.43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51.83645137465075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51.83645137465075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6">
        <f t="shared" si="1"/>
        <v>360.32755232166795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401</v>
      </c>
      <c r="O64" s="13">
        <f>N64*VLOOKUP('Données projet'!$B$9,Paramètres!$A$1:$I$89,3,0)*VLOOKUP('Données projet'!$B$9,Paramètres!$A$1:$I$89,5,0)</f>
        <v>250.22399999999999</v>
      </c>
      <c r="P64" s="13">
        <f t="shared" si="33"/>
        <v>60.633904580527918</v>
      </c>
      <c r="Q64" s="20">
        <f t="shared" si="53"/>
        <v>541.41085047775289</v>
      </c>
      <c r="R64" s="59">
        <f t="shared" si="0"/>
        <v>834.74418381108626</v>
      </c>
      <c r="S64" s="59">
        <f ca="1">AVERAGE(OFFSET($R$3,0,0,'Données projet'!$E$9+1,1))-AVERAGE(OFFSET($H$3,0,0,'Données projet'!$E$9+1,1))</f>
        <v>269.77739619445515</v>
      </c>
      <c r="T64" s="59">
        <f t="shared" si="34"/>
        <v>347.56964743629885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75.07669705822677</v>
      </c>
      <c r="AA64" s="21">
        <f>EXP(-LN(2)/25)*AA63+(1-EXP(-LN(2)/25))/(LN(2)/25)*Calculateur!V64*Calculateur!X64*VLOOKUP('Données projet'!$B$9,Paramètres!$A$1:$I$89,3,0)*0.475*44/12</f>
        <v>38.841135494562359</v>
      </c>
      <c r="AB64" s="21">
        <f>EXP(-LN(2)/2)*AB63+(1-EXP(-LN(2)/2))/(LN(2)/2)*V64*Y64*VLOOKUP('Données projet'!$B$9,Paramètres!$A$1:$I$89,3,0)*0.475*44/12</f>
        <v>5.3599129971741777E-7</v>
      </c>
      <c r="AC64" s="22">
        <f t="shared" si="3"/>
        <v>113.91783308878043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21</v>
      </c>
      <c r="AI64" s="13">
        <f>IF('Données projet'!$A$62&gt;35,AI63+AH64-AQ63,IF(A64&lt;'Données projet'!$A$62,$AF$205^A64,IF(A64='Données projet'!$A$62,'Données projet'!$B$62,AI63+AH64-AQ63)))</f>
        <v>644.99999999999989</v>
      </c>
      <c r="AJ64" s="13">
        <f>AI64*VLOOKUP('Données projet'!$B$10,Paramètres!$A$1:$I$89,3,0)*VLOOKUP('Données projet'!$B$10,Paramètres!$A$1:$I$89,5,0)</f>
        <v>318.62999999999994</v>
      </c>
      <c r="AK64" s="13">
        <f t="shared" si="35"/>
        <v>75.068227379090629</v>
      </c>
      <c r="AL64" s="20">
        <f t="shared" si="4"/>
        <v>685.69107935191596</v>
      </c>
      <c r="AM64" s="59">
        <f t="shared" si="5"/>
        <v>979.02441268524922</v>
      </c>
      <c r="AN64" s="59">
        <f ca="1">AVERAGE(OFFSET($AM$3,0,0,'Données projet'!$E$10+1,1))-AVERAGE(OFFSET($H$3,0,0,'Données projet'!$E$10+1,1))</f>
        <v>396.27049617044378</v>
      </c>
      <c r="AO64" s="59">
        <f t="shared" si="36"/>
        <v>335.2680289568774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113.35586867388369</v>
      </c>
      <c r="AV64" s="21">
        <f>EXP(-LN(2)/25)*AV63+(1-EXP(-LN(2)/25))/(LN(2)/25)*Calculateur!AQ64*Calculateur!AS64*VLOOKUP('Données projet'!$B$10,Paramètres!$A$1:$I$89,3,0)*0.475*44/12</f>
        <v>19.901918081959085</v>
      </c>
      <c r="AW64" s="21">
        <f>EXP(-LN(2)/2)*AW63+(1-EXP(-LN(2)/2))/(LN(2)/2)*AQ64*AT64*VLOOKUP('Données projet'!$B$10,Paramètres!$A$1:$I$89,3,0)*0.475*44/12</f>
        <v>8.2979393808103961E-6</v>
      </c>
      <c r="AX64" s="21">
        <f t="shared" si="6"/>
        <v>133.25779505378216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10.4</v>
      </c>
      <c r="BD64" s="12">
        <f>IF('Données projet'!$A$88&gt;35,BD63+BC64-BL63,IF(A64&lt;'Données projet'!$A$88,$BA$205^A64,IF(A64='Données projet'!$A$88,'Données projet'!$B$88,BD63+BC64-BL63)))</f>
        <v>252.40000000000003</v>
      </c>
      <c r="BE64" s="13">
        <f>BD64*VLOOKUP('Données projet'!$B$11,Paramètres!$A$1:$I$89,3,0)*VLOOKUP('Données projet'!$B$11,Paramètres!$A$1:$I$89,5,0)</f>
        <v>216.55920000000003</v>
      </c>
      <c r="BF64" s="13">
        <f t="shared" si="37"/>
        <v>53.366360125240483</v>
      </c>
      <c r="BG64" s="20">
        <f t="shared" si="7"/>
        <v>470.12035055146049</v>
      </c>
      <c r="BH64" s="59">
        <f t="shared" si="8"/>
        <v>763.4536838847938</v>
      </c>
      <c r="BI64" s="59">
        <f ca="1">AVERAGE(OFFSET($BH$3,0,0,'Données projet'!$E$11+1,1))-AVERAGE(OFFSET($H$3,0,0,'Données projet'!$E$11+1,1))</f>
        <v>352.61091660077574</v>
      </c>
      <c r="BJ64" s="59">
        <f t="shared" si="38"/>
        <v>186.48649111821521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65.569122564970201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65.569122564970201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4.4000000000000004</v>
      </c>
      <c r="BY64" s="12">
        <f>IF('Données projet'!$A$114&gt;35,BY63+BX64-CG63,IF(A64&lt;'Données projet'!$A$114,$BV$205^A64,IF(A64='Données projet'!$A$114,'Données projet'!$B$114,BY63+BX64-CG63)))</f>
        <v>237.39999999999984</v>
      </c>
      <c r="BZ64" s="13">
        <f>BY64*VLOOKUP('Données projet'!$B$12,Paramètres!$A$1:$I$89,3,0)*VLOOKUP('Données projet'!$B$12,Paramètres!$A$1:$I$89,5,0)</f>
        <v>188.87543999999988</v>
      </c>
      <c r="CA64" s="13">
        <f t="shared" si="39"/>
        <v>47.291242769027726</v>
      </c>
      <c r="CB64" s="20">
        <f t="shared" si="10"/>
        <v>411.32363915605634</v>
      </c>
      <c r="CC64" s="59">
        <f t="shared" si="11"/>
        <v>704.65697248938966</v>
      </c>
      <c r="CD64" s="59">
        <f ca="1">AVERAGE(OFFSET($CC$3,0,0,'Données projet'!$E$12+1,1))-AVERAGE(OFFSET($H$3,0,0,'Données projet'!$E$12+1,1))</f>
        <v>225.2323446080772</v>
      </c>
      <c r="CE64" s="59">
        <f t="shared" si="40"/>
        <v>222.29030402759292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41.118567778561378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41.118567778561378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3.4</v>
      </c>
      <c r="CT64" s="12">
        <f>IF('Données projet'!$A$140&gt;35,CT63+CS64-DB63,IF(A64&lt;'Données projet'!$A$140,$CQ$205^A64,IF(A64='Données projet'!$A$140,'Données projet'!$B$140,CT63+CS64-DB63)))</f>
        <v>188.4</v>
      </c>
      <c r="CU64" s="17">
        <f>CT64*VLOOKUP('Données projet'!$B$13,Paramètres!$A$1:$I$89,3,0)*VLOOKUP('Données projet'!$B$13,Paramètres!$A$1:$I$89,5,0)</f>
        <v>182.22048000000001</v>
      </c>
      <c r="CV64" s="13">
        <f t="shared" si="41"/>
        <v>45.815848993036909</v>
      </c>
      <c r="CW64" s="20">
        <f t="shared" si="13"/>
        <v>397.16327299620599</v>
      </c>
      <c r="CX64" s="59">
        <f t="shared" si="14"/>
        <v>690.4966063295393</v>
      </c>
      <c r="CY64" s="59">
        <f ca="1">AVERAGE(OFFSET($CX$3,0,0,'Données projet'!$E$13+1,1))-AVERAGE(OFFSET($H$3,0,0,'Données projet'!$E$13+1,1))</f>
        <v>212.32823943192528</v>
      </c>
      <c r="CZ64" s="59">
        <f t="shared" si="42"/>
        <v>209.60834138503003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31.521894478471587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31.521894478471587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6.4</v>
      </c>
      <c r="DO64" s="12">
        <f>IF('Données projet'!$A$166&gt;35,DO63+DN64-DW63,IF(A64&lt;'Données projet'!$A$166,$DL$205^A64,IF(A64='Données projet'!$A$166,'Données projet'!$B$166,DO63+DN64-DW63)))</f>
        <v>250.39999999999986</v>
      </c>
      <c r="DP64" s="17">
        <f>DO64*VLOOKUP('Données projet'!$B$14,Paramètres!$A$1:$I$89,3,0)*VLOOKUP('Données projet'!$B$14,Paramètres!$A$1:$I$89,5,0)</f>
        <v>195.3119999999999</v>
      </c>
      <c r="DQ64" s="13">
        <f t="shared" si="43"/>
        <v>48.712469285758459</v>
      </c>
      <c r="DR64" s="20">
        <f t="shared" si="16"/>
        <v>425.00928400602908</v>
      </c>
      <c r="DS64" s="59">
        <f t="shared" si="17"/>
        <v>718.34261733936239</v>
      </c>
      <c r="DT64" s="59">
        <f ca="1">AVERAGE(OFFSET($DS$3,0,0,'Données projet'!$E$14+1,1))-AVERAGE(OFFSET($H$3,0,0,'Données projet'!$E$14+1,1))</f>
        <v>215.84581110302656</v>
      </c>
      <c r="DU64" s="59">
        <f t="shared" si="44"/>
        <v>193.88588526156104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50.819970180307259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50.819970180307259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6">
        <f t="shared" si="1"/>
        <v>361.39527488339854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401</v>
      </c>
      <c r="O65" s="13">
        <f>N65*VLOOKUP('Données projet'!$B$9,Paramètres!$A$1:$I$89,3,0)*VLOOKUP('Données projet'!$B$9,Paramètres!$A$1:$I$89,5,0)</f>
        <v>250.22399999999999</v>
      </c>
      <c r="P65" s="13">
        <f t="shared" si="33"/>
        <v>60.633904580527918</v>
      </c>
      <c r="Q65" s="20">
        <f t="shared" si="53"/>
        <v>541.41085047775289</v>
      </c>
      <c r="R65" s="59">
        <f t="shared" si="0"/>
        <v>834.74418381108626</v>
      </c>
      <c r="S65" s="59">
        <f ca="1">AVERAGE(OFFSET($R$3,0,0,'Données projet'!$E$9+1,1))-AVERAGE(OFFSET($H$3,0,0,'Données projet'!$E$9+1,1))</f>
        <v>269.77739619445515</v>
      </c>
      <c r="T65" s="59">
        <f t="shared" si="34"/>
        <v>347.56964743629885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73.604488821178535</v>
      </c>
      <c r="AA65" s="21">
        <f>EXP(-LN(2)/25)*AA64+(1-EXP(-LN(2)/25))/(LN(2)/25)*Calculateur!V65*Calculateur!X65*VLOOKUP('Données projet'!$B$9,Paramètres!$A$1:$I$89,3,0)*0.475*44/12</f>
        <v>37.779022601897005</v>
      </c>
      <c r="AB65" s="21">
        <f>EXP(-LN(2)/2)*AB64+(1-EXP(-LN(2)/2))/(LN(2)/2)*V65*Y65*VLOOKUP('Données projet'!$B$9,Paramètres!$A$1:$I$89,3,0)*0.475*44/12</f>
        <v>3.7900308268717734E-7</v>
      </c>
      <c r="AC65" s="22">
        <f t="shared" si="3"/>
        <v>111.38351180207862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21</v>
      </c>
      <c r="AI65" s="13">
        <f>IF('Données projet'!$A$62&gt;35,AI64+AH65-AQ64,IF(A65&lt;'Données projet'!$A$62,$AF$205^A65,IF(A65='Données projet'!$A$62,'Données projet'!$B$62,AI64+AH65-AQ64)))</f>
        <v>665.99999999999989</v>
      </c>
      <c r="AJ65" s="13">
        <f>AI65*VLOOKUP('Données projet'!$B$10,Paramètres!$A$1:$I$89,3,0)*VLOOKUP('Données projet'!$B$10,Paramètres!$A$1:$I$89,5,0)</f>
        <v>329.00399999999996</v>
      </c>
      <c r="AK65" s="13">
        <f t="shared" si="35"/>
        <v>77.223774646935937</v>
      </c>
      <c r="AL65" s="20">
        <f t="shared" si="4"/>
        <v>707.51337417674677</v>
      </c>
      <c r="AM65" s="59">
        <f t="shared" si="5"/>
        <v>1000.84670751008</v>
      </c>
      <c r="AN65" s="59">
        <f ca="1">AVERAGE(OFFSET($AM$3,0,0,'Données projet'!$E$10+1,1))-AVERAGE(OFFSET($H$3,0,0,'Données projet'!$E$10+1,1))</f>
        <v>396.27049617044378</v>
      </c>
      <c r="AO65" s="59">
        <f t="shared" si="36"/>
        <v>335.2680289568774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111.13302922944169</v>
      </c>
      <c r="AV65" s="21">
        <f>EXP(-LN(2)/25)*AV64+(1-EXP(-LN(2)/25))/(LN(2)/25)*Calculateur!AQ65*Calculateur!AS65*VLOOKUP('Données projet'!$B$10,Paramètres!$A$1:$I$89,3,0)*0.475*44/12</f>
        <v>19.357699085411529</v>
      </c>
      <c r="AW65" s="21">
        <f>EXP(-LN(2)/2)*AW64+(1-EXP(-LN(2)/2))/(LN(2)/2)*AQ65*AT65*VLOOKUP('Données projet'!$B$10,Paramètres!$A$1:$I$89,3,0)*0.475*44/12</f>
        <v>5.8675292060459325E-6</v>
      </c>
      <c r="AX65" s="21">
        <f t="shared" si="6"/>
        <v>130.49073418238243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10.4</v>
      </c>
      <c r="BD65" s="12">
        <f>IF('Données projet'!$A$88&gt;35,BD64+BC65-BL64,IF(A65&lt;'Données projet'!$A$88,$BA$205^A65,IF(A65='Données projet'!$A$88,'Données projet'!$B$88,BD64+BC65-BL64)))</f>
        <v>262.8</v>
      </c>
      <c r="BE65" s="13">
        <f>BD65*VLOOKUP('Données projet'!$B$11,Paramètres!$A$1:$I$89,3,0)*VLOOKUP('Données projet'!$B$11,Paramètres!$A$1:$I$89,5,0)</f>
        <v>225.48240000000004</v>
      </c>
      <c r="BF65" s="13">
        <f t="shared" si="37"/>
        <v>55.304745901414371</v>
      </c>
      <c r="BG65" s="20">
        <f t="shared" si="7"/>
        <v>489.03761244496349</v>
      </c>
      <c r="BH65" s="59">
        <f t="shared" si="8"/>
        <v>782.3709457782968</v>
      </c>
      <c r="BI65" s="59">
        <f ca="1">AVERAGE(OFFSET($BH$3,0,0,'Données projet'!$E$11+1,1))-AVERAGE(OFFSET($H$3,0,0,'Données projet'!$E$11+1,1))</f>
        <v>352.61091660077574</v>
      </c>
      <c r="BJ65" s="59">
        <f t="shared" si="38"/>
        <v>186.48649111821521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64.283352064686895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64.283352064686895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4.4000000000000004</v>
      </c>
      <c r="BY65" s="12">
        <f>IF('Données projet'!$A$114&gt;35,BY64+BX65-CG64,IF(A65&lt;'Données projet'!$A$114,$BV$205^A65,IF(A65='Données projet'!$A$114,'Données projet'!$B$114,BY64+BX65-CG64)))</f>
        <v>241.79999999999984</v>
      </c>
      <c r="BZ65" s="13">
        <f>BY65*VLOOKUP('Données projet'!$B$12,Paramètres!$A$1:$I$89,3,0)*VLOOKUP('Données projet'!$B$12,Paramètres!$A$1:$I$89,5,0)</f>
        <v>192.37607999999989</v>
      </c>
      <c r="CA65" s="13">
        <f t="shared" si="39"/>
        <v>48.064889828485896</v>
      </c>
      <c r="CB65" s="20">
        <f t="shared" si="10"/>
        <v>418.76802245127936</v>
      </c>
      <c r="CC65" s="59">
        <f t="shared" si="11"/>
        <v>712.10135578461268</v>
      </c>
      <c r="CD65" s="59">
        <f ca="1">AVERAGE(OFFSET($CC$3,0,0,'Données projet'!$E$12+1,1))-AVERAGE(OFFSET($H$3,0,0,'Données projet'!$E$12+1,1))</f>
        <v>225.2323446080772</v>
      </c>
      <c r="CE65" s="59">
        <f t="shared" si="40"/>
        <v>222.29030402759292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40.312257744273701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40.312257744273701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3.4</v>
      </c>
      <c r="CT65" s="12">
        <f>IF('Données projet'!$A$140&gt;35,CT64+CS65-DB64,IF(A65&lt;'Données projet'!$A$140,$CQ$205^A65,IF(A65='Données projet'!$A$140,'Données projet'!$B$140,CT64+CS65-DB64)))</f>
        <v>191.8</v>
      </c>
      <c r="CU65" s="17">
        <f>CT65*VLOOKUP('Données projet'!$B$13,Paramètres!$A$1:$I$89,3,0)*VLOOKUP('Données projet'!$B$13,Paramètres!$A$1:$I$89,5,0)</f>
        <v>185.50896000000003</v>
      </c>
      <c r="CV65" s="13">
        <f t="shared" si="41"/>
        <v>46.545669588393878</v>
      </c>
      <c r="CW65" s="20">
        <f t="shared" si="13"/>
        <v>404.16181319978608</v>
      </c>
      <c r="CX65" s="59">
        <f t="shared" si="14"/>
        <v>697.4951465331194</v>
      </c>
      <c r="CY65" s="59">
        <f ca="1">AVERAGE(OFFSET($CX$3,0,0,'Données projet'!$E$13+1,1))-AVERAGE(OFFSET($H$3,0,0,'Données projet'!$E$13+1,1))</f>
        <v>212.32823943192528</v>
      </c>
      <c r="CZ65" s="59">
        <f t="shared" si="42"/>
        <v>209.60834138503003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30.903769354205938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30.903769354205938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6.4</v>
      </c>
      <c r="DO65" s="12">
        <f>IF('Données projet'!$A$166&gt;35,DO64+DN65-DW64,IF(A65&lt;'Données projet'!$A$166,$DL$205^A65,IF(A65='Données projet'!$A$166,'Données projet'!$B$166,DO64+DN65-DW64)))</f>
        <v>256.79999999999984</v>
      </c>
      <c r="DP65" s="17">
        <f>DO65*VLOOKUP('Données projet'!$B$14,Paramètres!$A$1:$I$89,3,0)*VLOOKUP('Données projet'!$B$14,Paramètres!$A$1:$I$89,5,0)</f>
        <v>200.30399999999989</v>
      </c>
      <c r="DQ65" s="13">
        <f t="shared" si="43"/>
        <v>49.810971817279096</v>
      </c>
      <c r="DR65" s="20">
        <f t="shared" si="16"/>
        <v>435.61690924842759</v>
      </c>
      <c r="DS65" s="59">
        <f t="shared" si="17"/>
        <v>728.9502425817609</v>
      </c>
      <c r="DT65" s="59">
        <f ca="1">AVERAGE(OFFSET($DS$3,0,0,'Données projet'!$E$14+1,1))-AVERAGE(OFFSET($H$3,0,0,'Données projet'!$E$14+1,1))</f>
        <v>215.84581110302656</v>
      </c>
      <c r="DU65" s="59">
        <f t="shared" si="44"/>
        <v>193.88588526156104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49.823421562192529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49.823421562192529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6">
        <f t="shared" si="1"/>
        <v>362.46256605982404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401</v>
      </c>
      <c r="O66" s="13">
        <f>N66*VLOOKUP('Données projet'!$B$9,Paramètres!$A$1:$I$89,3,0)*VLOOKUP('Données projet'!$B$9,Paramètres!$A$1:$I$89,5,0)</f>
        <v>250.22399999999999</v>
      </c>
      <c r="P66" s="13">
        <f t="shared" si="33"/>
        <v>60.633904580527918</v>
      </c>
      <c r="Q66" s="20">
        <f t="shared" si="53"/>
        <v>541.41085047775289</v>
      </c>
      <c r="R66" s="59">
        <f t="shared" si="0"/>
        <v>834.74418381108626</v>
      </c>
      <c r="S66" s="59">
        <f ca="1">AVERAGE(OFFSET($R$3,0,0,'Données projet'!$E$9+1,1))-AVERAGE(OFFSET($H$3,0,0,'Données projet'!$E$9+1,1))</f>
        <v>269.77739619445515</v>
      </c>
      <c r="T66" s="59">
        <f t="shared" si="34"/>
        <v>347.56964743629885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72.161149689700466</v>
      </c>
      <c r="AA66" s="21">
        <f>EXP(-LN(2)/25)*AA65+(1-EXP(-LN(2)/25))/(LN(2)/25)*Calculateur!V66*Calculateur!X66*VLOOKUP('Données projet'!$B$9,Paramètres!$A$1:$I$89,3,0)*0.475*44/12</f>
        <v>36.745953242135677</v>
      </c>
      <c r="AB66" s="21">
        <f>EXP(-LN(2)/2)*AB65+(1-EXP(-LN(2)/2))/(LN(2)/2)*V66*Y66*VLOOKUP('Données projet'!$B$9,Paramètres!$A$1:$I$89,3,0)*0.475*44/12</f>
        <v>2.6799564985870888E-7</v>
      </c>
      <c r="AC66" s="22">
        <f t="shared" si="3"/>
        <v>108.90710319983178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21</v>
      </c>
      <c r="AI66" s="13">
        <f>IF('Données projet'!$A$62&gt;35,AI65+AH66-AQ65,IF(A66&lt;'Données projet'!$A$62,$AF$205^A66,IF(A66='Données projet'!$A$62,'Données projet'!$B$62,AI65+AH66-AQ65)))</f>
        <v>686.99999999999989</v>
      </c>
      <c r="AJ66" s="13">
        <f>AI66*VLOOKUP('Données projet'!$B$10,Paramètres!$A$1:$I$89,3,0)*VLOOKUP('Données projet'!$B$10,Paramètres!$A$1:$I$89,5,0)</f>
        <v>339.37799999999993</v>
      </c>
      <c r="AK66" s="13">
        <f t="shared" si="35"/>
        <v>79.371423591778324</v>
      </c>
      <c r="AL66" s="20">
        <f t="shared" si="4"/>
        <v>729.32191275568039</v>
      </c>
      <c r="AM66" s="59">
        <f t="shared" si="5"/>
        <v>1022.6552460890136</v>
      </c>
      <c r="AN66" s="59">
        <f ca="1">AVERAGE(OFFSET($AM$3,0,0,'Données projet'!$E$10+1,1))-AVERAGE(OFFSET($H$3,0,0,'Données projet'!$E$10+1,1))</f>
        <v>396.27049617044378</v>
      </c>
      <c r="AO66" s="59">
        <f t="shared" si="36"/>
        <v>335.2680289568774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108.95377831070701</v>
      </c>
      <c r="AV66" s="21">
        <f>EXP(-LN(2)/25)*AV65+(1-EXP(-LN(2)/25))/(LN(2)/25)*Calculateur!AQ66*Calculateur!AS66*VLOOKUP('Données projet'!$B$10,Paramètres!$A$1:$I$89,3,0)*0.475*44/12</f>
        <v>18.828361785943798</v>
      </c>
      <c r="AW66" s="21">
        <f>EXP(-LN(2)/2)*AW65+(1-EXP(-LN(2)/2))/(LN(2)/2)*AQ66*AT66*VLOOKUP('Données projet'!$B$10,Paramètres!$A$1:$I$89,3,0)*0.475*44/12</f>
        <v>4.1489696904051981E-6</v>
      </c>
      <c r="AX66" s="21">
        <f t="shared" si="6"/>
        <v>127.7821442456205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10.4</v>
      </c>
      <c r="BD66" s="12">
        <f>IF('Données projet'!$A$88&gt;35,BD65+BC66-BL65,IF(A66&lt;'Données projet'!$A$88,$BA$205^A66,IF(A66='Données projet'!$A$88,'Données projet'!$B$88,BD65+BC66-BL65)))</f>
        <v>273.2</v>
      </c>
      <c r="BE66" s="13">
        <f>BD66*VLOOKUP('Données projet'!$B$11,Paramètres!$A$1:$I$89,3,0)*VLOOKUP('Données projet'!$B$11,Paramètres!$A$1:$I$89,5,0)</f>
        <v>234.40560000000005</v>
      </c>
      <c r="BF66" s="13">
        <f t="shared" si="37"/>
        <v>57.234220788626125</v>
      </c>
      <c r="BG66" s="20">
        <f t="shared" si="7"/>
        <v>507.93935454019061</v>
      </c>
      <c r="BH66" s="59">
        <f t="shared" si="8"/>
        <v>801.27268787352386</v>
      </c>
      <c r="BI66" s="59">
        <f ca="1">AVERAGE(OFFSET($BH$3,0,0,'Données projet'!$E$11+1,1))-AVERAGE(OFFSET($H$3,0,0,'Données projet'!$E$11+1,1))</f>
        <v>352.61091660077574</v>
      </c>
      <c r="BJ66" s="59">
        <f t="shared" si="38"/>
        <v>186.48649111821521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63.022794739671582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63.022794739671582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4.4000000000000004</v>
      </c>
      <c r="BY66" s="12">
        <f>IF('Données projet'!$A$114&gt;35,BY65+BX66-CG65,IF(A66&lt;'Données projet'!$A$114,$BV$205^A66,IF(A66='Données projet'!$A$114,'Données projet'!$B$114,BY65+BX66-CG65)))</f>
        <v>246.19999999999985</v>
      </c>
      <c r="BZ66" s="13">
        <f>BY66*VLOOKUP('Données projet'!$B$12,Paramètres!$A$1:$I$89,3,0)*VLOOKUP('Données projet'!$B$12,Paramètres!$A$1:$I$89,5,0)</f>
        <v>195.87671999999989</v>
      </c>
      <c r="CA66" s="13">
        <f t="shared" si="39"/>
        <v>48.836899853879942</v>
      </c>
      <c r="CB66" s="20">
        <f t="shared" si="10"/>
        <v>426.20955457884071</v>
      </c>
      <c r="CC66" s="59">
        <f t="shared" si="11"/>
        <v>719.54288791217402</v>
      </c>
      <c r="CD66" s="59">
        <f ca="1">AVERAGE(OFFSET($CC$3,0,0,'Données projet'!$E$12+1,1))-AVERAGE(OFFSET($H$3,0,0,'Données projet'!$E$12+1,1))</f>
        <v>225.2323446080772</v>
      </c>
      <c r="CE66" s="59">
        <f t="shared" si="40"/>
        <v>222.29030402759292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39.52175895795785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39.52175895795785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3.4</v>
      </c>
      <c r="CT66" s="12">
        <f>IF('Données projet'!$A$140&gt;35,CT65+CS66-DB65,IF(A66&lt;'Données projet'!$A$140,$CQ$205^A66,IF(A66='Données projet'!$A$140,'Données projet'!$B$140,CT65+CS66-DB65)))</f>
        <v>195.20000000000002</v>
      </c>
      <c r="CU66" s="17">
        <f>CT66*VLOOKUP('Données projet'!$B$13,Paramètres!$A$1:$I$89,3,0)*VLOOKUP('Données projet'!$B$13,Paramètres!$A$1:$I$89,5,0)</f>
        <v>188.79744000000002</v>
      </c>
      <c r="CV66" s="13">
        <f t="shared" si="41"/>
        <v>47.27398574167259</v>
      </c>
      <c r="CW66" s="20">
        <f t="shared" si="13"/>
        <v>411.15773316674648</v>
      </c>
      <c r="CX66" s="59">
        <f t="shared" si="14"/>
        <v>704.4910665000798</v>
      </c>
      <c r="CY66" s="59">
        <f ca="1">AVERAGE(OFFSET($CX$3,0,0,'Données projet'!$E$13+1,1))-AVERAGE(OFFSET($H$3,0,0,'Données projet'!$E$13+1,1))</f>
        <v>212.32823943192528</v>
      </c>
      <c r="CZ66" s="59">
        <f t="shared" si="42"/>
        <v>209.60834138503003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30.297765286608037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30.297765286608037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6.4</v>
      </c>
      <c r="DO66" s="12">
        <f>IF('Données projet'!$A$166&gt;35,DO65+DN66-DW65,IF(A66&lt;'Données projet'!$A$166,$DL$205^A66,IF(A66='Données projet'!$A$166,'Données projet'!$B$166,DO65+DN66-DW65)))</f>
        <v>263.19999999999982</v>
      </c>
      <c r="DP66" s="17">
        <f>DO66*VLOOKUP('Données projet'!$B$14,Paramètres!$A$1:$I$89,3,0)*VLOOKUP('Données projet'!$B$14,Paramètres!$A$1:$I$89,5,0)</f>
        <v>205.29599999999988</v>
      </c>
      <c r="DQ66" s="13">
        <f t="shared" si="43"/>
        <v>50.906291934375353</v>
      </c>
      <c r="DR66" s="20">
        <f t="shared" si="16"/>
        <v>446.21899178570357</v>
      </c>
      <c r="DS66" s="59">
        <f t="shared" si="17"/>
        <v>739.55232511903682</v>
      </c>
      <c r="DT66" s="59">
        <f ca="1">AVERAGE(OFFSET($DS$3,0,0,'Données projet'!$E$14+1,1))-AVERAGE(OFFSET($H$3,0,0,'Données projet'!$E$14+1,1))</f>
        <v>215.84581110302656</v>
      </c>
      <c r="DU66" s="59">
        <f t="shared" si="44"/>
        <v>193.88588526156104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48.846414654644391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48.846414654644391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6">
        <f t="shared" si="1"/>
        <v>363.52943348895451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401</v>
      </c>
      <c r="O67" s="13">
        <f>N67*VLOOKUP('Données projet'!$B$9,Paramètres!$A$1:$I$89,3,0)*VLOOKUP('Données projet'!$B$9,Paramètres!$A$1:$I$89,5,0)</f>
        <v>250.22399999999999</v>
      </c>
      <c r="P67" s="13">
        <f t="shared" si="33"/>
        <v>60.633904580527918</v>
      </c>
      <c r="Q67" s="20">
        <f t="shared" ref="Q67:Q98" si="54">(O67+P67)*0.475*44/12</f>
        <v>541.41085047775289</v>
      </c>
      <c r="R67" s="59">
        <f t="shared" ref="R67:R130" si="55">Q67+(I67+J67)*44/12</f>
        <v>834.74418381108626</v>
      </c>
      <c r="S67" s="59">
        <f ca="1">AVERAGE(OFFSET($R$3,0,0,'Données projet'!$E$9+1,1))-AVERAGE(OFFSET($H$3,0,0,'Données projet'!$E$9+1,1))</f>
        <v>269.77739619445515</v>
      </c>
      <c r="T67" s="59">
        <f t="shared" si="34"/>
        <v>347.56964743629885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70.746113558240737</v>
      </c>
      <c r="AA67" s="21">
        <f>EXP(-LN(2)/25)*AA66+(1-EXP(-LN(2)/25))/(LN(2)/25)*Calculateur!V67*Calculateur!X67*VLOOKUP('Données projet'!$B$9,Paramètres!$A$1:$I$89,3,0)*0.475*44/12</f>
        <v>35.741133218343776</v>
      </c>
      <c r="AB67" s="21">
        <f>EXP(-LN(2)/2)*AB66+(1-EXP(-LN(2)/2))/(LN(2)/2)*V67*Y67*VLOOKUP('Données projet'!$B$9,Paramètres!$A$1:$I$89,3,0)*0.475*44/12</f>
        <v>1.8950154134358867E-7</v>
      </c>
      <c r="AC67" s="22">
        <f t="shared" si="3"/>
        <v>106.48724696608605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21</v>
      </c>
      <c r="AI67" s="13">
        <f>IF('Données projet'!$A$62&gt;35,AI66+AH67-AQ66,IF(A67&lt;'Données projet'!$A$62,$AF$205^A67,IF(A67='Données projet'!$A$62,'Données projet'!$B$62,AI66+AH67-AQ66)))</f>
        <v>707.99999999999989</v>
      </c>
      <c r="AJ67" s="13">
        <f>AI67*VLOOKUP('Données projet'!$B$10,Paramètres!$A$1:$I$89,3,0)*VLOOKUP('Données projet'!$B$10,Paramètres!$A$1:$I$89,5,0)</f>
        <v>349.75199999999995</v>
      </c>
      <c r="AK67" s="13">
        <f t="shared" si="35"/>
        <v>81.511443355997685</v>
      </c>
      <c r="AL67" s="20">
        <f t="shared" si="4"/>
        <v>751.11716384502915</v>
      </c>
      <c r="AM67" s="59">
        <f t="shared" si="5"/>
        <v>1044.4504971783624</v>
      </c>
      <c r="AN67" s="59">
        <f ca="1">AVERAGE(OFFSET($AM$3,0,0,'Données projet'!$E$10+1,1))-AVERAGE(OFFSET($H$3,0,0,'Données projet'!$E$10+1,1))</f>
        <v>396.27049617044378</v>
      </c>
      <c r="AO67" s="59">
        <f t="shared" si="36"/>
        <v>335.2680289568774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106.8172611732769</v>
      </c>
      <c r="AV67" s="21">
        <f>EXP(-LN(2)/25)*AV66+(1-EXP(-LN(2)/25))/(LN(2)/25)*Calculateur!AQ67*Calculateur!AS67*VLOOKUP('Données projet'!$B$10,Paramètres!$A$1:$I$89,3,0)*0.475*44/12</f>
        <v>18.313499242766653</v>
      </c>
      <c r="AW67" s="21">
        <f>EXP(-LN(2)/2)*AW66+(1-EXP(-LN(2)/2))/(LN(2)/2)*AQ67*AT67*VLOOKUP('Données projet'!$B$10,Paramètres!$A$1:$I$89,3,0)*0.475*44/12</f>
        <v>2.9337646030229662E-6</v>
      </c>
      <c r="AX67" s="21">
        <f t="shared" si="6"/>
        <v>125.13076334980816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10.4</v>
      </c>
      <c r="BD67" s="12">
        <f>IF('Données projet'!$A$88&gt;35,BD66+BC67-BL66,IF(A67&lt;'Données projet'!$A$88,$BA$205^A67,IF(A67='Données projet'!$A$88,'Données projet'!$B$88,BD66+BC67-BL66)))</f>
        <v>283.59999999999997</v>
      </c>
      <c r="BE67" s="13">
        <f>BD67*VLOOKUP('Données projet'!$B$11,Paramètres!$A$1:$I$89,3,0)*VLOOKUP('Données projet'!$B$11,Paramètres!$A$1:$I$89,5,0)</f>
        <v>243.3288</v>
      </c>
      <c r="BF67" s="13">
        <f t="shared" si="37"/>
        <v>59.155162833418565</v>
      </c>
      <c r="BG67" s="20">
        <f t="shared" si="7"/>
        <v>526.82623526820396</v>
      </c>
      <c r="BH67" s="59">
        <f t="shared" si="8"/>
        <v>820.15956860153733</v>
      </c>
      <c r="BI67" s="59">
        <f ca="1">AVERAGE(OFFSET($BH$3,0,0,'Données projet'!$E$11+1,1))-AVERAGE(OFFSET($H$3,0,0,'Données projet'!$E$11+1,1))</f>
        <v>352.61091660077574</v>
      </c>
      <c r="BJ67" s="59">
        <f t="shared" si="38"/>
        <v>186.48649111821521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61.786956174935767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61.786956174935767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4.4000000000000004</v>
      </c>
      <c r="BY67" s="12">
        <f>IF('Données projet'!$A$114&gt;35,BY66+BX67-CG66,IF(A67&lt;'Données projet'!$A$114,$BV$205^A67,IF(A67='Données projet'!$A$114,'Données projet'!$B$114,BY66+BX67-CG66)))</f>
        <v>250.59999999999985</v>
      </c>
      <c r="BZ67" s="13">
        <f>BY67*VLOOKUP('Données projet'!$B$12,Paramètres!$A$1:$I$89,3,0)*VLOOKUP('Données projet'!$B$12,Paramètres!$A$1:$I$89,5,0)</f>
        <v>199.3773599999999</v>
      </c>
      <c r="CA67" s="13">
        <f t="shared" si="39"/>
        <v>49.607305476717762</v>
      </c>
      <c r="CB67" s="20">
        <f t="shared" si="10"/>
        <v>433.64829237194994</v>
      </c>
      <c r="CC67" s="59">
        <f t="shared" si="11"/>
        <v>726.98162570528325</v>
      </c>
      <c r="CD67" s="59">
        <f ca="1">AVERAGE(OFFSET($CC$3,0,0,'Données projet'!$E$12+1,1))-AVERAGE(OFFSET($H$3,0,0,'Données projet'!$E$12+1,1))</f>
        <v>225.2323446080772</v>
      </c>
      <c r="CE67" s="59">
        <f t="shared" si="40"/>
        <v>222.29030402759292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38.746761370685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38.746761370685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3.4</v>
      </c>
      <c r="CT67" s="12">
        <f>IF('Données projet'!$A$140&gt;35,CT66+CS67-DB66,IF(A67&lt;'Données projet'!$A$140,$CQ$205^A67,IF(A67='Données projet'!$A$140,'Données projet'!$B$140,CT66+CS67-DB66)))</f>
        <v>198.60000000000002</v>
      </c>
      <c r="CU67" s="17">
        <f>CT67*VLOOKUP('Données projet'!$B$13,Paramètres!$A$1:$I$89,3,0)*VLOOKUP('Données projet'!$B$13,Paramètres!$A$1:$I$89,5,0)</f>
        <v>192.08592000000004</v>
      </c>
      <c r="CV67" s="13">
        <f t="shared" si="41"/>
        <v>48.000826680832219</v>
      </c>
      <c r="CW67" s="20">
        <f t="shared" si="13"/>
        <v>418.15108380244948</v>
      </c>
      <c r="CX67" s="59">
        <f t="shared" si="14"/>
        <v>711.48441713578279</v>
      </c>
      <c r="CY67" s="59">
        <f ca="1">AVERAGE(OFFSET($CX$3,0,0,'Données projet'!$E$13+1,1))-AVERAGE(OFFSET($H$3,0,0,'Données projet'!$E$13+1,1))</f>
        <v>212.32823943192528</v>
      </c>
      <c r="CZ67" s="59">
        <f t="shared" si="42"/>
        <v>209.60834138503003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29.70364458914975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29.70364458914975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6.4</v>
      </c>
      <c r="DO67" s="12">
        <f>IF('Données projet'!$A$166&gt;35,DO66+DN67-DW66,IF(A67&lt;'Données projet'!$A$166,$DL$205^A67,IF(A67='Données projet'!$A$166,'Données projet'!$B$166,DO66+DN67-DW66)))</f>
        <v>269.5999999999998</v>
      </c>
      <c r="DP67" s="17">
        <f>DO67*VLOOKUP('Données projet'!$B$14,Paramètres!$A$1:$I$89,3,0)*VLOOKUP('Données projet'!$B$14,Paramètres!$A$1:$I$89,5,0)</f>
        <v>210.28799999999984</v>
      </c>
      <c r="DQ67" s="13">
        <f t="shared" si="43"/>
        <v>51.998515923525652</v>
      </c>
      <c r="DR67" s="20">
        <f t="shared" si="16"/>
        <v>456.81568190014019</v>
      </c>
      <c r="DS67" s="59">
        <f t="shared" si="17"/>
        <v>750.14901523347351</v>
      </c>
      <c r="DT67" s="59">
        <f ca="1">AVERAGE(OFFSET($DS$3,0,0,'Données projet'!$E$14+1,1))-AVERAGE(OFFSET($H$3,0,0,'Données projet'!$E$14+1,1))</f>
        <v>215.84581110302656</v>
      </c>
      <c r="DU67" s="59">
        <f t="shared" si="44"/>
        <v>193.88588526156104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47.888566256637901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47.888566256637901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6">
        <f t="shared" ref="H68:H131" si="56">(B68+E68+F68)*44/12+(C68+D68)*0.475*44/12</f>
        <v>364.59588455641932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401</v>
      </c>
      <c r="O68" s="13">
        <f>N68*VLOOKUP('Données projet'!$B$9,Paramètres!$A$1:$I$89,3,0)*VLOOKUP('Données projet'!$B$9,Paramètres!$A$1:$I$89,5,0)</f>
        <v>250.22399999999999</v>
      </c>
      <c r="P68" s="13">
        <f t="shared" si="33"/>
        <v>60.633904580527918</v>
      </c>
      <c r="Q68" s="20">
        <f t="shared" si="54"/>
        <v>541.41085047775289</v>
      </c>
      <c r="R68" s="59">
        <f t="shared" si="55"/>
        <v>834.74418381108626</v>
      </c>
      <c r="S68" s="59">
        <f ca="1">AVERAGE(OFFSET($R$3,0,0,'Données projet'!$E$9+1,1))-AVERAGE(OFFSET($H$3,0,0,'Données projet'!$E$9+1,1))</f>
        <v>269.77739619445515</v>
      </c>
      <c r="T68" s="59">
        <f t="shared" si="34"/>
        <v>347.56964743629885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69.358825422232115</v>
      </c>
      <c r="AA68" s="21">
        <f>EXP(-LN(2)/25)*AA67+(1-EXP(-LN(2)/25))/(LN(2)/25)*Calculateur!V68*Calculateur!X68*VLOOKUP('Données projet'!$B$9,Paramètres!$A$1:$I$89,3,0)*0.475*44/12</f>
        <v>34.763790050943655</v>
      </c>
      <c r="AB68" s="21">
        <f>EXP(-LN(2)/2)*AB67+(1-EXP(-LN(2)/2))/(LN(2)/2)*V68*Y68*VLOOKUP('Données projet'!$B$9,Paramètres!$A$1:$I$89,3,0)*0.475*44/12</f>
        <v>1.3399782492935444E-7</v>
      </c>
      <c r="AC68" s="22">
        <f t="shared" ref="AC68:AC131" si="57">SUM(Z68:AB68)</f>
        <v>104.1226156071736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729</v>
      </c>
      <c r="AG68" s="12">
        <f>VLOOKUP(A68,'Données projet'!$A$61:$I$81,9,0)</f>
        <v>21</v>
      </c>
      <c r="AH68" s="12">
        <f t="array" ref="AH68">INDEX(AG:AG,MIN(IF(ISNUMBER(AG68:AG264),ROW(AG68:AG264),"")))</f>
        <v>21</v>
      </c>
      <c r="AI68" s="13">
        <f>IF('Données projet'!$A$62&gt;35,AI67+AH68-AQ67,IF(A68&lt;'Données projet'!$A$62,$AF$205^A68,IF(A68='Données projet'!$A$62,'Données projet'!$B$62,AI67+AH68-AQ67)))</f>
        <v>728.99999999999989</v>
      </c>
      <c r="AJ68" s="13">
        <f>AI68*VLOOKUP('Données projet'!$B$10,Paramètres!$A$1:$I$89,3,0)*VLOOKUP('Données projet'!$B$10,Paramètres!$A$1:$I$89,5,0)</f>
        <v>360.12599999999998</v>
      </c>
      <c r="AK68" s="13">
        <f t="shared" si="35"/>
        <v>83.644086208312586</v>
      </c>
      <c r="AL68" s="20">
        <f t="shared" ref="AL68:AL131" si="58">(AJ68+AK68)*0.475*44/12</f>
        <v>772.89956681281103</v>
      </c>
      <c r="AM68" s="59">
        <f t="shared" ref="AM68:AM131" si="59">AL68+(AD68+AE68)*44/12</f>
        <v>1066.2329001461444</v>
      </c>
      <c r="AN68" s="59">
        <f ca="1">AVERAGE(OFFSET($AM$3,0,0,'Données projet'!$E$10+1,1))-AVERAGE(OFFSET($H$3,0,0,'Données projet'!$E$10+1,1))</f>
        <v>396.27049617044378</v>
      </c>
      <c r="AO68" s="59">
        <f t="shared" si="36"/>
        <v>335.2680289568774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56</v>
      </c>
      <c r="AR68" s="16">
        <f>IF(ISNA(VLOOKUP(A68,'Données projet'!$A$61:$I$81,5,0)),0%,VLOOKUP(A68,'Données projet'!$A$61:$I$81,5,0)*VLOOKUP('Données projet'!$B$10,Paramètres!$A$1:$I$89,7,0))</f>
        <v>0.55000000000000004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124.90658333616872</v>
      </c>
      <c r="AV68" s="21">
        <f>EXP(-LN(2)/25)*AV67+(1-EXP(-LN(2)/25))/(LN(2)/25)*Calculateur!AQ68*Calculateur!AS68*VLOOKUP('Données projet'!$B$10,Paramètres!$A$1:$I$89,3,0)*0.475*44/12</f>
        <v>17.812715642908131</v>
      </c>
      <c r="AW68" s="21">
        <f>EXP(-LN(2)/2)*AW67+(1-EXP(-LN(2)/2))/(LN(2)/2)*AQ68*AT68*VLOOKUP('Données projet'!$B$10,Paramètres!$A$1:$I$89,3,0)*0.475*44/12</f>
        <v>2.074484845202599E-6</v>
      </c>
      <c r="AX68" s="21">
        <f t="shared" ref="AX68:AX131" si="60">SUM(AU68:AW68)</f>
        <v>142.71930105356171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294</v>
      </c>
      <c r="BB68" s="12">
        <f>VLOOKUP(A68,'Données projet'!$A$87:$I$107,9,0)</f>
        <v>10.4</v>
      </c>
      <c r="BC68" s="12">
        <f t="array" ref="BC68">INDEX(BB:BB,MIN(IF(ISNUMBER(BB68:BB264),ROW(BB68:BB264),"")))</f>
        <v>10.4</v>
      </c>
      <c r="BD68" s="12">
        <f>IF('Données projet'!$A$88&gt;35,BD67+BC68-BL67,IF(A68&lt;'Données projet'!$A$88,$BA$205^A68,IF(A68='Données projet'!$A$88,'Données projet'!$B$88,BD67+BC68-BL67)))</f>
        <v>293.99999999999994</v>
      </c>
      <c r="BE68" s="13">
        <f>BD68*VLOOKUP('Données projet'!$B$11,Paramètres!$A$1:$I$89,3,0)*VLOOKUP('Données projet'!$B$11,Paramètres!$A$1:$I$89,5,0)</f>
        <v>252.25199999999998</v>
      </c>
      <c r="BF68" s="13">
        <f t="shared" si="37"/>
        <v>61.067920784150822</v>
      </c>
      <c r="BG68" s="20">
        <f t="shared" ref="BG68:BG131" si="61">(BE68+BF68)*0.475*44/12</f>
        <v>545.69886203239594</v>
      </c>
      <c r="BH68" s="59">
        <f t="shared" ref="BH68:BH131" si="62">BG68+(AY68+AZ68)*44/12</f>
        <v>839.03219536572919</v>
      </c>
      <c r="BI68" s="59">
        <f ca="1">AVERAGE(OFFSET($BH$3,0,0,'Données projet'!$E$11+1,1))-AVERAGE(OFFSET($H$3,0,0,'Données projet'!$E$11+1,1))</f>
        <v>352.61091660077574</v>
      </c>
      <c r="BJ68" s="59">
        <f t="shared" si="38"/>
        <v>186.48649111821521</v>
      </c>
      <c r="BK68" s="15">
        <f>IF(ISNA(VLOOKUP(A68,'Données projet'!$A$87:$I$107,3,0)),0,VLOOKUP(A68,'Données projet'!$A$87:$I$107,3,0))</f>
        <v>9</v>
      </c>
      <c r="BL68" s="15">
        <f>IF(ISNA(VLOOKUP(A68,'Données projet'!$A$87:$I$107,4,0)),0,VLOOKUP(A68,'Données projet'!$A$87:$I$107,4,0))</f>
        <v>28</v>
      </c>
      <c r="BM68" s="16">
        <f>IF(ISNA(VLOOKUP(A68,'Données projet'!$A$87:$I$107,5,0)),0%,VLOOKUP(A68,'Données projet'!$A$87:$I$107,5,0)*VLOOKUP('Données projet'!$B$11,Paramètres!$A$1:$I$89,7,0))</f>
        <v>0.53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74.650996461554115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74.650996461554115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255</v>
      </c>
      <c r="BW68" s="12">
        <f>VLOOKUP(A68,'Données projet'!$A$113:$I$133,9,0)</f>
        <v>4.4000000000000004</v>
      </c>
      <c r="BX68" s="12">
        <f t="array" ref="BX68">INDEX(BW:BW,MIN(IF(ISNUMBER(BW68:BW264),ROW(BW68:BW264),"")))</f>
        <v>4.4000000000000004</v>
      </c>
      <c r="BY68" s="12">
        <f>IF('Données projet'!$A$114&gt;35,BY67+BX68-CG67,IF(A68&lt;'Données projet'!$A$114,$BV$205^A68,IF(A68='Données projet'!$A$114,'Données projet'!$B$114,BY67+BX68-CG67)))</f>
        <v>254.99999999999986</v>
      </c>
      <c r="BZ68" s="13">
        <f>BY68*VLOOKUP('Données projet'!$B$12,Paramètres!$A$1:$I$89,3,0)*VLOOKUP('Données projet'!$B$12,Paramètres!$A$1:$I$89,5,0)</f>
        <v>202.8779999999999</v>
      </c>
      <c r="CA68" s="13">
        <f t="shared" si="39"/>
        <v>50.376138116990084</v>
      </c>
      <c r="CB68" s="20">
        <f t="shared" ref="CB68:CB131" si="64">(BZ68+CA68)*0.475*44/12</f>
        <v>441.08429055375751</v>
      </c>
      <c r="CC68" s="59">
        <f t="shared" ref="CC68:CC131" si="65">CB68+(BT68+BU68)*44/12</f>
        <v>734.41762388709083</v>
      </c>
      <c r="CD68" s="59">
        <f ca="1">AVERAGE(OFFSET($CC$3,0,0,'Données projet'!$E$12+1,1))-AVERAGE(OFFSET($H$3,0,0,'Données projet'!$E$12+1,1))</f>
        <v>225.2323446080772</v>
      </c>
      <c r="CE68" s="59">
        <f t="shared" si="40"/>
        <v>222.29030402759292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11</v>
      </c>
      <c r="CH68" s="16">
        <f>IF(ISNA(VLOOKUP(A68,'Données projet'!$A$113:$I$133,5,0)),0%,VLOOKUP(A68,'Données projet'!$A$113:$I$133,5,0)*VLOOKUP('Données projet'!$B$12,Paramètres!$A$1:$I$89,7,0))</f>
        <v>0.53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43.114517337362628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43.114517337362628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202</v>
      </c>
      <c r="CR68" s="12">
        <f>VLOOKUP(A68,'Données projet'!$A$139:$I$159,9,0)</f>
        <v>3.4</v>
      </c>
      <c r="CS68" s="12">
        <f t="array" ref="CS68">INDEX(CR:CR,MIN(IF(ISNUMBER(CR68:CR264),ROW(CR68:CR264),"")))</f>
        <v>3.4</v>
      </c>
      <c r="CT68" s="12">
        <f>IF('Données projet'!$A$140&gt;35,CT67+CS68-DB67,IF(A68&lt;'Données projet'!$A$140,$CQ$205^A68,IF(A68='Données projet'!$A$140,'Données projet'!$B$140,CT67+CS68-DB67)))</f>
        <v>202.00000000000003</v>
      </c>
      <c r="CU68" s="17">
        <f>CT68*VLOOKUP('Données projet'!$B$13,Paramètres!$A$1:$I$89,3,0)*VLOOKUP('Données projet'!$B$13,Paramètres!$A$1:$I$89,5,0)</f>
        <v>195.37440000000004</v>
      </c>
      <c r="CV68" s="13">
        <f t="shared" si="41"/>
        <v>48.726220575731695</v>
      </c>
      <c r="CW68" s="20">
        <f t="shared" ref="CW68:CW131" si="67">(CU68+CV68)*0.475*44/12</f>
        <v>425.1419141693994</v>
      </c>
      <c r="CX68" s="59">
        <f t="shared" ref="CX68:CX131" si="68">CW68+(CO68+CP68)*44/12</f>
        <v>718.47524750273271</v>
      </c>
      <c r="CY68" s="59">
        <f ca="1">AVERAGE(OFFSET($CX$3,0,0,'Données projet'!$E$13+1,1))-AVERAGE(OFFSET($H$3,0,0,'Données projet'!$E$13+1,1))</f>
        <v>212.32823943192528</v>
      </c>
      <c r="CZ68" s="59">
        <f t="shared" si="42"/>
        <v>209.60834138503003</v>
      </c>
      <c r="DA68" s="15">
        <f>IF(ISNA(VLOOKUP(A68,'Données projet'!$A$139:$I$159,3,0)),0,VLOOKUP(A68,'Données projet'!$A$139:$I$159,3,0))</f>
        <v>10</v>
      </c>
      <c r="DB68" s="15">
        <f>IF(ISNA(VLOOKUP(A68,'Données projet'!$A$139:$I$159,4,0)),0,VLOOKUP(A68,'Données projet'!$A$139:$I$159,4,0))</f>
        <v>8</v>
      </c>
      <c r="DC68" s="16">
        <f>IF(ISNA(VLOOKUP(A68,'Données projet'!$A$139:$I$159,5,0)),0%,VLOOKUP(A68,'Données projet'!$A$139:$I$159,5,0)*VLOOKUP('Données projet'!$B$13,Paramètres!$A$1:$I$89,7,0))</f>
        <v>0.43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32.799259907920664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32.799259907920664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276</v>
      </c>
      <c r="DM68" s="12">
        <f>VLOOKUP(A68,'Données projet'!$A$165:$I$185,9,0)</f>
        <v>6.4</v>
      </c>
      <c r="DN68" s="12">
        <f t="array" ref="DN68">INDEX(DM:DM,MIN(IF(ISNUMBER(DM68:DM264),ROW(DM68:DM264),"")))</f>
        <v>6.4</v>
      </c>
      <c r="DO68" s="12">
        <f>IF('Données projet'!$A$166&gt;35,DO67+DN68-DW67,IF(A68&lt;'Données projet'!$A$166,$DL$205^A68,IF(A68='Données projet'!$A$166,'Données projet'!$B$166,DO67+DN68-DW67)))</f>
        <v>275.99999999999977</v>
      </c>
      <c r="DP68" s="17">
        <f>DO68*VLOOKUP('Données projet'!$B$14,Paramètres!$A$1:$I$89,3,0)*VLOOKUP('Données projet'!$B$14,Paramètres!$A$1:$I$89,5,0)</f>
        <v>215.27999999999983</v>
      </c>
      <c r="DQ68" s="13">
        <f t="shared" si="43"/>
        <v>53.087725740853138</v>
      </c>
      <c r="DR68" s="20">
        <f t="shared" ref="DR68:DR131" si="70">(DP68+DQ68)*0.475*44/12</f>
        <v>467.40712233198559</v>
      </c>
      <c r="DS68" s="59">
        <f t="shared" ref="DS68:DS131" si="71">DR68+(DJ68+DK68)*44/12</f>
        <v>760.7404556653189</v>
      </c>
      <c r="DT68" s="59">
        <f ca="1">AVERAGE(OFFSET($DS$3,0,0,'Données projet'!$E$14+1,1))-AVERAGE(OFFSET($H$3,0,0,'Données projet'!$E$14+1,1))</f>
        <v>215.84581110302656</v>
      </c>
      <c r="DU68" s="59">
        <f t="shared" si="44"/>
        <v>193.88588526156104</v>
      </c>
      <c r="DV68" s="15">
        <f>IF(ISNA(VLOOKUP(A68,'Données projet'!$A$165:$I$185,3,0)),0,VLOOKUP(A68,'Données projet'!$A$165:$I$185,3,0))</f>
        <v>9</v>
      </c>
      <c r="DW68" s="15">
        <f>IF(ISNA(VLOOKUP(A68,'Données projet'!$A$165:$I$185,4,0)),0,VLOOKUP(A68,'Données projet'!$A$165:$I$185,4,0))</f>
        <v>26</v>
      </c>
      <c r="DX68" s="16">
        <f>IF(ISNA(VLOOKUP(A68,'Données projet'!$A$165:$I$185,5,0)),0%,VLOOKUP(A68,'Données projet'!$A$165:$I$185,5,0)*VLOOKUP('Données projet'!$B$14,Paramètres!$A$1:$I$89,7,0))</f>
        <v>0.43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56.589644579165622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56.589644579165622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6">
        <f t="shared" si="56"/>
        <v>365.66192640755855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401</v>
      </c>
      <c r="O69" s="13">
        <f>N69*VLOOKUP('Données projet'!$B$9,Paramètres!$A$1:$I$89,3,0)*VLOOKUP('Données projet'!$B$9,Paramètres!$A$1:$I$89,5,0)</f>
        <v>250.22399999999999</v>
      </c>
      <c r="P69" s="13">
        <f t="shared" ref="P69:P132" si="87">EXP(-1.0587+0.8836*LN(O69)+0.284)</f>
        <v>60.633904580527918</v>
      </c>
      <c r="Q69" s="20">
        <f t="shared" si="54"/>
        <v>541.41085047775289</v>
      </c>
      <c r="R69" s="59">
        <f t="shared" si="55"/>
        <v>834.74418381108626</v>
      </c>
      <c r="S69" s="59">
        <f ca="1">AVERAGE(OFFSET($R$3,0,0,'Données projet'!$E$9+1,1))-AVERAGE(OFFSET($H$3,0,0,'Données projet'!$E$9+1,1))</f>
        <v>269.77739619445515</v>
      </c>
      <c r="T69" s="59">
        <f t="shared" ref="T69:T132" si="88">$T$3</f>
        <v>347.56964743629885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67.998741160408414</v>
      </c>
      <c r="AA69" s="21">
        <f>EXP(-LN(2)/25)*AA68+(1-EXP(-LN(2)/25))/(LN(2)/25)*Calculateur!V69*Calculateur!X69*VLOOKUP('Données projet'!$B$9,Paramètres!$A$1:$I$89,3,0)*0.475*44/12</f>
        <v>33.813172383852333</v>
      </c>
      <c r="AB69" s="21">
        <f>EXP(-LN(2)/2)*AB68+(1-EXP(-LN(2)/2))/(LN(2)/2)*V69*Y69*VLOOKUP('Données projet'!$B$9,Paramètres!$A$1:$I$89,3,0)*0.475*44/12</f>
        <v>9.4750770671794336E-8</v>
      </c>
      <c r="AC69" s="22">
        <f t="shared" si="57"/>
        <v>101.81191363901152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19.600000000000001</v>
      </c>
      <c r="AI69" s="13">
        <f>IF('Données projet'!$A$62&gt;35,AI68+AH69-AQ68,IF(A69&lt;'Données projet'!$A$62,$AF$205^A69,IF(A69='Données projet'!$A$62,'Données projet'!$B$62,AI68+AH69-AQ68)))</f>
        <v>692.59999999999991</v>
      </c>
      <c r="AJ69" s="13">
        <f>AI69*VLOOKUP('Données projet'!$B$10,Paramètres!$A$1:$I$89,3,0)*VLOOKUP('Données projet'!$B$10,Paramètres!$A$1:$I$89,5,0)</f>
        <v>342.14440000000002</v>
      </c>
      <c r="AK69" s="13">
        <f t="shared" ref="AK69:AK132" si="89">EXP(-1.0587+0.8836*LN(AJ69)+0.284)</f>
        <v>79.942830789684962</v>
      </c>
      <c r="AL69" s="20">
        <f t="shared" si="58"/>
        <v>735.13526029203467</v>
      </c>
      <c r="AM69" s="59">
        <f t="shared" si="59"/>
        <v>1028.4685936253679</v>
      </c>
      <c r="AN69" s="59">
        <f ca="1">AVERAGE(OFFSET($AM$3,0,0,'Données projet'!$E$10+1,1))-AVERAGE(OFFSET($H$3,0,0,'Données projet'!$E$10+1,1))</f>
        <v>396.27049617044378</v>
      </c>
      <c r="AO69" s="59">
        <f t="shared" ref="AO69:AO132" si="90">$AO$3</f>
        <v>335.2680289568774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122.45724142243959</v>
      </c>
      <c r="AV69" s="21">
        <f>EXP(-LN(2)/25)*AV68+(1-EXP(-LN(2)/25))/(LN(2)/25)*Calculateur!AQ69*Calculateur!AS69*VLOOKUP('Données projet'!$B$10,Paramètres!$A$1:$I$89,3,0)*0.475*44/12</f>
        <v>17.325625996922803</v>
      </c>
      <c r="AW69" s="21">
        <f>EXP(-LN(2)/2)*AW68+(1-EXP(-LN(2)/2))/(LN(2)/2)*AQ69*AT69*VLOOKUP('Données projet'!$B$10,Paramètres!$A$1:$I$89,3,0)*0.475*44/12</f>
        <v>1.4668823015114831E-6</v>
      </c>
      <c r="AX69" s="21">
        <f t="shared" si="60"/>
        <v>139.7828688862447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10</v>
      </c>
      <c r="BD69" s="12">
        <f>IF('Données projet'!$A$88&gt;35,BD68+BC69-BL68,IF(A69&lt;'Données projet'!$A$88,$BA$205^A69,IF(A69='Données projet'!$A$88,'Données projet'!$B$88,BD68+BC69-BL68)))</f>
        <v>275.99999999999994</v>
      </c>
      <c r="BE69" s="13">
        <f>BD69*VLOOKUP('Données projet'!$B$11,Paramètres!$A$1:$I$89,3,0)*VLOOKUP('Données projet'!$B$11,Paramètres!$A$1:$I$89,5,0)</f>
        <v>236.80799999999999</v>
      </c>
      <c r="BF69" s="13">
        <f t="shared" ref="BF69:BF132" si="91">EXP(-1.0587+0.8836*LN(BE69)+0.284)</f>
        <v>57.752221878398714</v>
      </c>
      <c r="BG69" s="20">
        <f t="shared" si="61"/>
        <v>513.02571977154435</v>
      </c>
      <c r="BH69" s="59">
        <f t="shared" si="62"/>
        <v>806.3590531048776</v>
      </c>
      <c r="BI69" s="59">
        <f ca="1">AVERAGE(OFFSET($BH$3,0,0,'Données projet'!$E$11+1,1))-AVERAGE(OFFSET($H$3,0,0,'Données projet'!$E$11+1,1))</f>
        <v>352.61091660077574</v>
      </c>
      <c r="BJ69" s="59">
        <f t="shared" ref="BJ69:BJ132" si="92">$BJ$3</f>
        <v>186.48649111821521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73.187135953554915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73.187135953554915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3.8</v>
      </c>
      <c r="BY69" s="12">
        <f>IF('Données projet'!$A$114&gt;35,BY68+BX69-CG68,IF(A69&lt;'Données projet'!$A$114,$BV$205^A69,IF(A69='Données projet'!$A$114,'Données projet'!$B$114,BY68+BX69-CG68)))</f>
        <v>247.79999999999984</v>
      </c>
      <c r="BZ69" s="13">
        <f>BY69*VLOOKUP('Données projet'!$B$12,Paramètres!$A$1:$I$89,3,0)*VLOOKUP('Données projet'!$B$12,Paramètres!$A$1:$I$89,5,0)</f>
        <v>197.14967999999988</v>
      </c>
      <c r="CA69" s="13">
        <f t="shared" ref="CA69:CA132" si="93">EXP(-1.0587+0.8836*LN(BZ69)+0.284)</f>
        <v>49.11723130862363</v>
      </c>
      <c r="CB69" s="20">
        <f t="shared" si="64"/>
        <v>428.91487052918592</v>
      </c>
      <c r="CC69" s="59">
        <f t="shared" si="65"/>
        <v>722.24820386251918</v>
      </c>
      <c r="CD69" s="59">
        <f ca="1">AVERAGE(OFFSET($CC$3,0,0,'Données projet'!$E$12+1,1))-AVERAGE(OFFSET($H$3,0,0,'Données projet'!$E$12+1,1))</f>
        <v>225.2323446080772</v>
      </c>
      <c r="CE69" s="59">
        <f t="shared" ref="CE69:CE132" si="94">$CE$3</f>
        <v>222.29030402759292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42.269067949635883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42.269067949635883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3</v>
      </c>
      <c r="CT69" s="12">
        <f>IF('Données projet'!$A$140&gt;35,CT68+CS69-DB68,IF(A69&lt;'Données projet'!$A$140,$CQ$205^A69,IF(A69='Données projet'!$A$140,'Données projet'!$B$140,CT68+CS69-DB68)))</f>
        <v>197.00000000000003</v>
      </c>
      <c r="CU69" s="17">
        <f>CT69*VLOOKUP('Données projet'!$B$13,Paramètres!$A$1:$I$89,3,0)*VLOOKUP('Données projet'!$B$13,Paramètres!$A$1:$I$89,5,0)</f>
        <v>190.53840000000002</v>
      </c>
      <c r="CV69" s="13">
        <f t="shared" ref="CV69:CV132" si="95">EXP(-1.0587+0.8836*LN(CU69)+0.284)</f>
        <v>47.658965836673829</v>
      </c>
      <c r="CW69" s="20">
        <f t="shared" si="67"/>
        <v>414.86041216554025</v>
      </c>
      <c r="CX69" s="59">
        <f t="shared" si="68"/>
        <v>708.19374549887357</v>
      </c>
      <c r="CY69" s="59">
        <f ca="1">AVERAGE(OFFSET($CX$3,0,0,'Données projet'!$E$13+1,1))-AVERAGE(OFFSET($H$3,0,0,'Données projet'!$E$13+1,1))</f>
        <v>212.32823943192528</v>
      </c>
      <c r="CZ69" s="59">
        <f t="shared" ref="CZ69:CZ132" si="96">$CZ$3</f>
        <v>209.60834138503003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32.156086426699495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32.156086426699495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6</v>
      </c>
      <c r="DO69" s="12">
        <f>IF('Données projet'!$A$166&gt;35,DO68+DN69-DW68,IF(A69&lt;'Données projet'!$A$166,$DL$205^A69,IF(A69='Données projet'!$A$166,'Données projet'!$B$166,DO68+DN69-DW68)))</f>
        <v>255.99999999999977</v>
      </c>
      <c r="DP69" s="17">
        <f>DO69*VLOOKUP('Données projet'!$B$14,Paramètres!$A$1:$I$89,3,0)*VLOOKUP('Données projet'!$B$14,Paramètres!$A$1:$I$89,5,0)</f>
        <v>199.67999999999984</v>
      </c>
      <c r="DQ69" s="13">
        <f t="shared" ref="DQ69:DQ132" si="97">EXP(-1.0587+0.8836*LN(DP69)+0.284)</f>
        <v>49.673834858130768</v>
      </c>
      <c r="DR69" s="20">
        <f t="shared" si="70"/>
        <v>434.29126237791075</v>
      </c>
      <c r="DS69" s="59">
        <f t="shared" si="71"/>
        <v>727.62459571124407</v>
      </c>
      <c r="DT69" s="59">
        <f ca="1">AVERAGE(OFFSET($DS$3,0,0,'Données projet'!$E$14+1,1))-AVERAGE(OFFSET($H$3,0,0,'Données projet'!$E$14+1,1))</f>
        <v>215.84581110302656</v>
      </c>
      <c r="DU69" s="59">
        <f t="shared" ref="DU69:DU132" si="98">$DU$3</f>
        <v>193.88588526156104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55.479956165243181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55.479956165243181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6">
        <f t="shared" si="56"/>
        <v>366.72756595876103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401</v>
      </c>
      <c r="O70" s="13">
        <f>N70*VLOOKUP('Données projet'!$B$9,Paramètres!$A$1:$I$89,3,0)*VLOOKUP('Données projet'!$B$9,Paramètres!$A$1:$I$89,5,0)</f>
        <v>250.22399999999999</v>
      </c>
      <c r="P70" s="13">
        <f t="shared" si="87"/>
        <v>60.633904580527918</v>
      </c>
      <c r="Q70" s="20">
        <f t="shared" si="54"/>
        <v>541.41085047775289</v>
      </c>
      <c r="R70" s="59">
        <f t="shared" si="55"/>
        <v>834.74418381108626</v>
      </c>
      <c r="S70" s="59">
        <f ca="1">AVERAGE(OFFSET($R$3,0,0,'Données projet'!$E$9+1,1))-AVERAGE(OFFSET($H$3,0,0,'Données projet'!$E$9+1,1))</f>
        <v>269.77739619445515</v>
      </c>
      <c r="T70" s="59">
        <f t="shared" si="88"/>
        <v>347.56964743629885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66.665327321389583</v>
      </c>
      <c r="AA70" s="21">
        <f>EXP(-LN(2)/25)*AA69+(1-EXP(-LN(2)/25))/(LN(2)/25)*Calculateur!V70*Calculateur!X70*VLOOKUP('Données projet'!$B$9,Paramètres!$A$1:$I$89,3,0)*0.475*44/12</f>
        <v>32.888549406858438</v>
      </c>
      <c r="AB70" s="21">
        <f>EXP(-LN(2)/2)*AB69+(1-EXP(-LN(2)/2))/(LN(2)/2)*V70*Y70*VLOOKUP('Données projet'!$B$9,Paramètres!$A$1:$I$89,3,0)*0.475*44/12</f>
        <v>6.6998912464677221E-8</v>
      </c>
      <c r="AC70" s="22">
        <f t="shared" si="57"/>
        <v>99.553876795246921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19.600000000000001</v>
      </c>
      <c r="AI70" s="13">
        <f>IF('Données projet'!$A$62&gt;35,AI69+AH70-AQ69,IF(A70&lt;'Données projet'!$A$62,$AF$205^A70,IF(A70='Données projet'!$A$62,'Données projet'!$B$62,AI69+AH70-AQ69)))</f>
        <v>712.19999999999993</v>
      </c>
      <c r="AJ70" s="13">
        <f>AI70*VLOOKUP('Données projet'!$B$10,Paramètres!$A$1:$I$89,3,0)*VLOOKUP('Données projet'!$B$10,Paramètres!$A$1:$I$89,5,0)</f>
        <v>351.82679999999999</v>
      </c>
      <c r="AK70" s="13">
        <f t="shared" si="89"/>
        <v>81.938554286122496</v>
      </c>
      <c r="AL70" s="20">
        <f t="shared" si="58"/>
        <v>755.47465871499662</v>
      </c>
      <c r="AM70" s="59">
        <f t="shared" si="59"/>
        <v>1048.8079920483299</v>
      </c>
      <c r="AN70" s="59">
        <f ca="1">AVERAGE(OFFSET($AM$3,0,0,'Données projet'!$E$10+1,1))-AVERAGE(OFFSET($H$3,0,0,'Données projet'!$E$10+1,1))</f>
        <v>396.27049617044378</v>
      </c>
      <c r="AO70" s="59">
        <f t="shared" si="90"/>
        <v>335.2680289568774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120.05592960968764</v>
      </c>
      <c r="AV70" s="21">
        <f>EXP(-LN(2)/25)*AV69+(1-EXP(-LN(2)/25))/(LN(2)/25)*Calculateur!AQ70*Calculateur!AS70*VLOOKUP('Données projet'!$B$10,Paramètres!$A$1:$I$89,3,0)*0.475*44/12</f>
        <v>16.851855842921875</v>
      </c>
      <c r="AW70" s="21">
        <f>EXP(-LN(2)/2)*AW69+(1-EXP(-LN(2)/2))/(LN(2)/2)*AQ70*AT70*VLOOKUP('Données projet'!$B$10,Paramètres!$A$1:$I$89,3,0)*0.475*44/12</f>
        <v>1.0372424226012995E-6</v>
      </c>
      <c r="AX70" s="21">
        <f t="shared" si="60"/>
        <v>136.90778648985193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10</v>
      </c>
      <c r="BD70" s="12">
        <f>IF('Données projet'!$A$88&gt;35,BD69+BC70-BL69,IF(A70&lt;'Données projet'!$A$88,$BA$205^A70,IF(A70='Données projet'!$A$88,'Données projet'!$B$88,BD69+BC70-BL69)))</f>
        <v>285.99999999999994</v>
      </c>
      <c r="BE70" s="13">
        <f>BD70*VLOOKUP('Données projet'!$B$11,Paramètres!$A$1:$I$89,3,0)*VLOOKUP('Données projet'!$B$11,Paramètres!$A$1:$I$89,5,0)</f>
        <v>245.38799999999998</v>
      </c>
      <c r="BF70" s="13">
        <f t="shared" si="91"/>
        <v>59.597282764919569</v>
      </c>
      <c r="BG70" s="20">
        <f t="shared" si="61"/>
        <v>531.18270081556818</v>
      </c>
      <c r="BH70" s="59">
        <f t="shared" si="62"/>
        <v>824.51603414890155</v>
      </c>
      <c r="BI70" s="59">
        <f ca="1">AVERAGE(OFFSET($BH$3,0,0,'Données projet'!$E$11+1,1))-AVERAGE(OFFSET($H$3,0,0,'Données projet'!$E$11+1,1))</f>
        <v>352.61091660077574</v>
      </c>
      <c r="BJ70" s="59">
        <f t="shared" si="92"/>
        <v>186.48649111821521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71.751980857250828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71.751980857250828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3.8</v>
      </c>
      <c r="BY70" s="12">
        <f>IF('Données projet'!$A$114&gt;35,BY69+BX70-CG69,IF(A70&lt;'Données projet'!$A$114,$BV$205^A70,IF(A70='Données projet'!$A$114,'Données projet'!$B$114,BY69+BX70-CG69)))</f>
        <v>251.59999999999985</v>
      </c>
      <c r="BZ70" s="13">
        <f>BY70*VLOOKUP('Données projet'!$B$12,Paramètres!$A$1:$I$89,3,0)*VLOOKUP('Données projet'!$B$12,Paramètres!$A$1:$I$89,5,0)</f>
        <v>200.17295999999988</v>
      </c>
      <c r="CA70" s="13">
        <f t="shared" si="93"/>
        <v>49.782177185855986</v>
      </c>
      <c r="CB70" s="20">
        <f t="shared" si="64"/>
        <v>435.33853059869892</v>
      </c>
      <c r="CC70" s="59">
        <f t="shared" si="65"/>
        <v>728.67186393203224</v>
      </c>
      <c r="CD70" s="59">
        <f ca="1">AVERAGE(OFFSET($CC$3,0,0,'Données projet'!$E$12+1,1))-AVERAGE(OFFSET($H$3,0,0,'Données projet'!$E$12+1,1))</f>
        <v>225.2323446080772</v>
      </c>
      <c r="CE70" s="59">
        <f t="shared" si="94"/>
        <v>222.29030402759292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41.440197308729253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41.440197308729253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3</v>
      </c>
      <c r="CT70" s="12">
        <f>IF('Données projet'!$A$140&gt;35,CT69+CS70-DB69,IF(A70&lt;'Données projet'!$A$140,$CQ$205^A70,IF(A70='Données projet'!$A$140,'Données projet'!$B$140,CT69+CS70-DB69)))</f>
        <v>200.00000000000003</v>
      </c>
      <c r="CU70" s="17">
        <f>CT70*VLOOKUP('Données projet'!$B$13,Paramètres!$A$1:$I$89,3,0)*VLOOKUP('Données projet'!$B$13,Paramètres!$A$1:$I$89,5,0)</f>
        <v>193.44000000000003</v>
      </c>
      <c r="CV70" s="13">
        <f t="shared" si="95"/>
        <v>48.299691961776745</v>
      </c>
      <c r="CW70" s="20">
        <f t="shared" si="67"/>
        <v>421.02996350009448</v>
      </c>
      <c r="CX70" s="59">
        <f t="shared" si="68"/>
        <v>714.36329683342774</v>
      </c>
      <c r="CY70" s="59">
        <f ca="1">AVERAGE(OFFSET($CX$3,0,0,'Données projet'!$E$13+1,1))-AVERAGE(OFFSET($H$3,0,0,'Données projet'!$E$13+1,1))</f>
        <v>212.32823943192528</v>
      </c>
      <c r="CZ70" s="59">
        <f t="shared" si="96"/>
        <v>209.60834138503003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31.525525185147988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31.525525185147988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6</v>
      </c>
      <c r="DO70" s="12">
        <f>IF('Données projet'!$A$166&gt;35,DO69+DN70-DW69,IF(A70&lt;'Données projet'!$A$166,$DL$205^A70,IF(A70='Données projet'!$A$166,'Données projet'!$B$166,DO69+DN70-DW69)))</f>
        <v>261.99999999999977</v>
      </c>
      <c r="DP70" s="17">
        <f>DO70*VLOOKUP('Données projet'!$B$14,Paramètres!$A$1:$I$89,3,0)*VLOOKUP('Données projet'!$B$14,Paramètres!$A$1:$I$89,5,0)</f>
        <v>204.35999999999984</v>
      </c>
      <c r="DQ70" s="13">
        <f t="shared" si="97"/>
        <v>50.701157790815166</v>
      </c>
      <c r="DR70" s="20">
        <f t="shared" si="70"/>
        <v>444.23151648566937</v>
      </c>
      <c r="DS70" s="59">
        <f t="shared" si="71"/>
        <v>737.56484981900269</v>
      </c>
      <c r="DT70" s="59">
        <f ca="1">AVERAGE(OFFSET($DS$3,0,0,'Données projet'!$E$14+1,1))-AVERAGE(OFFSET($H$3,0,0,'Données projet'!$E$14+1,1))</f>
        <v>215.84581110302656</v>
      </c>
      <c r="DU70" s="59">
        <f t="shared" si="98"/>
        <v>193.88588526156104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54.392028064274655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54.392028064274655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6">
        <f t="shared" si="56"/>
        <v>367.7928099081056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401</v>
      </c>
      <c r="O71" s="13">
        <f>N71*VLOOKUP('Données projet'!$B$9,Paramètres!$A$1:$I$89,3,0)*VLOOKUP('Données projet'!$B$9,Paramètres!$A$1:$I$89,5,0)</f>
        <v>250.22399999999999</v>
      </c>
      <c r="P71" s="13">
        <f t="shared" si="87"/>
        <v>60.633904580527918</v>
      </c>
      <c r="Q71" s="20">
        <f t="shared" si="54"/>
        <v>541.41085047775289</v>
      </c>
      <c r="R71" s="59">
        <f t="shared" si="55"/>
        <v>834.74418381108626</v>
      </c>
      <c r="S71" s="59">
        <f ca="1">AVERAGE(OFFSET($R$3,0,0,'Données projet'!$E$9+1,1))-AVERAGE(OFFSET($H$3,0,0,'Données projet'!$E$9+1,1))</f>
        <v>269.77739619445515</v>
      </c>
      <c r="T71" s="59">
        <f t="shared" si="88"/>
        <v>347.56964743629885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65.358060914451784</v>
      </c>
      <c r="AA71" s="21">
        <f>EXP(-LN(2)/25)*AA70+(1-EXP(-LN(2)/25))/(LN(2)/25)*Calculateur!V71*Calculateur!X71*VLOOKUP('Données projet'!$B$9,Paramètres!$A$1:$I$89,3,0)*0.475*44/12</f>
        <v>31.989210293794248</v>
      </c>
      <c r="AB71" s="21">
        <f>EXP(-LN(2)/2)*AB70+(1-EXP(-LN(2)/2))/(LN(2)/2)*V71*Y71*VLOOKUP('Données projet'!$B$9,Paramètres!$A$1:$I$89,3,0)*0.475*44/12</f>
        <v>4.7375385335897168E-8</v>
      </c>
      <c r="AC71" s="22">
        <f t="shared" si="57"/>
        <v>97.347271255621408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19.600000000000001</v>
      </c>
      <c r="AI71" s="13">
        <f>IF('Données projet'!$A$62&gt;35,AI70+AH71-AQ70,IF(A71&lt;'Données projet'!$A$62,$AF$205^A71,IF(A71='Données projet'!$A$62,'Données projet'!$B$62,AI70+AH71-AQ70)))</f>
        <v>731.8</v>
      </c>
      <c r="AJ71" s="13">
        <f>AI71*VLOOKUP('Données projet'!$B$10,Paramètres!$A$1:$I$89,3,0)*VLOOKUP('Données projet'!$B$10,Paramètres!$A$1:$I$89,5,0)</f>
        <v>361.50920000000002</v>
      </c>
      <c r="AK71" s="13">
        <f t="shared" si="89"/>
        <v>83.927894119326041</v>
      </c>
      <c r="AL71" s="20">
        <f t="shared" si="58"/>
        <v>775.80293892449288</v>
      </c>
      <c r="AM71" s="59">
        <f t="shared" si="59"/>
        <v>1069.1362722578262</v>
      </c>
      <c r="AN71" s="59">
        <f ca="1">AVERAGE(OFFSET($AM$3,0,0,'Données projet'!$E$10+1,1))-AVERAGE(OFFSET($H$3,0,0,'Données projet'!$E$10+1,1))</f>
        <v>396.27049617044378</v>
      </c>
      <c r="AO71" s="59">
        <f t="shared" si="90"/>
        <v>335.2680289568774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117.70170605692817</v>
      </c>
      <c r="AV71" s="21">
        <f>EXP(-LN(2)/25)*AV70+(1-EXP(-LN(2)/25))/(LN(2)/25)*Calculateur!AQ71*Calculateur!AS71*VLOOKUP('Données projet'!$B$10,Paramètres!$A$1:$I$89,3,0)*0.475*44/12</f>
        <v>16.391040958696593</v>
      </c>
      <c r="AW71" s="21">
        <f>EXP(-LN(2)/2)*AW70+(1-EXP(-LN(2)/2))/(LN(2)/2)*AQ71*AT71*VLOOKUP('Données projet'!$B$10,Paramètres!$A$1:$I$89,3,0)*0.475*44/12</f>
        <v>7.3344115075574156E-7</v>
      </c>
      <c r="AX71" s="21">
        <f t="shared" si="60"/>
        <v>134.09274774906589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10</v>
      </c>
      <c r="BD71" s="12">
        <f>IF('Données projet'!$A$88&gt;35,BD70+BC71-BL70,IF(A71&lt;'Données projet'!$A$88,$BA$205^A71,IF(A71='Données projet'!$A$88,'Données projet'!$B$88,BD70+BC71-BL70)))</f>
        <v>295.99999999999994</v>
      </c>
      <c r="BE71" s="13">
        <f>BD71*VLOOKUP('Données projet'!$B$11,Paramètres!$A$1:$I$89,3,0)*VLOOKUP('Données projet'!$B$11,Paramètres!$A$1:$I$89,5,0)</f>
        <v>253.96799999999999</v>
      </c>
      <c r="BF71" s="13">
        <f t="shared" si="91"/>
        <v>61.434848029666512</v>
      </c>
      <c r="BG71" s="20">
        <f t="shared" si="61"/>
        <v>549.32662698500246</v>
      </c>
      <c r="BH71" s="59">
        <f t="shared" si="62"/>
        <v>842.65996031833583</v>
      </c>
      <c r="BI71" s="59">
        <f ca="1">AVERAGE(OFFSET($BH$3,0,0,'Données projet'!$E$11+1,1))-AVERAGE(OFFSET($H$3,0,0,'Données projet'!$E$11+1,1))</f>
        <v>352.61091660077574</v>
      </c>
      <c r="BJ71" s="59">
        <f t="shared" si="92"/>
        <v>186.48649111821521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70.344968277027093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70.344968277027093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3.8</v>
      </c>
      <c r="BY71" s="12">
        <f>IF('Données projet'!$A$114&gt;35,BY70+BX71-CG70,IF(A71&lt;'Données projet'!$A$114,$BV$205^A71,IF(A71='Données projet'!$A$114,'Données projet'!$B$114,BY70+BX71-CG70)))</f>
        <v>255.39999999999986</v>
      </c>
      <c r="BZ71" s="13">
        <f>BY71*VLOOKUP('Données projet'!$B$12,Paramètres!$A$1:$I$89,3,0)*VLOOKUP('Données projet'!$B$12,Paramètres!$A$1:$I$89,5,0)</f>
        <v>203.1962399999999</v>
      </c>
      <c r="CA71" s="13">
        <f t="shared" si="93"/>
        <v>50.445955049216174</v>
      </c>
      <c r="CB71" s="20">
        <f t="shared" si="64"/>
        <v>441.76015637738465</v>
      </c>
      <c r="CC71" s="59">
        <f t="shared" si="65"/>
        <v>735.0934897107179</v>
      </c>
      <c r="CD71" s="59">
        <f ca="1">AVERAGE(OFFSET($CC$3,0,0,'Données projet'!$E$12+1,1))-AVERAGE(OFFSET($H$3,0,0,'Données projet'!$E$12+1,1))</f>
        <v>225.2323446080772</v>
      </c>
      <c r="CE71" s="59">
        <f t="shared" si="94"/>
        <v>222.29030402759292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40.627580315529627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40.627580315529627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3</v>
      </c>
      <c r="CT71" s="12">
        <f>IF('Données projet'!$A$140&gt;35,CT70+CS71-DB70,IF(A71&lt;'Données projet'!$A$140,$CQ$205^A71,IF(A71='Données projet'!$A$140,'Données projet'!$B$140,CT70+CS71-DB70)))</f>
        <v>203.00000000000003</v>
      </c>
      <c r="CU71" s="17">
        <f>CT71*VLOOKUP('Données projet'!$B$13,Paramètres!$A$1:$I$89,3,0)*VLOOKUP('Données projet'!$B$13,Paramètres!$A$1:$I$89,5,0)</f>
        <v>196.34160000000003</v>
      </c>
      <c r="CV71" s="13">
        <f t="shared" si="95"/>
        <v>48.939300310809159</v>
      </c>
      <c r="CW71" s="20">
        <f t="shared" si="67"/>
        <v>427.19756804132595</v>
      </c>
      <c r="CX71" s="59">
        <f t="shared" si="68"/>
        <v>720.53090137465927</v>
      </c>
      <c r="CY71" s="59">
        <f ca="1">AVERAGE(OFFSET($CX$3,0,0,'Données projet'!$E$13+1,1))-AVERAGE(OFFSET($H$3,0,0,'Données projet'!$E$13+1,1))</f>
        <v>212.32823943192528</v>
      </c>
      <c r="CZ71" s="59">
        <f t="shared" si="96"/>
        <v>209.60834138503003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30.907328864938926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30.907328864938926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6</v>
      </c>
      <c r="DO71" s="12">
        <f>IF('Données projet'!$A$166&gt;35,DO70+DN71-DW70,IF(A71&lt;'Données projet'!$A$166,$DL$205^A71,IF(A71='Données projet'!$A$166,'Données projet'!$B$166,DO70+DN71-DW70)))</f>
        <v>267.99999999999977</v>
      </c>
      <c r="DP71" s="17">
        <f>DO71*VLOOKUP('Données projet'!$B$14,Paramètres!$A$1:$I$89,3,0)*VLOOKUP('Données projet'!$B$14,Paramètres!$A$1:$I$89,5,0)</f>
        <v>209.03999999999982</v>
      </c>
      <c r="DQ71" s="13">
        <f t="shared" si="97"/>
        <v>51.725745635299404</v>
      </c>
      <c r="DR71" s="20">
        <f t="shared" si="70"/>
        <v>454.16700698147952</v>
      </c>
      <c r="DS71" s="59">
        <f t="shared" si="71"/>
        <v>747.50034031481277</v>
      </c>
      <c r="DT71" s="59">
        <f ca="1">AVERAGE(OFFSET($DS$3,0,0,'Données projet'!$E$14+1,1))-AVERAGE(OFFSET($H$3,0,0,'Données projet'!$E$14+1,1))</f>
        <v>215.84581110302656</v>
      </c>
      <c r="DU71" s="59">
        <f t="shared" si="98"/>
        <v>193.88588526156104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53.325433569795507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53.325433569795507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6">
        <f t="shared" si="56"/>
        <v>368.85766474535927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401</v>
      </c>
      <c r="O72" s="13">
        <f>N72*VLOOKUP('Données projet'!$B$9,Paramètres!$A$1:$I$89,3,0)*VLOOKUP('Données projet'!$B$9,Paramètres!$A$1:$I$89,5,0)</f>
        <v>250.22399999999999</v>
      </c>
      <c r="P72" s="13">
        <f t="shared" si="87"/>
        <v>60.633904580527918</v>
      </c>
      <c r="Q72" s="20">
        <f t="shared" si="54"/>
        <v>541.41085047775289</v>
      </c>
      <c r="R72" s="59">
        <f t="shared" si="55"/>
        <v>834.74418381108626</v>
      </c>
      <c r="S72" s="59">
        <f ca="1">AVERAGE(OFFSET($R$3,0,0,'Données projet'!$E$9+1,1))-AVERAGE(OFFSET($H$3,0,0,'Données projet'!$E$9+1,1))</f>
        <v>269.77739619445515</v>
      </c>
      <c r="T72" s="59">
        <f t="shared" si="88"/>
        <v>347.56964743629885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64.076429204400256</v>
      </c>
      <c r="AA72" s="21">
        <f>EXP(-LN(2)/25)*AA71+(1-EXP(-LN(2)/25))/(LN(2)/25)*Calculateur!V72*Calculateur!X72*VLOOKUP('Données projet'!$B$9,Paramètres!$A$1:$I$89,3,0)*0.475*44/12</f>
        <v>31.114463656070988</v>
      </c>
      <c r="AB72" s="21">
        <f>EXP(-LN(2)/2)*AB71+(1-EXP(-LN(2)/2))/(LN(2)/2)*V72*Y72*VLOOKUP('Données projet'!$B$9,Paramètres!$A$1:$I$89,3,0)*0.475*44/12</f>
        <v>3.349945623233861E-8</v>
      </c>
      <c r="AC72" s="22">
        <f t="shared" si="57"/>
        <v>95.190892893970712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19.600000000000001</v>
      </c>
      <c r="AI72" s="13">
        <f>IF('Données projet'!$A$62&gt;35,AI71+AH72-AQ71,IF(A72&lt;'Données projet'!$A$62,$AF$205^A72,IF(A72='Données projet'!$A$62,'Données projet'!$B$62,AI71+AH72-AQ71)))</f>
        <v>751.4</v>
      </c>
      <c r="AJ72" s="13">
        <f>AI72*VLOOKUP('Données projet'!$B$10,Paramètres!$A$1:$I$89,3,0)*VLOOKUP('Données projet'!$B$10,Paramètres!$A$1:$I$89,5,0)</f>
        <v>371.19159999999999</v>
      </c>
      <c r="AK72" s="13">
        <f t="shared" si="89"/>
        <v>85.911040915152313</v>
      </c>
      <c r="AL72" s="20">
        <f t="shared" si="58"/>
        <v>796.12043292722353</v>
      </c>
      <c r="AM72" s="59">
        <f t="shared" si="59"/>
        <v>1089.4537662605569</v>
      </c>
      <c r="AN72" s="59">
        <f ca="1">AVERAGE(OFFSET($AM$3,0,0,'Données projet'!$E$10+1,1))-AVERAGE(OFFSET($H$3,0,0,'Données projet'!$E$10+1,1))</f>
        <v>396.27049617044378</v>
      </c>
      <c r="AO72" s="59">
        <f t="shared" si="90"/>
        <v>335.2680289568774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115.39364739210374</v>
      </c>
      <c r="AV72" s="21">
        <f>EXP(-LN(2)/25)*AV71+(1-EXP(-LN(2)/25))/(LN(2)/25)*Calculateur!AQ72*Calculateur!AS72*VLOOKUP('Données projet'!$B$10,Paramètres!$A$1:$I$89,3,0)*0.475*44/12</f>
        <v>15.942827081713652</v>
      </c>
      <c r="AW72" s="21">
        <f>EXP(-LN(2)/2)*AW71+(1-EXP(-LN(2)/2))/(LN(2)/2)*AQ72*AT72*VLOOKUP('Données projet'!$B$10,Paramètres!$A$1:$I$89,3,0)*0.475*44/12</f>
        <v>5.1862121130064976E-7</v>
      </c>
      <c r="AX72" s="21">
        <f t="shared" si="60"/>
        <v>131.33647499243861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10</v>
      </c>
      <c r="BD72" s="12">
        <f>IF('Données projet'!$A$88&gt;35,BD71+BC72-BL71,IF(A72&lt;'Données projet'!$A$88,$BA$205^A72,IF(A72='Données projet'!$A$88,'Données projet'!$B$88,BD71+BC72-BL71)))</f>
        <v>305.99999999999994</v>
      </c>
      <c r="BE72" s="13">
        <f>BD72*VLOOKUP('Données projet'!$B$11,Paramètres!$A$1:$I$89,3,0)*VLOOKUP('Données projet'!$B$11,Paramètres!$A$1:$I$89,5,0)</f>
        <v>262.548</v>
      </c>
      <c r="BF72" s="13">
        <f t="shared" si="91"/>
        <v>63.265199933079444</v>
      </c>
      <c r="BG72" s="20">
        <f t="shared" si="61"/>
        <v>567.45798988344666</v>
      </c>
      <c r="BH72" s="59">
        <f t="shared" si="62"/>
        <v>860.79132321678003</v>
      </c>
      <c r="BI72" s="59">
        <f ca="1">AVERAGE(OFFSET($BH$3,0,0,'Données projet'!$E$11+1,1))-AVERAGE(OFFSET($H$3,0,0,'Données projet'!$E$11+1,1))</f>
        <v>352.61091660077574</v>
      </c>
      <c r="BJ72" s="59">
        <f t="shared" si="92"/>
        <v>186.48649111821521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68.965546355308604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68.965546355308604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3.8</v>
      </c>
      <c r="BY72" s="12">
        <f>IF('Données projet'!$A$114&gt;35,BY71+BX72-CG71,IF(A72&lt;'Données projet'!$A$114,$BV$205^A72,IF(A72='Données projet'!$A$114,'Données projet'!$B$114,BY71+BX72-CG71)))</f>
        <v>259.19999999999987</v>
      </c>
      <c r="BZ72" s="13">
        <f>BY72*VLOOKUP('Données projet'!$B$12,Paramètres!$A$1:$I$89,3,0)*VLOOKUP('Données projet'!$B$12,Paramètres!$A$1:$I$89,5,0)</f>
        <v>206.21951999999993</v>
      </c>
      <c r="CA72" s="13">
        <f t="shared" si="93"/>
        <v>51.10858428464028</v>
      </c>
      <c r="CB72" s="20">
        <f t="shared" si="64"/>
        <v>448.17978162908167</v>
      </c>
      <c r="CC72" s="59">
        <f t="shared" si="65"/>
        <v>741.51311496241499</v>
      </c>
      <c r="CD72" s="59">
        <f ca="1">AVERAGE(OFFSET($CC$3,0,0,'Données projet'!$E$12+1,1))-AVERAGE(OFFSET($H$3,0,0,'Données projet'!$E$12+1,1))</f>
        <v>225.2323446080772</v>
      </c>
      <c r="CE72" s="59">
        <f t="shared" si="94"/>
        <v>222.29030402759292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39.830898245919222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39.830898245919222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3</v>
      </c>
      <c r="CT72" s="12">
        <f>IF('Données projet'!$A$140&gt;35,CT71+CS72-DB71,IF(A72&lt;'Données projet'!$A$140,$CQ$205^A72,IF(A72='Données projet'!$A$140,'Données projet'!$B$140,CT71+CS72-DB71)))</f>
        <v>206.00000000000003</v>
      </c>
      <c r="CU72" s="17">
        <f>CT72*VLOOKUP('Données projet'!$B$13,Paramètres!$A$1:$I$89,3,0)*VLOOKUP('Données projet'!$B$13,Paramètres!$A$1:$I$89,5,0)</f>
        <v>199.24320000000003</v>
      </c>
      <c r="CV72" s="13">
        <f t="shared" si="95"/>
        <v>49.577809310922277</v>
      </c>
      <c r="CW72" s="20">
        <f t="shared" si="67"/>
        <v>433.36325788318965</v>
      </c>
      <c r="CX72" s="59">
        <f t="shared" si="68"/>
        <v>726.69659121652296</v>
      </c>
      <c r="CY72" s="59">
        <f ca="1">AVERAGE(OFFSET($CX$3,0,0,'Données projet'!$E$13+1,1))-AVERAGE(OFFSET($H$3,0,0,'Données projet'!$E$13+1,1))</f>
        <v>212.32823943192528</v>
      </c>
      <c r="CZ72" s="59">
        <f t="shared" si="96"/>
        <v>209.60834138503003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30.301254997506639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30.301254997506639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6</v>
      </c>
      <c r="DO72" s="12">
        <f>IF('Données projet'!$A$166&gt;35,DO71+DN72-DW71,IF(A72&lt;'Données projet'!$A$166,$DL$205^A72,IF(A72='Données projet'!$A$166,'Données projet'!$B$166,DO71+DN72-DW71)))</f>
        <v>273.99999999999977</v>
      </c>
      <c r="DP72" s="17">
        <f>DO72*VLOOKUP('Données projet'!$B$14,Paramètres!$A$1:$I$89,3,0)*VLOOKUP('Données projet'!$B$14,Paramètres!$A$1:$I$89,5,0)</f>
        <v>213.71999999999983</v>
      </c>
      <c r="DQ72" s="13">
        <f t="shared" si="97"/>
        <v>52.747666674989134</v>
      </c>
      <c r="DR72" s="20">
        <f t="shared" si="70"/>
        <v>464.09785279227236</v>
      </c>
      <c r="DS72" s="59">
        <f t="shared" si="71"/>
        <v>757.43118612560568</v>
      </c>
      <c r="DT72" s="59">
        <f ca="1">AVERAGE(OFFSET($DS$3,0,0,'Données projet'!$E$14+1,1))-AVERAGE(OFFSET($H$3,0,0,'Données projet'!$E$14+1,1))</f>
        <v>215.84581110302656</v>
      </c>
      <c r="DU72" s="59">
        <f t="shared" si="98"/>
        <v>193.88588526156104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52.279754342794689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52.279754342794689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6">
        <f t="shared" si="56"/>
        <v>369.92213676137879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401</v>
      </c>
      <c r="O73" s="13">
        <f>N73*VLOOKUP('Données projet'!$B$9,Paramètres!$A$1:$I$89,3,0)*VLOOKUP('Données projet'!$B$9,Paramètres!$A$1:$I$89,5,0)</f>
        <v>250.22399999999999</v>
      </c>
      <c r="P73" s="13">
        <f t="shared" si="87"/>
        <v>60.633904580527918</v>
      </c>
      <c r="Q73" s="20">
        <f t="shared" si="54"/>
        <v>541.41085047775289</v>
      </c>
      <c r="R73" s="59">
        <f t="shared" si="55"/>
        <v>834.74418381108626</v>
      </c>
      <c r="S73" s="59">
        <f ca="1">AVERAGE(OFFSET($R$3,0,0,'Données projet'!$E$9+1,1))-AVERAGE(OFFSET($H$3,0,0,'Données projet'!$E$9+1,1))</f>
        <v>269.77739619445515</v>
      </c>
      <c r="T73" s="59">
        <f t="shared" si="88"/>
        <v>347.56964743629885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62.819929510464682</v>
      </c>
      <c r="AA73" s="21">
        <f>EXP(-LN(2)/25)*AA72+(1-EXP(-LN(2)/25))/(LN(2)/25)*Calculateur!V73*Calculateur!X73*VLOOKUP('Données projet'!$B$9,Paramètres!$A$1:$I$89,3,0)*0.475*44/12</f>
        <v>30.263637011157197</v>
      </c>
      <c r="AB73" s="21">
        <f>EXP(-LN(2)/2)*AB72+(1-EXP(-LN(2)/2))/(LN(2)/2)*V73*Y73*VLOOKUP('Données projet'!$B$9,Paramètres!$A$1:$I$89,3,0)*0.475*44/12</f>
        <v>2.3687692667948584E-8</v>
      </c>
      <c r="AC73" s="22">
        <f t="shared" si="57"/>
        <v>93.083566545309566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771</v>
      </c>
      <c r="AG73" s="12">
        <f>VLOOKUP(A73,'Données projet'!$A$61:$I$81,9,0)</f>
        <v>19.600000000000001</v>
      </c>
      <c r="AH73" s="12">
        <f t="array" ref="AH73">INDEX(AG:AG,MIN(IF(ISNUMBER(AG73:AG269),ROW(AG73:AG269),"")))</f>
        <v>19.600000000000001</v>
      </c>
      <c r="AI73" s="13">
        <f>IF('Données projet'!$A$62&gt;35,AI72+AH73-AQ72,IF(A73&lt;'Données projet'!$A$62,$AF$205^A73,IF(A73='Données projet'!$A$62,'Données projet'!$B$62,AI72+AH73-AQ72)))</f>
        <v>771</v>
      </c>
      <c r="AJ73" s="13">
        <f>AI73*VLOOKUP('Données projet'!$B$10,Paramètres!$A$1:$I$89,3,0)*VLOOKUP('Données projet'!$B$10,Paramètres!$A$1:$I$89,5,0)</f>
        <v>380.87400000000002</v>
      </c>
      <c r="AK73" s="13">
        <f t="shared" si="89"/>
        <v>87.888174788218237</v>
      </c>
      <c r="AL73" s="20">
        <f t="shared" si="58"/>
        <v>816.42745442281341</v>
      </c>
      <c r="AM73" s="59">
        <f t="shared" si="59"/>
        <v>1109.7607877561468</v>
      </c>
      <c r="AN73" s="59">
        <f ca="1">AVERAGE(OFFSET($AM$3,0,0,'Données projet'!$E$10+1,1))-AVERAGE(OFFSET($H$3,0,0,'Données projet'!$E$10+1,1))</f>
        <v>396.27049617044378</v>
      </c>
      <c r="AO73" s="59">
        <f t="shared" si="90"/>
        <v>335.2680289568774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54</v>
      </c>
      <c r="AR73" s="16">
        <f>IF(ISNA(VLOOKUP(A73,'Données projet'!$A$61:$I$81,5,0)),0%,VLOOKUP(A73,'Données projet'!$A$61:$I$81,5,0)*VLOOKUP('Données projet'!$B$10,Paramètres!$A$1:$I$89,7,0))</f>
        <v>0.55000000000000004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132.5939367272376</v>
      </c>
      <c r="AV73" s="21">
        <f>EXP(-LN(2)/25)*AV72+(1-EXP(-LN(2)/25))/(LN(2)/25)*Calculateur!AQ73*Calculateur!AS73*VLOOKUP('Données projet'!$B$10,Paramètres!$A$1:$I$89,3,0)*0.475*44/12</f>
        <v>15.506869636767354</v>
      </c>
      <c r="AW73" s="21">
        <f>EXP(-LN(2)/2)*AW72+(1-EXP(-LN(2)/2))/(LN(2)/2)*AQ73*AT73*VLOOKUP('Données projet'!$B$10,Paramètres!$A$1:$I$89,3,0)*0.475*44/12</f>
        <v>3.6672057537787078E-7</v>
      </c>
      <c r="AX73" s="21">
        <f t="shared" si="60"/>
        <v>148.10080673072554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316</v>
      </c>
      <c r="BB73" s="12">
        <f>VLOOKUP(A73,'Données projet'!$A$87:$I$107,9,0)</f>
        <v>10</v>
      </c>
      <c r="BC73" s="12">
        <f t="array" ref="BC73">INDEX(BB:BB,MIN(IF(ISNUMBER(BB73:BB269),ROW(BB73:BB269),"")))</f>
        <v>10</v>
      </c>
      <c r="BD73" s="12">
        <f>IF('Données projet'!$A$88&gt;35,BD72+BC73-BL72,IF(A73&lt;'Données projet'!$A$88,$BA$205^A73,IF(A73='Données projet'!$A$88,'Données projet'!$B$88,BD72+BC73-BL72)))</f>
        <v>315.99999999999994</v>
      </c>
      <c r="BE73" s="13">
        <f>BD73*VLOOKUP('Données projet'!$B$11,Paramètres!$A$1:$I$89,3,0)*VLOOKUP('Données projet'!$B$11,Paramètres!$A$1:$I$89,5,0)</f>
        <v>271.12799999999999</v>
      </c>
      <c r="BF73" s="13">
        <f t="shared" si="91"/>
        <v>65.088601240045278</v>
      </c>
      <c r="BG73" s="20">
        <f t="shared" si="61"/>
        <v>585.57724715974553</v>
      </c>
      <c r="BH73" s="59">
        <f t="shared" si="62"/>
        <v>878.9105804930789</v>
      </c>
      <c r="BI73" s="59">
        <f ca="1">AVERAGE(OFFSET($BH$3,0,0,'Données projet'!$E$11+1,1))-AVERAGE(OFFSET($H$3,0,0,'Données projet'!$E$11+1,1))</f>
        <v>352.61091660077574</v>
      </c>
      <c r="BJ73" s="59">
        <f t="shared" si="92"/>
        <v>186.48649111821521</v>
      </c>
      <c r="BK73" s="15">
        <f>IF(ISNA(VLOOKUP(A73,'Données projet'!$A$87:$I$107,3,0)),0,VLOOKUP(A73,'Données projet'!$A$87:$I$107,3,0))</f>
        <v>10</v>
      </c>
      <c r="BL73" s="15">
        <f>IF(ISNA(VLOOKUP(A73,'Données projet'!$A$87:$I$107,4,0)),0,VLOOKUP(A73,'Données projet'!$A$87:$I$107,4,0))</f>
        <v>28</v>
      </c>
      <c r="BM73" s="16">
        <f>IF(ISNA(VLOOKUP(A73,'Données projet'!$A$87:$I$107,5,0)),0%,VLOOKUP(A73,'Données projet'!$A$87:$I$107,5,0)*VLOOKUP('Données projet'!$B$11,Paramètres!$A$1:$I$89,7,0))</f>
        <v>0.53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81.688818866997508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81.688818866997508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263</v>
      </c>
      <c r="BW73" s="12">
        <f>VLOOKUP(A73,'Données projet'!$A$113:$I$133,9,0)</f>
        <v>3.8</v>
      </c>
      <c r="BX73" s="12">
        <f t="array" ref="BX73">INDEX(BW:BW,MIN(IF(ISNUMBER(BW73:BW269),ROW(BW73:BW269),"")))</f>
        <v>3.8</v>
      </c>
      <c r="BY73" s="12">
        <f>IF('Données projet'!$A$114&gt;35,BY72+BX73-CG72,IF(A73&lt;'Données projet'!$A$114,$BV$205^A73,IF(A73='Données projet'!$A$114,'Données projet'!$B$114,BY72+BX73-CG72)))</f>
        <v>262.99999999999989</v>
      </c>
      <c r="BZ73" s="13">
        <f>BY73*VLOOKUP('Données projet'!$B$12,Paramètres!$A$1:$I$89,3,0)*VLOOKUP('Données projet'!$B$12,Paramètres!$A$1:$I$89,5,0)</f>
        <v>209.2427999999999</v>
      </c>
      <c r="CA73" s="13">
        <f t="shared" si="93"/>
        <v>51.770083677016814</v>
      </c>
      <c r="CB73" s="20">
        <f t="shared" si="64"/>
        <v>454.59743907080406</v>
      </c>
      <c r="CC73" s="59">
        <f t="shared" si="65"/>
        <v>747.93077240413731</v>
      </c>
      <c r="CD73" s="59">
        <f ca="1">AVERAGE(OFFSET($CC$3,0,0,'Données projet'!$E$12+1,1))-AVERAGE(OFFSET($H$3,0,0,'Données projet'!$E$12+1,1))</f>
        <v>225.2323446080772</v>
      </c>
      <c r="CE73" s="59">
        <f t="shared" si="94"/>
        <v>222.29030402759292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10</v>
      </c>
      <c r="CH73" s="16">
        <f>IF(ISNA(VLOOKUP(A73,'Données projet'!$A$113:$I$133,5,0)),0%,VLOOKUP(A73,'Données projet'!$A$113:$I$133,5,0)*VLOOKUP('Données projet'!$B$12,Paramètres!$A$1:$I$89,7,0))</f>
        <v>0.53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43.711253465734799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43.711253465734799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209</v>
      </c>
      <c r="CR73" s="12">
        <f>VLOOKUP(A73,'Données projet'!$A$139:$I$159,9,0)</f>
        <v>3</v>
      </c>
      <c r="CS73" s="12">
        <f t="array" ref="CS73">INDEX(CR:CR,MIN(IF(ISNUMBER(CR73:CR269),ROW(CR73:CR269),"")))</f>
        <v>3</v>
      </c>
      <c r="CT73" s="12">
        <f>IF('Données projet'!$A$140&gt;35,CT72+CS73-DB72,IF(A73&lt;'Données projet'!$A$140,$CQ$205^A73,IF(A73='Données projet'!$A$140,'Données projet'!$B$140,CT72+CS73-DB72)))</f>
        <v>209.00000000000003</v>
      </c>
      <c r="CU73" s="17">
        <f>CT73*VLOOKUP('Données projet'!$B$13,Paramètres!$A$1:$I$89,3,0)*VLOOKUP('Données projet'!$B$13,Paramètres!$A$1:$I$89,5,0)</f>
        <v>202.14480000000003</v>
      </c>
      <c r="CV73" s="13">
        <f t="shared" si="95"/>
        <v>50.215236821738628</v>
      </c>
      <c r="CW73" s="20">
        <f t="shared" si="67"/>
        <v>439.52706413119489</v>
      </c>
      <c r="CX73" s="59">
        <f t="shared" si="68"/>
        <v>732.86039746452821</v>
      </c>
      <c r="CY73" s="59">
        <f ca="1">AVERAGE(OFFSET($CX$3,0,0,'Données projet'!$E$13+1,1))-AVERAGE(OFFSET($H$3,0,0,'Données projet'!$E$13+1,1))</f>
        <v>212.32823943192528</v>
      </c>
      <c r="CZ73" s="59">
        <f t="shared" si="96"/>
        <v>209.60834138503003</v>
      </c>
      <c r="DA73" s="15">
        <f>IF(ISNA(VLOOKUP(A73,'Données projet'!$A$139:$I$159,3,0)),0,VLOOKUP(A73,'Données projet'!$A$139:$I$159,3,0))</f>
        <v>11</v>
      </c>
      <c r="DB73" s="15">
        <f>IF(ISNA(VLOOKUP(A73,'Données projet'!$A$139:$I$159,4,0)),0,VLOOKUP(A73,'Données projet'!$A$139:$I$159,4,0))</f>
        <v>8</v>
      </c>
      <c r="DC73" s="16">
        <f>IF(ISNA(VLOOKUP(A73,'Données projet'!$A$139:$I$159,5,0)),0%,VLOOKUP(A73,'Données projet'!$A$139:$I$159,5,0)*VLOOKUP('Données projet'!$B$13,Paramètres!$A$1:$I$89,7,0))</f>
        <v>0.43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33.385151540676027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33.385151540676027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280</v>
      </c>
      <c r="DM73" s="12">
        <f>VLOOKUP(A73,'Données projet'!$A$165:$I$185,9,0)</f>
        <v>6</v>
      </c>
      <c r="DN73" s="12">
        <f t="array" ref="DN73">INDEX(DM:DM,MIN(IF(ISNUMBER(DM73:DM269),ROW(DM73:DM269),"")))</f>
        <v>6</v>
      </c>
      <c r="DO73" s="12">
        <f>IF('Données projet'!$A$166&gt;35,DO72+DN73-DW72,IF(A73&lt;'Données projet'!$A$166,$DL$205^A73,IF(A73='Données projet'!$A$166,'Données projet'!$B$166,DO72+DN73-DW72)))</f>
        <v>279.99999999999977</v>
      </c>
      <c r="DP73" s="17">
        <f>DO73*VLOOKUP('Données projet'!$B$14,Paramètres!$A$1:$I$89,3,0)*VLOOKUP('Données projet'!$B$14,Paramètres!$A$1:$I$89,5,0)</f>
        <v>218.39999999999984</v>
      </c>
      <c r="DQ73" s="13">
        <f t="shared" si="97"/>
        <v>53.766986031998471</v>
      </c>
      <c r="DR73" s="20">
        <f t="shared" si="70"/>
        <v>474.02416733906375</v>
      </c>
      <c r="DS73" s="59">
        <f t="shared" si="71"/>
        <v>767.35750067239701</v>
      </c>
      <c r="DT73" s="59">
        <f ca="1">AVERAGE(OFFSET($DS$3,0,0,'Données projet'!$E$14+1,1))-AVERAGE(OFFSET($H$3,0,0,'Données projet'!$E$14+1,1))</f>
        <v>215.84581110302656</v>
      </c>
      <c r="DU73" s="59">
        <f t="shared" si="98"/>
        <v>193.88588526156104</v>
      </c>
      <c r="DV73" s="15">
        <f>IF(ISNA(VLOOKUP(A73,'Données projet'!$A$165:$I$185,3,0)),0,VLOOKUP(A73,'Données projet'!$A$165:$I$185,3,0))</f>
        <v>10</v>
      </c>
      <c r="DW73" s="15">
        <f>IF(ISNA(VLOOKUP(A73,'Données projet'!$A$165:$I$185,4,0)),0,VLOOKUP(A73,'Données projet'!$A$165:$I$185,4,0))</f>
        <v>20</v>
      </c>
      <c r="DX73" s="16">
        <f>IF(ISNA(VLOOKUP(A73,'Données projet'!$A$165:$I$185,5,0)),0%,VLOOKUP(A73,'Données projet'!$A$165:$I$185,5,0)*VLOOKUP('Données projet'!$B$14,Paramètres!$A$1:$I$89,7,0))</f>
        <v>0.43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58.670075553541032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58.670075553541032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6">
        <f t="shared" si="56"/>
        <v>370.98623205696038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401</v>
      </c>
      <c r="O74" s="13">
        <f>N74*VLOOKUP('Données projet'!$B$9,Paramètres!$A$1:$I$89,3,0)*VLOOKUP('Données projet'!$B$9,Paramètres!$A$1:$I$89,5,0)</f>
        <v>250.22399999999999</v>
      </c>
      <c r="P74" s="13">
        <f t="shared" si="87"/>
        <v>60.633904580527918</v>
      </c>
      <c r="Q74" s="20">
        <f t="shared" si="54"/>
        <v>541.41085047775289</v>
      </c>
      <c r="R74" s="59">
        <f t="shared" si="55"/>
        <v>834.74418381108626</v>
      </c>
      <c r="S74" s="59">
        <f ca="1">AVERAGE(OFFSET($R$3,0,0,'Données projet'!$E$9+1,1))-AVERAGE(OFFSET($H$3,0,0,'Données projet'!$E$9+1,1))</f>
        <v>269.77739619445515</v>
      </c>
      <c r="T74" s="59">
        <f t="shared" si="88"/>
        <v>347.56964743629885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61.588069009138046</v>
      </c>
      <c r="AA74" s="21">
        <f>EXP(-LN(2)/25)*AA73+(1-EXP(-LN(2)/25))/(LN(2)/25)*Calculateur!V74*Calculateur!X74*VLOOKUP('Données projet'!$B$9,Paramètres!$A$1:$I$89,3,0)*0.475*44/12</f>
        <v>29.436076265591602</v>
      </c>
      <c r="AB74" s="21">
        <f>EXP(-LN(2)/2)*AB73+(1-EXP(-LN(2)/2))/(LN(2)/2)*V74*Y74*VLOOKUP('Données projet'!$B$9,Paramètres!$A$1:$I$89,3,0)*0.475*44/12</f>
        <v>1.6749728116169305E-8</v>
      </c>
      <c r="AC74" s="22">
        <f t="shared" si="57"/>
        <v>91.024145291479371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17.8</v>
      </c>
      <c r="AI74" s="13">
        <f>IF('Données projet'!$A$62&gt;35,AI73+AH74-AQ73,IF(A74&lt;'Données projet'!$A$62,$AF$205^A74,IF(A74='Données projet'!$A$62,'Données projet'!$B$62,AI73+AH74-AQ73)))</f>
        <v>734.8</v>
      </c>
      <c r="AJ74" s="13">
        <f>AI74*VLOOKUP('Données projet'!$B$10,Paramètres!$A$1:$I$89,3,0)*VLOOKUP('Données projet'!$B$10,Paramètres!$A$1:$I$89,5,0)</f>
        <v>362.99119999999999</v>
      </c>
      <c r="AK74" s="13">
        <f t="shared" si="89"/>
        <v>84.231833805058656</v>
      </c>
      <c r="AL74" s="20">
        <f t="shared" si="58"/>
        <v>778.91345054381054</v>
      </c>
      <c r="AM74" s="59">
        <f t="shared" si="59"/>
        <v>1072.2467838771438</v>
      </c>
      <c r="AN74" s="59">
        <f ca="1">AVERAGE(OFFSET($AM$3,0,0,'Données projet'!$E$10+1,1))-AVERAGE(OFFSET($H$3,0,0,'Données projet'!$E$10+1,1))</f>
        <v>396.27049617044378</v>
      </c>
      <c r="AO74" s="59">
        <f t="shared" si="90"/>
        <v>335.2680289568774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129.99385050233221</v>
      </c>
      <c r="AV74" s="21">
        <f>EXP(-LN(2)/25)*AV73+(1-EXP(-LN(2)/25))/(LN(2)/25)*Calculateur!AQ74*Calculateur!AS74*VLOOKUP('Données projet'!$B$10,Paramètres!$A$1:$I$89,3,0)*0.475*44/12</f>
        <v>15.082833471079118</v>
      </c>
      <c r="AW74" s="21">
        <f>EXP(-LN(2)/2)*AW73+(1-EXP(-LN(2)/2))/(LN(2)/2)*AQ74*AT74*VLOOKUP('Données projet'!$B$10,Paramètres!$A$1:$I$89,3,0)*0.475*44/12</f>
        <v>2.5931060565032488E-7</v>
      </c>
      <c r="AX74" s="21">
        <f t="shared" si="60"/>
        <v>145.07668423272193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9.4</v>
      </c>
      <c r="BD74" s="12">
        <f>IF('Données projet'!$A$88&gt;35,BD73+BC74-BL73,IF(A74&lt;'Données projet'!$A$88,$BA$205^A74,IF(A74='Données projet'!$A$88,'Données projet'!$B$88,BD73+BC74-BL73)))</f>
        <v>297.39999999999992</v>
      </c>
      <c r="BE74" s="13">
        <f>BD74*VLOOKUP('Données projet'!$B$11,Paramètres!$A$1:$I$89,3,0)*VLOOKUP('Données projet'!$B$11,Paramètres!$A$1:$I$89,5,0)</f>
        <v>255.16919999999996</v>
      </c>
      <c r="BF74" s="13">
        <f t="shared" si="91"/>
        <v>61.691525331424884</v>
      </c>
      <c r="BG74" s="20">
        <f t="shared" si="61"/>
        <v>551.86576328556498</v>
      </c>
      <c r="BH74" s="59">
        <f t="shared" si="62"/>
        <v>845.19909661889824</v>
      </c>
      <c r="BI74" s="59">
        <f ca="1">AVERAGE(OFFSET($BH$3,0,0,'Données projet'!$E$11+1,1))-AVERAGE(OFFSET($H$3,0,0,'Données projet'!$E$11+1,1))</f>
        <v>352.61091660077574</v>
      </c>
      <c r="BJ74" s="59">
        <f t="shared" si="92"/>
        <v>186.48649111821521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80.086950954275366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80.086950954275366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3.4</v>
      </c>
      <c r="BY74" s="12">
        <f>IF('Données projet'!$A$114&gt;35,BY73+BX74-CG73,IF(A74&lt;'Données projet'!$A$114,$BV$205^A74,IF(A74='Données projet'!$A$114,'Données projet'!$B$114,BY73+BX74-CG73)))</f>
        <v>256.39999999999986</v>
      </c>
      <c r="BZ74" s="13">
        <f>BY74*VLOOKUP('Données projet'!$B$12,Paramètres!$A$1:$I$89,3,0)*VLOOKUP('Données projet'!$B$12,Paramètres!$A$1:$I$89,5,0)</f>
        <v>203.99183999999988</v>
      </c>
      <c r="CA74" s="13">
        <f t="shared" si="93"/>
        <v>50.620441749347997</v>
      </c>
      <c r="CB74" s="20">
        <f t="shared" si="64"/>
        <v>443.44972404678083</v>
      </c>
      <c r="CC74" s="59">
        <f t="shared" si="65"/>
        <v>736.78305738011409</v>
      </c>
      <c r="CD74" s="59">
        <f ca="1">AVERAGE(OFFSET($CC$3,0,0,'Données projet'!$E$12+1,1))-AVERAGE(OFFSET($H$3,0,0,'Données projet'!$E$12+1,1))</f>
        <v>225.2323446080772</v>
      </c>
      <c r="CE74" s="59">
        <f t="shared" si="94"/>
        <v>222.29030402759292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42.854102446503774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42.854102446503774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2.6</v>
      </c>
      <c r="CT74" s="12">
        <f>IF('Données projet'!$A$140&gt;35,CT73+CS74-DB73,IF(A74&lt;'Données projet'!$A$140,$CQ$205^A74,IF(A74='Données projet'!$A$140,'Données projet'!$B$140,CT73+CS74-DB73)))</f>
        <v>203.60000000000002</v>
      </c>
      <c r="CU74" s="17">
        <f>CT74*VLOOKUP('Données projet'!$B$13,Paramètres!$A$1:$I$89,3,0)*VLOOKUP('Données projet'!$B$13,Paramètres!$A$1:$I$89,5,0)</f>
        <v>196.92192000000003</v>
      </c>
      <c r="CV74" s="13">
        <f t="shared" si="95"/>
        <v>49.067089479230269</v>
      </c>
      <c r="CW74" s="20">
        <f t="shared" si="67"/>
        <v>428.43085817632613</v>
      </c>
      <c r="CX74" s="59">
        <f t="shared" si="68"/>
        <v>721.76419150965944</v>
      </c>
      <c r="CY74" s="59">
        <f ca="1">AVERAGE(OFFSET($CX$3,0,0,'Données projet'!$E$13+1,1))-AVERAGE(OFFSET($H$3,0,0,'Données projet'!$E$13+1,1))</f>
        <v>212.32823943192528</v>
      </c>
      <c r="CZ74" s="59">
        <f t="shared" si="96"/>
        <v>209.60834138503003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32.730489081895136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32.730489081895136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5.2</v>
      </c>
      <c r="DO74" s="12">
        <f>IF('Données projet'!$A$166&gt;35,DO73+DN74-DW73,IF(A74&lt;'Données projet'!$A$166,$DL$205^A74,IF(A74='Données projet'!$A$166,'Données projet'!$B$166,DO73+DN74-DW73)))</f>
        <v>265.19999999999976</v>
      </c>
      <c r="DP74" s="17">
        <f>DO74*VLOOKUP('Données projet'!$B$14,Paramètres!$A$1:$I$89,3,0)*VLOOKUP('Données projet'!$B$14,Paramètres!$A$1:$I$89,5,0)</f>
        <v>206.85599999999982</v>
      </c>
      <c r="DQ74" s="13">
        <f t="shared" si="97"/>
        <v>51.247940588293027</v>
      </c>
      <c r="DR74" s="20">
        <f t="shared" si="70"/>
        <v>449.53102985794334</v>
      </c>
      <c r="DS74" s="59">
        <f t="shared" si="71"/>
        <v>742.86436319127665</v>
      </c>
      <c r="DT74" s="59">
        <f ca="1">AVERAGE(OFFSET($DS$3,0,0,'Données projet'!$E$14+1,1))-AVERAGE(OFFSET($H$3,0,0,'Données projet'!$E$14+1,1))</f>
        <v>215.84581110302656</v>
      </c>
      <c r="DU74" s="59">
        <f t="shared" si="98"/>
        <v>193.88588526156104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57.519591157148682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57.519591157148682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6">
        <f t="shared" si="56"/>
        <v>372.04995655117574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401</v>
      </c>
      <c r="O75" s="13">
        <f>N75*VLOOKUP('Données projet'!$B$9,Paramètres!$A$1:$I$89,3,0)*VLOOKUP('Données projet'!$B$9,Paramètres!$A$1:$I$89,5,0)</f>
        <v>250.22399999999999</v>
      </c>
      <c r="P75" s="13">
        <f t="shared" si="87"/>
        <v>60.633904580527918</v>
      </c>
      <c r="Q75" s="20">
        <f t="shared" si="54"/>
        <v>541.41085047775289</v>
      </c>
      <c r="R75" s="59">
        <f t="shared" si="55"/>
        <v>834.74418381108626</v>
      </c>
      <c r="S75" s="59">
        <f ca="1">AVERAGE(OFFSET($R$3,0,0,'Données projet'!$E$9+1,1))-AVERAGE(OFFSET($H$3,0,0,'Données projet'!$E$9+1,1))</f>
        <v>269.77739619445515</v>
      </c>
      <c r="T75" s="59">
        <f t="shared" si="88"/>
        <v>347.56964743629885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60.380364540881708</v>
      </c>
      <c r="AA75" s="21">
        <f>EXP(-LN(2)/25)*AA74+(1-EXP(-LN(2)/25))/(LN(2)/25)*Calculateur!V75*Calculateur!X75*VLOOKUP('Données projet'!$B$9,Paramètres!$A$1:$I$89,3,0)*0.475*44/12</f>
        <v>28.631145212133024</v>
      </c>
      <c r="AB75" s="21">
        <f>EXP(-LN(2)/2)*AB74+(1-EXP(-LN(2)/2))/(LN(2)/2)*V75*Y75*VLOOKUP('Données projet'!$B$9,Paramètres!$A$1:$I$89,3,0)*0.475*44/12</f>
        <v>1.1843846333974292E-8</v>
      </c>
      <c r="AC75" s="22">
        <f t="shared" si="57"/>
        <v>89.011509764858587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17.8</v>
      </c>
      <c r="AI75" s="13">
        <f>IF('Données projet'!$A$62&gt;35,AI74+AH75-AQ74,IF(A75&lt;'Données projet'!$A$62,$AF$205^A75,IF(A75='Données projet'!$A$62,'Données projet'!$B$62,AI74+AH75-AQ74)))</f>
        <v>752.59999999999991</v>
      </c>
      <c r="AJ75" s="13">
        <f>AI75*VLOOKUP('Données projet'!$B$10,Paramètres!$A$1:$I$89,3,0)*VLOOKUP('Données projet'!$B$10,Paramètres!$A$1:$I$89,5,0)</f>
        <v>371.78439999999995</v>
      </c>
      <c r="AK75" s="13">
        <f t="shared" si="89"/>
        <v>86.032260948606037</v>
      </c>
      <c r="AL75" s="20">
        <f t="shared" si="58"/>
        <v>797.36401781882205</v>
      </c>
      <c r="AM75" s="59">
        <f t="shared" si="59"/>
        <v>1090.6973511521553</v>
      </c>
      <c r="AN75" s="59">
        <f ca="1">AVERAGE(OFFSET($AM$3,0,0,'Données projet'!$E$10+1,1))-AVERAGE(OFFSET($H$3,0,0,'Données projet'!$E$10+1,1))</f>
        <v>396.27049617044378</v>
      </c>
      <c r="AO75" s="59">
        <f t="shared" si="90"/>
        <v>335.2680289568774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127.4447503824012</v>
      </c>
      <c r="AV75" s="21">
        <f>EXP(-LN(2)/25)*AV74+(1-EXP(-LN(2)/25))/(LN(2)/25)*Calculateur!AQ75*Calculateur!AS75*VLOOKUP('Données projet'!$B$10,Paramètres!$A$1:$I$89,3,0)*0.475*44/12</f>
        <v>14.670392596640719</v>
      </c>
      <c r="AW75" s="21">
        <f>EXP(-LN(2)/2)*AW74+(1-EXP(-LN(2)/2))/(LN(2)/2)*AQ75*AT75*VLOOKUP('Données projet'!$B$10,Paramètres!$A$1:$I$89,3,0)*0.475*44/12</f>
        <v>1.8336028768893539E-7</v>
      </c>
      <c r="AX75" s="21">
        <f t="shared" si="60"/>
        <v>142.11514316240221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9.4</v>
      </c>
      <c r="BD75" s="12">
        <f>IF('Données projet'!$A$88&gt;35,BD74+BC75-BL74,IF(A75&lt;'Données projet'!$A$88,$BA$205^A75,IF(A75='Données projet'!$A$88,'Données projet'!$B$88,BD74+BC75-BL74)))</f>
        <v>306.7999999999999</v>
      </c>
      <c r="BE75" s="13">
        <f>BD75*VLOOKUP('Données projet'!$B$11,Paramètres!$A$1:$I$89,3,0)*VLOOKUP('Données projet'!$B$11,Paramètres!$A$1:$I$89,5,0)</f>
        <v>263.23439999999994</v>
      </c>
      <c r="BF75" s="13">
        <f t="shared" si="91"/>
        <v>63.411324464279403</v>
      </c>
      <c r="BG75" s="20">
        <f t="shared" si="61"/>
        <v>568.90797010861979</v>
      </c>
      <c r="BH75" s="59">
        <f t="shared" si="62"/>
        <v>862.24130344195305</v>
      </c>
      <c r="BI75" s="59">
        <f ca="1">AVERAGE(OFFSET($BH$3,0,0,'Données projet'!$E$11+1,1))-AVERAGE(OFFSET($H$3,0,0,'Données projet'!$E$11+1,1))</f>
        <v>352.61091660077574</v>
      </c>
      <c r="BJ75" s="59">
        <f t="shared" si="92"/>
        <v>186.48649111821521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78.516494694278748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78.516494694278748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3.4</v>
      </c>
      <c r="BY75" s="12">
        <f>IF('Données projet'!$A$114&gt;35,BY74+BX75-CG74,IF(A75&lt;'Données projet'!$A$114,$BV$205^A75,IF(A75='Données projet'!$A$114,'Données projet'!$B$114,BY74+BX75-CG74)))</f>
        <v>259.79999999999984</v>
      </c>
      <c r="BZ75" s="13">
        <f>BY75*VLOOKUP('Données projet'!$B$12,Paramètres!$A$1:$I$89,3,0)*VLOOKUP('Données projet'!$B$12,Paramètres!$A$1:$I$89,5,0)</f>
        <v>206.69687999999991</v>
      </c>
      <c r="CA75" s="13">
        <f t="shared" si="93"/>
        <v>51.213106197404436</v>
      </c>
      <c r="CB75" s="20">
        <f t="shared" si="64"/>
        <v>449.1932259604792</v>
      </c>
      <c r="CC75" s="59">
        <f t="shared" si="65"/>
        <v>742.52655929381251</v>
      </c>
      <c r="CD75" s="59">
        <f ca="1">AVERAGE(OFFSET($CC$3,0,0,'Données projet'!$E$12+1,1))-AVERAGE(OFFSET($H$3,0,0,'Données projet'!$E$12+1,1))</f>
        <v>225.2323446080772</v>
      </c>
      <c r="CE75" s="59">
        <f t="shared" si="94"/>
        <v>222.29030402759292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42.01375963594937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42.01375963594937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2.6</v>
      </c>
      <c r="CT75" s="12">
        <f>IF('Données projet'!$A$140&gt;35,CT74+CS75-DB74,IF(A75&lt;'Données projet'!$A$140,$CQ$205^A75,IF(A75='Données projet'!$A$140,'Données projet'!$B$140,CT74+CS75-DB74)))</f>
        <v>206.20000000000002</v>
      </c>
      <c r="CU75" s="17">
        <f>CT75*VLOOKUP('Données projet'!$B$13,Paramètres!$A$1:$I$89,3,0)*VLOOKUP('Données projet'!$B$13,Paramètres!$A$1:$I$89,5,0)</f>
        <v>199.43664000000001</v>
      </c>
      <c r="CV75" s="13">
        <f t="shared" si="95"/>
        <v>49.620337930238307</v>
      </c>
      <c r="CW75" s="20">
        <f t="shared" si="67"/>
        <v>433.77423656183169</v>
      </c>
      <c r="CX75" s="59">
        <f t="shared" si="68"/>
        <v>727.10756989516494</v>
      </c>
      <c r="CY75" s="59">
        <f ca="1">AVERAGE(OFFSET($CX$3,0,0,'Données projet'!$E$13+1,1))-AVERAGE(OFFSET($H$3,0,0,'Données projet'!$E$13+1,1))</f>
        <v>212.32823943192528</v>
      </c>
      <c r="CZ75" s="59">
        <f t="shared" si="96"/>
        <v>209.60834138503003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32.088664154626265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32.088664154626265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5.2</v>
      </c>
      <c r="DO75" s="12">
        <f>IF('Données projet'!$A$166&gt;35,DO74+DN75-DW74,IF(A75&lt;'Données projet'!$A$166,$DL$205^A75,IF(A75='Données projet'!$A$166,'Données projet'!$B$166,DO74+DN75-DW74)))</f>
        <v>270.39999999999975</v>
      </c>
      <c r="DP75" s="17">
        <f>DO75*VLOOKUP('Données projet'!$B$14,Paramètres!$A$1:$I$89,3,0)*VLOOKUP('Données projet'!$B$14,Paramètres!$A$1:$I$89,5,0)</f>
        <v>210.91199999999981</v>
      </c>
      <c r="DQ75" s="13">
        <f t="shared" si="97"/>
        <v>52.134830352456738</v>
      </c>
      <c r="DR75" s="20">
        <f t="shared" si="70"/>
        <v>458.13989619719513</v>
      </c>
      <c r="DS75" s="59">
        <f t="shared" si="71"/>
        <v>751.47322953052844</v>
      </c>
      <c r="DT75" s="59">
        <f ca="1">AVERAGE(OFFSET($DS$3,0,0,'Données projet'!$E$14+1,1))-AVERAGE(OFFSET($H$3,0,0,'Données projet'!$E$14+1,1))</f>
        <v>215.84581110302656</v>
      </c>
      <c r="DU75" s="59">
        <f t="shared" si="98"/>
        <v>193.88588526156104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56.391667058043396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56.391667058043396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6">
        <f t="shared" si="56"/>
        <v>373.11331598923283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401</v>
      </c>
      <c r="O76" s="13">
        <f>N76*VLOOKUP('Données projet'!$B$9,Paramètres!$A$1:$I$89,3,0)*VLOOKUP('Données projet'!$B$9,Paramètres!$A$1:$I$89,5,0)</f>
        <v>250.22399999999999</v>
      </c>
      <c r="P76" s="13">
        <f t="shared" si="87"/>
        <v>60.633904580527918</v>
      </c>
      <c r="Q76" s="20">
        <f t="shared" si="54"/>
        <v>541.41085047775289</v>
      </c>
      <c r="R76" s="59">
        <f t="shared" si="55"/>
        <v>834.74418381108626</v>
      </c>
      <c r="S76" s="59">
        <f ca="1">AVERAGE(OFFSET($R$3,0,0,'Données projet'!$E$9+1,1))-AVERAGE(OFFSET($H$3,0,0,'Données projet'!$E$9+1,1))</f>
        <v>269.77739619445515</v>
      </c>
      <c r="T76" s="59">
        <f t="shared" si="88"/>
        <v>347.56964743629885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59.196342420620887</v>
      </c>
      <c r="AA76" s="21">
        <f>EXP(-LN(2)/25)*AA75+(1-EXP(-LN(2)/25))/(LN(2)/25)*Calculateur!V76*Calculateur!X76*VLOOKUP('Données projet'!$B$9,Paramètres!$A$1:$I$89,3,0)*0.475*44/12</f>
        <v>27.848225040660758</v>
      </c>
      <c r="AB76" s="21">
        <f>EXP(-LN(2)/2)*AB75+(1-EXP(-LN(2)/2))/(LN(2)/2)*V76*Y76*VLOOKUP('Données projet'!$B$9,Paramètres!$A$1:$I$89,3,0)*0.475*44/12</f>
        <v>8.3748640580846526E-9</v>
      </c>
      <c r="AC76" s="22">
        <f t="shared" si="57"/>
        <v>87.044567469656513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17.8</v>
      </c>
      <c r="AI76" s="13">
        <f>IF('Données projet'!$A$62&gt;35,AI75+AH76-AQ75,IF(A76&lt;'Données projet'!$A$62,$AF$205^A76,IF(A76='Données projet'!$A$62,'Données projet'!$B$62,AI75+AH76-AQ75)))</f>
        <v>770.39999999999986</v>
      </c>
      <c r="AJ76" s="13">
        <f>AI76*VLOOKUP('Données projet'!$B$10,Paramètres!$A$1:$I$89,3,0)*VLOOKUP('Données projet'!$B$10,Paramètres!$A$1:$I$89,5,0)</f>
        <v>380.57759999999996</v>
      </c>
      <c r="AK76" s="13">
        <f t="shared" si="89"/>
        <v>87.827737815817983</v>
      </c>
      <c r="AL76" s="20">
        <f t="shared" si="58"/>
        <v>815.80596336254951</v>
      </c>
      <c r="AM76" s="59">
        <f t="shared" si="59"/>
        <v>1109.1392966958829</v>
      </c>
      <c r="AN76" s="59">
        <f ca="1">AVERAGE(OFFSET($AM$3,0,0,'Données projet'!$E$10+1,1))-AVERAGE(OFFSET($H$3,0,0,'Données projet'!$E$10+1,1))</f>
        <v>396.27049617044378</v>
      </c>
      <c r="AO76" s="59">
        <f t="shared" si="90"/>
        <v>335.2680289568774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124.94563656102449</v>
      </c>
      <c r="AV76" s="21">
        <f>EXP(-LN(2)/25)*AV75+(1-EXP(-LN(2)/25))/(LN(2)/25)*Calculateur!AQ76*Calculateur!AS76*VLOOKUP('Données projet'!$B$10,Paramètres!$A$1:$I$89,3,0)*0.475*44/12</f>
        <v>14.269229939603161</v>
      </c>
      <c r="AW76" s="21">
        <f>EXP(-LN(2)/2)*AW75+(1-EXP(-LN(2)/2))/(LN(2)/2)*AQ76*AT76*VLOOKUP('Données projet'!$B$10,Paramètres!$A$1:$I$89,3,0)*0.475*44/12</f>
        <v>1.2965530282516244E-7</v>
      </c>
      <c r="AX76" s="21">
        <f t="shared" si="60"/>
        <v>139.21486663028293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9.4</v>
      </c>
      <c r="BD76" s="12">
        <f>IF('Données projet'!$A$88&gt;35,BD75+BC76-BL75,IF(A76&lt;'Données projet'!$A$88,$BA$205^A76,IF(A76='Données projet'!$A$88,'Données projet'!$B$88,BD75+BC76-BL75)))</f>
        <v>316.19999999999987</v>
      </c>
      <c r="BE76" s="13">
        <f>BD76*VLOOKUP('Données projet'!$B$11,Paramètres!$A$1:$I$89,3,0)*VLOOKUP('Données projet'!$B$11,Paramètres!$A$1:$I$89,5,0)</f>
        <v>271.29959999999994</v>
      </c>
      <c r="BF76" s="13">
        <f t="shared" si="91"/>
        <v>65.125000081857877</v>
      </c>
      <c r="BG76" s="20">
        <f t="shared" si="61"/>
        <v>585.93951180923568</v>
      </c>
      <c r="BH76" s="59">
        <f t="shared" si="62"/>
        <v>879.27284514256894</v>
      </c>
      <c r="BI76" s="59">
        <f ca="1">AVERAGE(OFFSET($BH$3,0,0,'Données projet'!$E$11+1,1))-AVERAGE(OFFSET($H$3,0,0,'Données projet'!$E$11+1,1))</f>
        <v>352.61091660077574</v>
      </c>
      <c r="BJ76" s="59">
        <f t="shared" si="92"/>
        <v>186.48649111821521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76.976834123656928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76.976834123656928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3.4</v>
      </c>
      <c r="BY76" s="12">
        <f>IF('Données projet'!$A$114&gt;35,BY75+BX76-CG75,IF(A76&lt;'Données projet'!$A$114,$BV$205^A76,IF(A76='Données projet'!$A$114,'Données projet'!$B$114,BY75+BX76-CG75)))</f>
        <v>263.19999999999982</v>
      </c>
      <c r="BZ76" s="13">
        <f>BY76*VLOOKUP('Données projet'!$B$12,Paramètres!$A$1:$I$89,3,0)*VLOOKUP('Données projet'!$B$12,Paramètres!$A$1:$I$89,5,0)</f>
        <v>209.40191999999988</v>
      </c>
      <c r="CA76" s="13">
        <f t="shared" si="93"/>
        <v>51.804868484579039</v>
      </c>
      <c r="CB76" s="20">
        <f t="shared" si="64"/>
        <v>454.93515661064157</v>
      </c>
      <c r="CC76" s="59">
        <f t="shared" si="65"/>
        <v>748.26848994397483</v>
      </c>
      <c r="CD76" s="59">
        <f ca="1">AVERAGE(OFFSET($CC$3,0,0,'Données projet'!$E$12+1,1))-AVERAGE(OFFSET($H$3,0,0,'Données projet'!$E$12+1,1))</f>
        <v>225.2323446080772</v>
      </c>
      <c r="CE76" s="59">
        <f t="shared" si="94"/>
        <v>222.29030402759292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41.189895435351438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41.189895435351438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2.6</v>
      </c>
      <c r="CT76" s="12">
        <f>IF('Données projet'!$A$140&gt;35,CT75+CS76-DB75,IF(A76&lt;'Données projet'!$A$140,$CQ$205^A76,IF(A76='Données projet'!$A$140,'Données projet'!$B$140,CT75+CS76-DB75)))</f>
        <v>208.8</v>
      </c>
      <c r="CU76" s="17">
        <f>CT76*VLOOKUP('Données projet'!$B$13,Paramètres!$A$1:$I$89,3,0)*VLOOKUP('Données projet'!$B$13,Paramètres!$A$1:$I$89,5,0)</f>
        <v>201.95136000000002</v>
      </c>
      <c r="CV76" s="13">
        <f t="shared" si="95"/>
        <v>50.172774950657931</v>
      </c>
      <c r="CW76" s="20">
        <f t="shared" si="67"/>
        <v>439.11620170572928</v>
      </c>
      <c r="CX76" s="59">
        <f t="shared" si="68"/>
        <v>732.44953503906254</v>
      </c>
      <c r="CY76" s="59">
        <f ca="1">AVERAGE(OFFSET($CX$3,0,0,'Données projet'!$E$13+1,1))-AVERAGE(OFFSET($H$3,0,0,'Données projet'!$E$13+1,1))</f>
        <v>212.32823943192528</v>
      </c>
      <c r="CZ76" s="59">
        <f t="shared" si="96"/>
        <v>209.60834138503003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31.45942502270659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31.45942502270659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5.2</v>
      </c>
      <c r="DO76" s="12">
        <f>IF('Données projet'!$A$166&gt;35,DO75+DN76-DW75,IF(A76&lt;'Données projet'!$A$166,$DL$205^A76,IF(A76='Données projet'!$A$166,'Données projet'!$B$166,DO75+DN76-DW75)))</f>
        <v>275.59999999999974</v>
      </c>
      <c r="DP76" s="17">
        <f>DO76*VLOOKUP('Données projet'!$B$14,Paramètres!$A$1:$I$89,3,0)*VLOOKUP('Données projet'!$B$14,Paramètres!$A$1:$I$89,5,0)</f>
        <v>214.96799999999979</v>
      </c>
      <c r="DQ76" s="13">
        <f t="shared" si="97"/>
        <v>53.019736939092944</v>
      </c>
      <c r="DR76" s="20">
        <f t="shared" si="70"/>
        <v>466.74530850225307</v>
      </c>
      <c r="DS76" s="59">
        <f t="shared" si="71"/>
        <v>760.07864183558638</v>
      </c>
      <c r="DT76" s="59">
        <f ca="1">AVERAGE(OFFSET($DS$3,0,0,'Données projet'!$E$14+1,1))-AVERAGE(OFFSET($H$3,0,0,'Données projet'!$E$14+1,1))</f>
        <v>215.84581110302656</v>
      </c>
      <c r="DU76" s="59">
        <f t="shared" si="98"/>
        <v>193.88588526156104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55.285860862555793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55.285860862555793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6">
        <f t="shared" si="56"/>
        <v>374.17631594989302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401</v>
      </c>
      <c r="O77" s="13">
        <f>N77*VLOOKUP('Données projet'!$B$9,Paramètres!$A$1:$I$89,3,0)*VLOOKUP('Données projet'!$B$9,Paramètres!$A$1:$I$89,5,0)</f>
        <v>250.22399999999999</v>
      </c>
      <c r="P77" s="13">
        <f t="shared" si="87"/>
        <v>60.633904580527918</v>
      </c>
      <c r="Q77" s="20">
        <f t="shared" si="54"/>
        <v>541.41085047775289</v>
      </c>
      <c r="R77" s="59">
        <f t="shared" si="55"/>
        <v>834.74418381108626</v>
      </c>
      <c r="S77" s="59">
        <f ca="1">AVERAGE(OFFSET($R$3,0,0,'Données projet'!$E$9+1,1))-AVERAGE(OFFSET($H$3,0,0,'Données projet'!$E$9+1,1))</f>
        <v>269.77739619445515</v>
      </c>
      <c r="T77" s="59">
        <f t="shared" si="88"/>
        <v>347.56964743629885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58.035538251956197</v>
      </c>
      <c r="AA77" s="21">
        <f>EXP(-LN(2)/25)*AA76+(1-EXP(-LN(2)/25))/(LN(2)/25)*Calculateur!V77*Calculateur!X77*VLOOKUP('Données projet'!$B$9,Paramètres!$A$1:$I$89,3,0)*0.475*44/12</f>
        <v>27.086713862449383</v>
      </c>
      <c r="AB77" s="21">
        <f>EXP(-LN(2)/2)*AB76+(1-EXP(-LN(2)/2))/(LN(2)/2)*V77*Y77*VLOOKUP('Données projet'!$B$9,Paramètres!$A$1:$I$89,3,0)*0.475*44/12</f>
        <v>5.921923166987146E-9</v>
      </c>
      <c r="AC77" s="22">
        <f t="shared" si="57"/>
        <v>85.122252120327502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17.8</v>
      </c>
      <c r="AI77" s="13">
        <f>IF('Données projet'!$A$62&gt;35,AI76+AH77-AQ76,IF(A77&lt;'Données projet'!$A$62,$AF$205^A77,IF(A77='Données projet'!$A$62,'Données projet'!$B$62,AI76+AH77-AQ76)))</f>
        <v>788.19999999999982</v>
      </c>
      <c r="AJ77" s="13">
        <f>AI77*VLOOKUP('Données projet'!$B$10,Paramètres!$A$1:$I$89,3,0)*VLOOKUP('Données projet'!$B$10,Paramètres!$A$1:$I$89,5,0)</f>
        <v>389.37079999999997</v>
      </c>
      <c r="AK77" s="13">
        <f t="shared" si="89"/>
        <v>89.618391946937166</v>
      </c>
      <c r="AL77" s="20">
        <f t="shared" si="58"/>
        <v>834.23950930758201</v>
      </c>
      <c r="AM77" s="59">
        <f t="shared" si="59"/>
        <v>1127.5728426409153</v>
      </c>
      <c r="AN77" s="59">
        <f ca="1">AVERAGE(OFFSET($AM$3,0,0,'Données projet'!$E$10+1,1))-AVERAGE(OFFSET($H$3,0,0,'Données projet'!$E$10+1,1))</f>
        <v>396.27049617044378</v>
      </c>
      <c r="AO77" s="59">
        <f t="shared" si="90"/>
        <v>335.2680289568774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122.49552883737606</v>
      </c>
      <c r="AV77" s="21">
        <f>EXP(-LN(2)/25)*AV76+(1-EXP(-LN(2)/25))/(LN(2)/25)*Calculateur!AQ77*Calculateur!AS77*VLOOKUP('Données projet'!$B$10,Paramètres!$A$1:$I$89,3,0)*0.475*44/12</f>
        <v>13.879037096518523</v>
      </c>
      <c r="AW77" s="21">
        <f>EXP(-LN(2)/2)*AW76+(1-EXP(-LN(2)/2))/(LN(2)/2)*AQ77*AT77*VLOOKUP('Données projet'!$B$10,Paramètres!$A$1:$I$89,3,0)*0.475*44/12</f>
        <v>9.1680143844467695E-8</v>
      </c>
      <c r="AX77" s="21">
        <f t="shared" si="60"/>
        <v>136.37456602557472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9.4</v>
      </c>
      <c r="BD77" s="12">
        <f>IF('Données projet'!$A$88&gt;35,BD76+BC77-BL76,IF(A77&lt;'Données projet'!$A$88,$BA$205^A77,IF(A77='Données projet'!$A$88,'Données projet'!$B$88,BD76+BC77-BL76)))</f>
        <v>325.59999999999985</v>
      </c>
      <c r="BE77" s="13">
        <f>BD77*VLOOKUP('Données projet'!$B$11,Paramètres!$A$1:$I$89,3,0)*VLOOKUP('Données projet'!$B$11,Paramètres!$A$1:$I$89,5,0)</f>
        <v>279.36479999999989</v>
      </c>
      <c r="BF77" s="13">
        <f t="shared" si="91"/>
        <v>66.832755122992182</v>
      </c>
      <c r="BG77" s="20">
        <f t="shared" si="61"/>
        <v>602.96074183921121</v>
      </c>
      <c r="BH77" s="59">
        <f t="shared" si="62"/>
        <v>896.29407517254458</v>
      </c>
      <c r="BI77" s="59">
        <f ca="1">AVERAGE(OFFSET($BH$3,0,0,'Données projet'!$E$11+1,1))-AVERAGE(OFFSET($H$3,0,0,'Données projet'!$E$11+1,1))</f>
        <v>352.61091660077574</v>
      </c>
      <c r="BJ77" s="59">
        <f t="shared" si="92"/>
        <v>186.48649111821521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75.467365357724788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75.467365357724788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3.4</v>
      </c>
      <c r="BY77" s="12">
        <f>IF('Données projet'!$A$114&gt;35,BY76+BX77-CG76,IF(A77&lt;'Données projet'!$A$114,$BV$205^A77,IF(A77='Données projet'!$A$114,'Données projet'!$B$114,BY76+BX77-CG76)))</f>
        <v>266.5999999999998</v>
      </c>
      <c r="BZ77" s="13">
        <f>BY77*VLOOKUP('Données projet'!$B$12,Paramètres!$A$1:$I$89,3,0)*VLOOKUP('Données projet'!$B$12,Paramètres!$A$1:$I$89,5,0)</f>
        <v>212.10695999999984</v>
      </c>
      <c r="CA77" s="13">
        <f t="shared" si="93"/>
        <v>52.395741612408194</v>
      </c>
      <c r="CB77" s="20">
        <f t="shared" si="64"/>
        <v>460.67553864161067</v>
      </c>
      <c r="CC77" s="59">
        <f t="shared" si="65"/>
        <v>754.00887197494399</v>
      </c>
      <c r="CD77" s="59">
        <f ca="1">AVERAGE(OFFSET($CC$3,0,0,'Données projet'!$E$12+1,1))-AVERAGE(OFFSET($H$3,0,0,'Données projet'!$E$12+1,1))</f>
        <v>225.2323446080772</v>
      </c>
      <c r="CE77" s="59">
        <f t="shared" si="94"/>
        <v>222.29030402759292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40.382186709219688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40.382186709219688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2.6</v>
      </c>
      <c r="CT77" s="12">
        <f>IF('Données projet'!$A$140&gt;35,CT76+CS77-DB76,IF(A77&lt;'Données projet'!$A$140,$CQ$205^A77,IF(A77='Données projet'!$A$140,'Données projet'!$B$140,CT76+CS77-DB76)))</f>
        <v>211.4</v>
      </c>
      <c r="CU77" s="17">
        <f>CT77*VLOOKUP('Données projet'!$B$13,Paramètres!$A$1:$I$89,3,0)*VLOOKUP('Données projet'!$B$13,Paramètres!$A$1:$I$89,5,0)</f>
        <v>204.46608000000003</v>
      </c>
      <c r="CV77" s="13">
        <f t="shared" si="95"/>
        <v>50.724411813032809</v>
      </c>
      <c r="CW77" s="20">
        <f t="shared" si="67"/>
        <v>444.45677324103218</v>
      </c>
      <c r="CX77" s="59">
        <f t="shared" si="68"/>
        <v>737.7901065743655</v>
      </c>
      <c r="CY77" s="59">
        <f ca="1">AVERAGE(OFFSET($CX$3,0,0,'Données projet'!$E$13+1,1))-AVERAGE(OFFSET($H$3,0,0,'Données projet'!$E$13+1,1))</f>
        <v>212.32823943192528</v>
      </c>
      <c r="CZ77" s="59">
        <f t="shared" si="96"/>
        <v>209.60834138503003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30.842524886365887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30.842524886365887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5.2</v>
      </c>
      <c r="DO77" s="12">
        <f>IF('Données projet'!$A$166&gt;35,DO76+DN77-DW76,IF(A77&lt;'Données projet'!$A$166,$DL$205^A77,IF(A77='Données projet'!$A$166,'Données projet'!$B$166,DO76+DN77-DW76)))</f>
        <v>280.79999999999973</v>
      </c>
      <c r="DP77" s="17">
        <f>DO77*VLOOKUP('Données projet'!$B$14,Paramètres!$A$1:$I$89,3,0)*VLOOKUP('Données projet'!$B$14,Paramètres!$A$1:$I$89,5,0)</f>
        <v>219.0239999999998</v>
      </c>
      <c r="DQ77" s="13">
        <f t="shared" si="97"/>
        <v>53.902702081308306</v>
      </c>
      <c r="DR77" s="20">
        <f t="shared" si="70"/>
        <v>475.34733945827821</v>
      </c>
      <c r="DS77" s="59">
        <f t="shared" si="71"/>
        <v>768.68067279161153</v>
      </c>
      <c r="DT77" s="59">
        <f ca="1">AVERAGE(OFFSET($DS$3,0,0,'Données projet'!$E$14+1,1))-AVERAGE(OFFSET($H$3,0,0,'Données projet'!$E$14+1,1))</f>
        <v>215.84581110302656</v>
      </c>
      <c r="DU77" s="59">
        <f t="shared" si="98"/>
        <v>193.88588526156104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54.201738852086521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54.201738852086521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6">
        <f t="shared" si="56"/>
        <v>375.238961852476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401</v>
      </c>
      <c r="O78" s="13">
        <f>N78*VLOOKUP('Données projet'!$B$9,Paramètres!$A$1:$I$89,3,0)*VLOOKUP('Données projet'!$B$9,Paramètres!$A$1:$I$89,5,0)</f>
        <v>250.22399999999999</v>
      </c>
      <c r="P78" s="13">
        <f t="shared" si="87"/>
        <v>60.633904580527918</v>
      </c>
      <c r="Q78" s="20">
        <f t="shared" si="54"/>
        <v>541.41085047775289</v>
      </c>
      <c r="R78" s="59">
        <f t="shared" si="55"/>
        <v>834.74418381108626</v>
      </c>
      <c r="S78" s="59">
        <f ca="1">AVERAGE(OFFSET($R$3,0,0,'Données projet'!$E$9+1,1))-AVERAGE(OFFSET($H$3,0,0,'Données projet'!$E$9+1,1))</f>
        <v>269.77739619445515</v>
      </c>
      <c r="T78" s="59">
        <f t="shared" si="88"/>
        <v>347.56964743629885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56.897496745018387</v>
      </c>
      <c r="AA78" s="21">
        <f>EXP(-LN(2)/25)*AA77+(1-EXP(-LN(2)/25))/(LN(2)/25)*Calculateur!V78*Calculateur!X78*VLOOKUP('Données projet'!$B$9,Paramètres!$A$1:$I$89,3,0)*0.475*44/12</f>
        <v>26.346026247452329</v>
      </c>
      <c r="AB78" s="21">
        <f>EXP(-LN(2)/2)*AB77+(1-EXP(-LN(2)/2))/(LN(2)/2)*V78*Y78*VLOOKUP('Données projet'!$B$9,Paramètres!$A$1:$I$89,3,0)*0.475*44/12</f>
        <v>4.1874320290423263E-9</v>
      </c>
      <c r="AC78" s="22">
        <f t="shared" si="57"/>
        <v>83.243522996658143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806</v>
      </c>
      <c r="AG78" s="12">
        <f>VLOOKUP(A78,'Données projet'!$A$61:$I$81,9,0)</f>
        <v>17.8</v>
      </c>
      <c r="AH78" s="12">
        <f t="array" ref="AH78">INDEX(AG:AG,MIN(IF(ISNUMBER(AG78:AG274),ROW(AG78:AG274),"")))</f>
        <v>17.8</v>
      </c>
      <c r="AI78" s="13">
        <f>IF('Données projet'!$A$62&gt;35,AI77+AH78-AQ77,IF(A78&lt;'Données projet'!$A$62,$AF$205^A78,IF(A78='Données projet'!$A$62,'Données projet'!$B$62,AI77+AH78-AQ77)))</f>
        <v>805.99999999999977</v>
      </c>
      <c r="AJ78" s="13">
        <f>AI78*VLOOKUP('Données projet'!$B$10,Paramètres!$A$1:$I$89,3,0)*VLOOKUP('Données projet'!$B$10,Paramètres!$A$1:$I$89,5,0)</f>
        <v>398.16399999999993</v>
      </c>
      <c r="AK78" s="13">
        <f t="shared" si="89"/>
        <v>91.4043447928848</v>
      </c>
      <c r="AL78" s="20">
        <f t="shared" si="58"/>
        <v>852.66486718094075</v>
      </c>
      <c r="AM78" s="59">
        <f t="shared" si="59"/>
        <v>1145.998200514274</v>
      </c>
      <c r="AN78" s="59">
        <f ca="1">AVERAGE(OFFSET($AM$3,0,0,'Données projet'!$E$10+1,1))-AVERAGE(OFFSET($H$3,0,0,'Données projet'!$E$10+1,1))</f>
        <v>396.27049617044378</v>
      </c>
      <c r="AO78" s="59">
        <f t="shared" si="90"/>
        <v>335.2680289568774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52</v>
      </c>
      <c r="AR78" s="16">
        <f>IF(ISNA(VLOOKUP(A78,'Données projet'!$A$61:$I$81,5,0)),0%,VLOOKUP(A78,'Données projet'!$A$61:$I$81,5,0)*VLOOKUP('Données projet'!$B$10,Paramètres!$A$1:$I$89,7,0))</f>
        <v>0.55000000000000004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138.83569948400222</v>
      </c>
      <c r="AV78" s="21">
        <f>EXP(-LN(2)/25)*AV77+(1-EXP(-LN(2)/25))/(LN(2)/25)*Calculateur!AQ78*Calculateur!AS78*VLOOKUP('Données projet'!$B$10,Paramètres!$A$1:$I$89,3,0)*0.475*44/12</f>
        <v>13.499514097247385</v>
      </c>
      <c r="AW78" s="21">
        <f>EXP(-LN(2)/2)*AW77+(1-EXP(-LN(2)/2))/(LN(2)/2)*AQ78*AT78*VLOOKUP('Données projet'!$B$10,Paramètres!$A$1:$I$89,3,0)*0.475*44/12</f>
        <v>6.482765141258122E-8</v>
      </c>
      <c r="AX78" s="21">
        <f t="shared" si="60"/>
        <v>152.33521364607725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335</v>
      </c>
      <c r="BB78" s="12">
        <f>VLOOKUP(A78,'Données projet'!$A$87:$I$107,9,0)</f>
        <v>9.4</v>
      </c>
      <c r="BC78" s="12">
        <f t="array" ref="BC78">INDEX(BB:BB,MIN(IF(ISNUMBER(BB78:BB274),ROW(BB78:BB274),"")))</f>
        <v>9.4</v>
      </c>
      <c r="BD78" s="12">
        <f>IF('Données projet'!$A$88&gt;35,BD77+BC78-BL77,IF(A78&lt;'Données projet'!$A$88,$BA$205^A78,IF(A78='Données projet'!$A$88,'Données projet'!$B$88,BD77+BC78-BL77)))</f>
        <v>334.99999999999983</v>
      </c>
      <c r="BE78" s="13">
        <f>BD78*VLOOKUP('Données projet'!$B$11,Paramètres!$A$1:$I$89,3,0)*VLOOKUP('Données projet'!$B$11,Paramètres!$A$1:$I$89,5,0)</f>
        <v>287.42999999999989</v>
      </c>
      <c r="BF78" s="13">
        <f t="shared" si="91"/>
        <v>68.534780142555746</v>
      </c>
      <c r="BG78" s="20">
        <f t="shared" si="61"/>
        <v>619.97199208161771</v>
      </c>
      <c r="BH78" s="59">
        <f t="shared" si="62"/>
        <v>913.30532541495108</v>
      </c>
      <c r="BI78" s="59">
        <f ca="1">AVERAGE(OFFSET($BH$3,0,0,'Données projet'!$E$11+1,1))-AVERAGE(OFFSET($H$3,0,0,'Données projet'!$E$11+1,1))</f>
        <v>352.61091660077574</v>
      </c>
      <c r="BJ78" s="59">
        <f t="shared" si="92"/>
        <v>186.48649111821521</v>
      </c>
      <c r="BK78" s="15">
        <f>IF(ISNA(VLOOKUP(A78,'Données projet'!$A$87:$I$107,3,0)),0,VLOOKUP(A78,'Données projet'!$A$87:$I$107,3,0))</f>
        <v>11</v>
      </c>
      <c r="BL78" s="15">
        <f>IF(ISNA(VLOOKUP(A78,'Données projet'!$A$87:$I$107,4,0)),0,VLOOKUP(A78,'Données projet'!$A$87:$I$107,4,0))</f>
        <v>28</v>
      </c>
      <c r="BM78" s="16">
        <f>IF(ISNA(VLOOKUP(A78,'Données projet'!$A$87:$I$107,5,0)),0%,VLOOKUP(A78,'Données projet'!$A$87:$I$107,5,0)*VLOOKUP('Données projet'!$B$11,Paramètres!$A$1:$I$89,7,0))</f>
        <v>0.53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88.063141164494326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88.063141164494326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270</v>
      </c>
      <c r="BW78" s="12">
        <f>VLOOKUP(A78,'Données projet'!$A$113:$I$133,9,0)</f>
        <v>3.4</v>
      </c>
      <c r="BX78" s="12">
        <f t="array" ref="BX78">INDEX(BW:BW,MIN(IF(ISNUMBER(BW78:BW274),ROW(BW78:BW274),"")))</f>
        <v>3.4</v>
      </c>
      <c r="BY78" s="12">
        <f>IF('Données projet'!$A$114&gt;35,BY77+BX78-CG77,IF(A78&lt;'Données projet'!$A$114,$BV$205^A78,IF(A78='Données projet'!$A$114,'Données projet'!$B$114,BY77+BX78-CG77)))</f>
        <v>269.99999999999977</v>
      </c>
      <c r="BZ78" s="13">
        <f>BY78*VLOOKUP('Données projet'!$B$12,Paramètres!$A$1:$I$89,3,0)*VLOOKUP('Données projet'!$B$12,Paramètres!$A$1:$I$89,5,0)</f>
        <v>214.81199999999981</v>
      </c>
      <c r="CA78" s="13">
        <f t="shared" si="93"/>
        <v>52.985738231738011</v>
      </c>
      <c r="CB78" s="20">
        <f t="shared" si="64"/>
        <v>466.41439408694333</v>
      </c>
      <c r="CC78" s="59">
        <f t="shared" si="65"/>
        <v>759.74772742027665</v>
      </c>
      <c r="CD78" s="59">
        <f ca="1">AVERAGE(OFFSET($CC$3,0,0,'Données projet'!$E$12+1,1))-AVERAGE(OFFSET($H$3,0,0,'Données projet'!$E$12+1,1))</f>
        <v>225.2323446080772</v>
      </c>
      <c r="CE78" s="59">
        <f t="shared" si="94"/>
        <v>222.29030402759292</v>
      </c>
      <c r="CF78" s="15">
        <f>IF(ISNA(VLOOKUP(A78,'Données projet'!$A$113:$I$133,3,0)),0,VLOOKUP(A78,'Données projet'!$A$113:$I$133,3,0))</f>
        <v>13</v>
      </c>
      <c r="CG78" s="15">
        <f>IF(ISNA(VLOOKUP(A78,'Données projet'!$A$113:$I$133,4,0)),0,VLOOKUP(A78,'Données projet'!$A$113:$I$133,4,0))</f>
        <v>9</v>
      </c>
      <c r="CH78" s="16">
        <f>IF(ISNA(VLOOKUP(A78,'Données projet'!$A$113:$I$133,5,0)),0%,VLOOKUP(A78,'Données projet'!$A$113:$I$133,5,0)*VLOOKUP('Données projet'!$B$12,Paramètres!$A$1:$I$89,7,0))</f>
        <v>0.53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43.785590014525802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43.785590014525802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214</v>
      </c>
      <c r="CR78" s="12">
        <f>VLOOKUP(A78,'Données projet'!$A$139:$I$159,9,0)</f>
        <v>2.6</v>
      </c>
      <c r="CS78" s="12">
        <f t="array" ref="CS78">INDEX(CR:CR,MIN(IF(ISNUMBER(CR78:CR274),ROW(CR78:CR274),"")))</f>
        <v>2.6</v>
      </c>
      <c r="CT78" s="12">
        <f>IF('Données projet'!$A$140&gt;35,CT77+CS78-DB77,IF(A78&lt;'Données projet'!$A$140,$CQ$205^A78,IF(A78='Données projet'!$A$140,'Données projet'!$B$140,CT77+CS78-DB77)))</f>
        <v>214</v>
      </c>
      <c r="CU78" s="17">
        <f>CT78*VLOOKUP('Données projet'!$B$13,Paramètres!$A$1:$I$89,3,0)*VLOOKUP('Données projet'!$B$13,Paramètres!$A$1:$I$89,5,0)</f>
        <v>206.98080000000002</v>
      </c>
      <c r="CV78" s="13">
        <f t="shared" si="95"/>
        <v>51.275259496675787</v>
      </c>
      <c r="CW78" s="20">
        <f t="shared" si="67"/>
        <v>449.79597029004367</v>
      </c>
      <c r="CX78" s="59">
        <f t="shared" si="68"/>
        <v>743.12930362337693</v>
      </c>
      <c r="CY78" s="59">
        <f ca="1">AVERAGE(OFFSET($CX$3,0,0,'Données projet'!$E$13+1,1))-AVERAGE(OFFSET($H$3,0,0,'Données projet'!$E$13+1,1))</f>
        <v>212.32823943192528</v>
      </c>
      <c r="CZ78" s="59">
        <f t="shared" si="96"/>
        <v>209.60834138503003</v>
      </c>
      <c r="DA78" s="15">
        <f>IF(ISNA(VLOOKUP(A78,'Données projet'!$A$139:$I$159,3,0)),0,VLOOKUP(A78,'Données projet'!$A$139:$I$159,3,0))</f>
        <v>12</v>
      </c>
      <c r="DB78" s="15">
        <f>IF(ISNA(VLOOKUP(A78,'Données projet'!$A$139:$I$159,4,0)),0,VLOOKUP(A78,'Données projet'!$A$139:$I$159,4,0))</f>
        <v>7</v>
      </c>
      <c r="DC78" s="16">
        <f>IF(ISNA(VLOOKUP(A78,'Données projet'!$A$139:$I$159,5,0)),0%,VLOOKUP(A78,'Données projet'!$A$139:$I$159,5,0)*VLOOKUP('Données projet'!$B$13,Paramètres!$A$1:$I$89,7,0))</f>
        <v>0.43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33.456046748190545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33.456046748190545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286</v>
      </c>
      <c r="DM78" s="12">
        <f>VLOOKUP(A78,'Données projet'!$A$165:$I$185,9,0)</f>
        <v>5.2</v>
      </c>
      <c r="DN78" s="12">
        <f t="array" ref="DN78">INDEX(DM:DM,MIN(IF(ISNUMBER(DM78:DM274),ROW(DM78:DM274),"")))</f>
        <v>5.2</v>
      </c>
      <c r="DO78" s="12">
        <f>IF('Données projet'!$A$166&gt;35,DO77+DN78-DW77,IF(A78&lt;'Données projet'!$A$166,$DL$205^A78,IF(A78='Données projet'!$A$166,'Données projet'!$B$166,DO77+DN78-DW77)))</f>
        <v>285.99999999999972</v>
      </c>
      <c r="DP78" s="17">
        <f>DO78*VLOOKUP('Données projet'!$B$14,Paramètres!$A$1:$I$89,3,0)*VLOOKUP('Données projet'!$B$14,Paramètres!$A$1:$I$89,5,0)</f>
        <v>223.07999999999979</v>
      </c>
      <c r="DQ78" s="13">
        <f t="shared" si="97"/>
        <v>54.783765878062617</v>
      </c>
      <c r="DR78" s="20">
        <f t="shared" si="70"/>
        <v>483.94605890429199</v>
      </c>
      <c r="DS78" s="59">
        <f t="shared" si="71"/>
        <v>777.2793922376253</v>
      </c>
      <c r="DT78" s="59">
        <f ca="1">AVERAGE(OFFSET($DS$3,0,0,'Données projet'!$E$14+1,1))-AVERAGE(OFFSET($H$3,0,0,'Données projet'!$E$14+1,1))</f>
        <v>215.84581110302656</v>
      </c>
      <c r="DU78" s="59">
        <f t="shared" si="98"/>
        <v>193.88588526156104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53.138875812993419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53.138875812993419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6">
        <f t="shared" si="56"/>
        <v>376.30125896348062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401</v>
      </c>
      <c r="O79" s="13">
        <f>N79*VLOOKUP('Données projet'!$B$9,Paramètres!$A$1:$I$89,3,0)*VLOOKUP('Données projet'!$B$9,Paramètres!$A$1:$I$89,5,0)</f>
        <v>250.22399999999999</v>
      </c>
      <c r="P79" s="13">
        <f t="shared" si="87"/>
        <v>60.633904580527918</v>
      </c>
      <c r="Q79" s="20">
        <f t="shared" si="54"/>
        <v>541.41085047775289</v>
      </c>
      <c r="R79" s="59">
        <f t="shared" si="55"/>
        <v>834.74418381108626</v>
      </c>
      <c r="S79" s="59">
        <f ca="1">AVERAGE(OFFSET($R$3,0,0,'Données projet'!$E$9+1,1))-AVERAGE(OFFSET($H$3,0,0,'Données projet'!$E$9+1,1))</f>
        <v>269.77739619445515</v>
      </c>
      <c r="T79" s="59">
        <f t="shared" si="88"/>
        <v>347.56964743629885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55.781771537894848</v>
      </c>
      <c r="AA79" s="21">
        <f>EXP(-LN(2)/25)*AA78+(1-EXP(-LN(2)/25))/(LN(2)/25)*Calculateur!V79*Calculateur!X79*VLOOKUP('Données projet'!$B$9,Paramètres!$A$1:$I$89,3,0)*0.475*44/12</f>
        <v>25.625592774238438</v>
      </c>
      <c r="AB79" s="21">
        <f>EXP(-LN(2)/2)*AB78+(1-EXP(-LN(2)/2))/(LN(2)/2)*V79*Y79*VLOOKUP('Données projet'!$B$9,Paramètres!$A$1:$I$89,3,0)*0.475*44/12</f>
        <v>2.960961583493573E-9</v>
      </c>
      <c r="AC79" s="22">
        <f t="shared" si="57"/>
        <v>81.407364315094242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17.2</v>
      </c>
      <c r="AI79" s="13">
        <f>IF('Données projet'!$A$62&gt;35,AI78+AH79-AQ78,IF(A79&lt;'Données projet'!$A$62,$AF$205^A79,IF(A79='Données projet'!$A$62,'Données projet'!$B$62,AI78+AH79-AQ78)))</f>
        <v>771.19999999999982</v>
      </c>
      <c r="AJ79" s="13">
        <f>AI79*VLOOKUP('Données projet'!$B$10,Paramètres!$A$1:$I$89,3,0)*VLOOKUP('Données projet'!$B$10,Paramètres!$A$1:$I$89,5,0)</f>
        <v>380.97279999999989</v>
      </c>
      <c r="AK79" s="13">
        <f t="shared" si="89"/>
        <v>87.908319228926914</v>
      </c>
      <c r="AL79" s="20">
        <f t="shared" si="58"/>
        <v>816.63461599038089</v>
      </c>
      <c r="AM79" s="59">
        <f t="shared" si="59"/>
        <v>1109.9679493237143</v>
      </c>
      <c r="AN79" s="59">
        <f ca="1">AVERAGE(OFFSET($AM$3,0,0,'Données projet'!$E$10+1,1))-AVERAGE(OFFSET($H$3,0,0,'Données projet'!$E$10+1,1))</f>
        <v>396.27049617044378</v>
      </c>
      <c r="AO79" s="59">
        <f t="shared" si="90"/>
        <v>335.2680289568774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136.11321609853601</v>
      </c>
      <c r="AV79" s="21">
        <f>EXP(-LN(2)/25)*AV78+(1-EXP(-LN(2)/25))/(LN(2)/25)*Calculateur!AQ79*Calculateur!AS79*VLOOKUP('Données projet'!$B$10,Paramètres!$A$1:$I$89,3,0)*0.475*44/12</f>
        <v>13.130369174349562</v>
      </c>
      <c r="AW79" s="21">
        <f>EXP(-LN(2)/2)*AW78+(1-EXP(-LN(2)/2))/(LN(2)/2)*AQ79*AT79*VLOOKUP('Données projet'!$B$10,Paramètres!$A$1:$I$89,3,0)*0.475*44/12</f>
        <v>4.5840071922233848E-8</v>
      </c>
      <c r="AX79" s="21">
        <f t="shared" si="60"/>
        <v>149.24358531872565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8.8000000000000007</v>
      </c>
      <c r="BD79" s="12">
        <f>IF('Données projet'!$A$88&gt;35,BD78+BC79-BL78,IF(A79&lt;'Données projet'!$A$88,$BA$205^A79,IF(A79='Données projet'!$A$88,'Données projet'!$B$88,BD78+BC79-BL78)))</f>
        <v>315.79999999999984</v>
      </c>
      <c r="BE79" s="13">
        <f>BD79*VLOOKUP('Données projet'!$B$11,Paramètres!$A$1:$I$89,3,0)*VLOOKUP('Données projet'!$B$11,Paramètres!$A$1:$I$89,5,0)</f>
        <v>270.95639999999986</v>
      </c>
      <c r="BF79" s="13">
        <f t="shared" si="91"/>
        <v>65.052199716598722</v>
      </c>
      <c r="BG79" s="20">
        <f t="shared" si="61"/>
        <v>585.21497783974257</v>
      </c>
      <c r="BH79" s="59">
        <f t="shared" si="62"/>
        <v>878.54831117307594</v>
      </c>
      <c r="BI79" s="59">
        <f ca="1">AVERAGE(OFFSET($BH$3,0,0,'Données projet'!$E$11+1,1))-AVERAGE(OFFSET($H$3,0,0,'Données projet'!$E$11+1,1))</f>
        <v>352.61091660077574</v>
      </c>
      <c r="BJ79" s="59">
        <f t="shared" si="92"/>
        <v>186.48649111821521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86.33627667947097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86.33627667947097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2.8</v>
      </c>
      <c r="BY79" s="12">
        <f>IF('Données projet'!$A$114&gt;35,BY78+BX79-CG78,IF(A79&lt;'Données projet'!$A$114,$BV$205^A79,IF(A79='Données projet'!$A$114,'Données projet'!$B$114,BY78+BX79-CG78)))</f>
        <v>263.79999999999978</v>
      </c>
      <c r="BZ79" s="13">
        <f>BY79*VLOOKUP('Données projet'!$B$12,Paramètres!$A$1:$I$89,3,0)*VLOOKUP('Données projet'!$B$12,Paramètres!$A$1:$I$89,5,0)</f>
        <v>209.87927999999985</v>
      </c>
      <c r="CA79" s="13">
        <f t="shared" si="93"/>
        <v>51.909204458241767</v>
      </c>
      <c r="CB79" s="20">
        <f t="shared" si="64"/>
        <v>455.94827709810414</v>
      </c>
      <c r="CC79" s="59">
        <f t="shared" si="65"/>
        <v>749.28161043143746</v>
      </c>
      <c r="CD79" s="59">
        <f ca="1">AVERAGE(OFFSET($CC$3,0,0,'Données projet'!$E$12+1,1))-AVERAGE(OFFSET($H$3,0,0,'Données projet'!$E$12+1,1))</f>
        <v>225.2323446080772</v>
      </c>
      <c r="CE79" s="59">
        <f t="shared" si="94"/>
        <v>222.29030402759292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42.926981300913802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42.926981300913802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2.4</v>
      </c>
      <c r="CT79" s="12">
        <f>IF('Données projet'!$A$140&gt;35,CT78+CS79-DB78,IF(A79&lt;'Données projet'!$A$140,$CQ$205^A79,IF(A79='Données projet'!$A$140,'Données projet'!$B$140,CT78+CS79-DB78)))</f>
        <v>209.4</v>
      </c>
      <c r="CU79" s="17">
        <f>CT79*VLOOKUP('Données projet'!$B$13,Paramètres!$A$1:$I$89,3,0)*VLOOKUP('Données projet'!$B$13,Paramètres!$A$1:$I$89,5,0)</f>
        <v>202.53168000000002</v>
      </c>
      <c r="CV79" s="13">
        <f t="shared" si="95"/>
        <v>50.300146380562893</v>
      </c>
      <c r="CW79" s="20">
        <f t="shared" si="67"/>
        <v>440.34876427948035</v>
      </c>
      <c r="CX79" s="59">
        <f t="shared" si="68"/>
        <v>733.68209761281366</v>
      </c>
      <c r="CY79" s="59">
        <f ca="1">AVERAGE(OFFSET($CX$3,0,0,'Données projet'!$E$13+1,1))-AVERAGE(OFFSET($H$3,0,0,'Données projet'!$E$13+1,1))</f>
        <v>212.32823943192528</v>
      </c>
      <c r="CZ79" s="59">
        <f t="shared" si="96"/>
        <v>209.60834138503003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32.7999940776321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32.7999940776321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285.99999999999972</v>
      </c>
      <c r="DP79" s="17">
        <f>DO79*VLOOKUP('Données projet'!$B$14,Paramètres!$A$1:$I$89,3,0)*VLOOKUP('Données projet'!$B$14,Paramètres!$A$1:$I$89,5,0)</f>
        <v>223.07999999999979</v>
      </c>
      <c r="DQ79" s="13">
        <f t="shared" si="97"/>
        <v>54.783765878062617</v>
      </c>
      <c r="DR79" s="20">
        <f t="shared" si="70"/>
        <v>483.94605890429199</v>
      </c>
      <c r="DS79" s="59">
        <f t="shared" si="71"/>
        <v>777.2793922376253</v>
      </c>
      <c r="DT79" s="59">
        <f ca="1">AVERAGE(OFFSET($DS$3,0,0,'Données projet'!$E$14+1,1))-AVERAGE(OFFSET($H$3,0,0,'Données projet'!$E$14+1,1))</f>
        <v>215.84581110302656</v>
      </c>
      <c r="DU79" s="59">
        <f t="shared" si="98"/>
        <v>193.88588526156104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52.096854869814493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52.096854869814493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6">
        <f t="shared" si="56"/>
        <v>377.36321240284718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401</v>
      </c>
      <c r="O80" s="13">
        <f>N80*VLOOKUP('Données projet'!$B$9,Paramètres!$A$1:$I$89,3,0)*VLOOKUP('Données projet'!$B$9,Paramètres!$A$1:$I$89,5,0)</f>
        <v>250.22399999999999</v>
      </c>
      <c r="P80" s="13">
        <f t="shared" si="87"/>
        <v>60.633904580527918</v>
      </c>
      <c r="Q80" s="20">
        <f t="shared" si="54"/>
        <v>541.41085047775289</v>
      </c>
      <c r="R80" s="59">
        <f t="shared" si="55"/>
        <v>834.74418381108626</v>
      </c>
      <c r="S80" s="59">
        <f ca="1">AVERAGE(OFFSET($R$3,0,0,'Données projet'!$E$9+1,1))-AVERAGE(OFFSET($H$3,0,0,'Données projet'!$E$9+1,1))</f>
        <v>269.77739619445515</v>
      </c>
      <c r="T80" s="59">
        <f t="shared" si="88"/>
        <v>347.56964743629885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54.687925021557824</v>
      </c>
      <c r="AA80" s="21">
        <f>EXP(-LN(2)/25)*AA79+(1-EXP(-LN(2)/25))/(LN(2)/25)*Calculateur!V80*Calculateur!X80*VLOOKUP('Données projet'!$B$9,Paramètres!$A$1:$I$89,3,0)*0.475*44/12</f>
        <v>24.924859592235531</v>
      </c>
      <c r="AB80" s="21">
        <f>EXP(-LN(2)/2)*AB79+(1-EXP(-LN(2)/2))/(LN(2)/2)*V80*Y80*VLOOKUP('Données projet'!$B$9,Paramètres!$A$1:$I$89,3,0)*0.475*44/12</f>
        <v>2.0937160145211631E-9</v>
      </c>
      <c r="AC80" s="22">
        <f t="shared" si="57"/>
        <v>79.612784615887065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17.2</v>
      </c>
      <c r="AI80" s="13">
        <f>IF('Données projet'!$A$62&gt;35,AI79+AH80-AQ79,IF(A80&lt;'Données projet'!$A$62,$AF$205^A80,IF(A80='Données projet'!$A$62,'Données projet'!$B$62,AI79+AH80-AQ79)))</f>
        <v>788.39999999999986</v>
      </c>
      <c r="AJ80" s="13">
        <f>AI80*VLOOKUP('Données projet'!$B$10,Paramètres!$A$1:$I$89,3,0)*VLOOKUP('Données projet'!$B$10,Paramètres!$A$1:$I$89,5,0)</f>
        <v>389.4695999999999</v>
      </c>
      <c r="AK80" s="13">
        <f t="shared" si="89"/>
        <v>89.638484725881028</v>
      </c>
      <c r="AL80" s="20">
        <f t="shared" si="58"/>
        <v>834.44658089757593</v>
      </c>
      <c r="AM80" s="59">
        <f t="shared" si="59"/>
        <v>1127.7799142309093</v>
      </c>
      <c r="AN80" s="59">
        <f ca="1">AVERAGE(OFFSET($AM$3,0,0,'Données projet'!$E$10+1,1))-AVERAGE(OFFSET($H$3,0,0,'Données projet'!$E$10+1,1))</f>
        <v>396.27049617044378</v>
      </c>
      <c r="AO80" s="59">
        <f t="shared" si="90"/>
        <v>335.2680289568774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133.44411895170791</v>
      </c>
      <c r="AV80" s="21">
        <f>EXP(-LN(2)/25)*AV79+(1-EXP(-LN(2)/25))/(LN(2)/25)*Calculateur!AQ80*Calculateur!AS80*VLOOKUP('Données projet'!$B$10,Paramètres!$A$1:$I$89,3,0)*0.475*44/12</f>
        <v>12.771318538780868</v>
      </c>
      <c r="AW80" s="21">
        <f>EXP(-LN(2)/2)*AW79+(1-EXP(-LN(2)/2))/(LN(2)/2)*AQ80*AT80*VLOOKUP('Données projet'!$B$10,Paramètres!$A$1:$I$89,3,0)*0.475*44/12</f>
        <v>3.241382570629061E-8</v>
      </c>
      <c r="AX80" s="21">
        <f t="shared" si="60"/>
        <v>146.21543752290259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8.8000000000000007</v>
      </c>
      <c r="BD80" s="12">
        <f>IF('Données projet'!$A$88&gt;35,BD79+BC80-BL79,IF(A80&lt;'Données projet'!$A$88,$BA$205^A80,IF(A80='Données projet'!$A$88,'Données projet'!$B$88,BD79+BC80-BL79)))</f>
        <v>324.59999999999985</v>
      </c>
      <c r="BE80" s="13">
        <f>BD80*VLOOKUP('Données projet'!$B$11,Paramètres!$A$1:$I$89,3,0)*VLOOKUP('Données projet'!$B$11,Paramètres!$A$1:$I$89,5,0)</f>
        <v>278.50679999999994</v>
      </c>
      <c r="BF80" s="13">
        <f t="shared" si="91"/>
        <v>66.651354661909949</v>
      </c>
      <c r="BG80" s="20">
        <f t="shared" si="61"/>
        <v>601.15045270282633</v>
      </c>
      <c r="BH80" s="59">
        <f t="shared" si="62"/>
        <v>894.4837860361597</v>
      </c>
      <c r="BI80" s="59">
        <f ca="1">AVERAGE(OFFSET($BH$3,0,0,'Données projet'!$E$11+1,1))-AVERAGE(OFFSET($H$3,0,0,'Données projet'!$E$11+1,1))</f>
        <v>352.61091660077574</v>
      </c>
      <c r="BJ80" s="59">
        <f t="shared" si="92"/>
        <v>186.48649111821521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84.643274953715576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84.643274953715576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2.8</v>
      </c>
      <c r="BY80" s="12">
        <f>IF('Données projet'!$A$114&gt;35,BY79+BX80-CG79,IF(A80&lt;'Données projet'!$A$114,$BV$205^A80,IF(A80='Données projet'!$A$114,'Données projet'!$B$114,BY79+BX80-CG79)))</f>
        <v>266.5999999999998</v>
      </c>
      <c r="BZ80" s="13">
        <f>BY80*VLOOKUP('Données projet'!$B$12,Paramètres!$A$1:$I$89,3,0)*VLOOKUP('Données projet'!$B$12,Paramètres!$A$1:$I$89,5,0)</f>
        <v>212.10695999999984</v>
      </c>
      <c r="CA80" s="13">
        <f t="shared" si="93"/>
        <v>52.395741612408194</v>
      </c>
      <c r="CB80" s="20">
        <f t="shared" si="64"/>
        <v>460.67553864161067</v>
      </c>
      <c r="CC80" s="59">
        <f t="shared" si="65"/>
        <v>754.00887197494399</v>
      </c>
      <c r="CD80" s="59">
        <f ca="1">AVERAGE(OFFSET($CC$3,0,0,'Données projet'!$E$12+1,1))-AVERAGE(OFFSET($H$3,0,0,'Données projet'!$E$12+1,1))</f>
        <v>225.2323446080772</v>
      </c>
      <c r="CE80" s="59">
        <f t="shared" si="94"/>
        <v>222.29030402759292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42.08520938047613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42.08520938047613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2.4</v>
      </c>
      <c r="CT80" s="12">
        <f>IF('Données projet'!$A$140&gt;35,CT79+CS80-DB79,IF(A80&lt;'Données projet'!$A$140,$CQ$205^A80,IF(A80='Données projet'!$A$140,'Données projet'!$B$140,CT79+CS80-DB79)))</f>
        <v>211.8</v>
      </c>
      <c r="CU80" s="17">
        <f>CT80*VLOOKUP('Données projet'!$B$13,Paramètres!$A$1:$I$89,3,0)*VLOOKUP('Données projet'!$B$13,Paramètres!$A$1:$I$89,5,0)</f>
        <v>204.85296000000002</v>
      </c>
      <c r="CV80" s="13">
        <f t="shared" si="95"/>
        <v>50.809208706178651</v>
      </c>
      <c r="CW80" s="20">
        <f t="shared" si="67"/>
        <v>445.27827716326118</v>
      </c>
      <c r="CX80" s="59">
        <f t="shared" si="68"/>
        <v>738.61161049659449</v>
      </c>
      <c r="CY80" s="59">
        <f ca="1">AVERAGE(OFFSET($CX$3,0,0,'Données projet'!$E$13+1,1))-AVERAGE(OFFSET($H$3,0,0,'Données projet'!$E$13+1,1))</f>
        <v>212.32823943192528</v>
      </c>
      <c r="CZ80" s="59">
        <f t="shared" si="96"/>
        <v>209.60834138503003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32.156806199790694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32.156806199790694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285.99999999999972</v>
      </c>
      <c r="DP80" s="17">
        <f>DO80*VLOOKUP('Données projet'!$B$14,Paramètres!$A$1:$I$89,3,0)*VLOOKUP('Données projet'!$B$14,Paramètres!$A$1:$I$89,5,0)</f>
        <v>223.07999999999979</v>
      </c>
      <c r="DQ80" s="13">
        <f t="shared" si="97"/>
        <v>54.783765878062617</v>
      </c>
      <c r="DR80" s="20">
        <f t="shared" si="70"/>
        <v>483.94605890429199</v>
      </c>
      <c r="DS80" s="59">
        <f t="shared" si="71"/>
        <v>777.2793922376253</v>
      </c>
      <c r="DT80" s="59">
        <f ca="1">AVERAGE(OFFSET($DS$3,0,0,'Données projet'!$E$14+1,1))-AVERAGE(OFFSET($H$3,0,0,'Données projet'!$E$14+1,1))</f>
        <v>215.84581110302656</v>
      </c>
      <c r="DU80" s="59">
        <f t="shared" si="98"/>
        <v>193.88588526156104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51.075267321761288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51.075267321761288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6">
        <f t="shared" si="56"/>
        <v>378.42482714988546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401</v>
      </c>
      <c r="O81" s="13">
        <f>N81*VLOOKUP('Données projet'!$B$9,Paramètres!$A$1:$I$89,3,0)*VLOOKUP('Données projet'!$B$9,Paramètres!$A$1:$I$89,5,0)</f>
        <v>250.22399999999999</v>
      </c>
      <c r="P81" s="13">
        <f t="shared" si="87"/>
        <v>60.633904580527918</v>
      </c>
      <c r="Q81" s="20">
        <f t="shared" si="54"/>
        <v>541.41085047775289</v>
      </c>
      <c r="R81" s="59">
        <f t="shared" si="55"/>
        <v>834.74418381108626</v>
      </c>
      <c r="S81" s="59">
        <f ca="1">AVERAGE(OFFSET($R$3,0,0,'Données projet'!$E$9+1,1))-AVERAGE(OFFSET($H$3,0,0,'Données projet'!$E$9+1,1))</f>
        <v>269.77739619445515</v>
      </c>
      <c r="T81" s="59">
        <f t="shared" si="88"/>
        <v>347.56964743629885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53.615528168225673</v>
      </c>
      <c r="AA81" s="21">
        <f>EXP(-LN(2)/25)*AA80+(1-EXP(-LN(2)/25))/(LN(2)/25)*Calculateur!V81*Calculateur!X81*VLOOKUP('Données projet'!$B$9,Paramètres!$A$1:$I$89,3,0)*0.475*44/12</f>
        <v>24.243287995944453</v>
      </c>
      <c r="AB81" s="21">
        <f>EXP(-LN(2)/2)*AB80+(1-EXP(-LN(2)/2))/(LN(2)/2)*V81*Y81*VLOOKUP('Données projet'!$B$9,Paramètres!$A$1:$I$89,3,0)*0.475*44/12</f>
        <v>1.4804807917467865E-9</v>
      </c>
      <c r="AC81" s="22">
        <f t="shared" si="57"/>
        <v>77.858816165650609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17.2</v>
      </c>
      <c r="AI81" s="13">
        <f>IF('Données projet'!$A$62&gt;35,AI80+AH81-AQ80,IF(A81&lt;'Données projet'!$A$62,$AF$205^A81,IF(A81='Données projet'!$A$62,'Données projet'!$B$62,AI80+AH81-AQ80)))</f>
        <v>805.59999999999991</v>
      </c>
      <c r="AJ81" s="13">
        <f>AI81*VLOOKUP('Données projet'!$B$10,Paramètres!$A$1:$I$89,3,0)*VLOOKUP('Données projet'!$B$10,Paramètres!$A$1:$I$89,5,0)</f>
        <v>397.96640000000002</v>
      </c>
      <c r="AK81" s="13">
        <f t="shared" si="89"/>
        <v>91.364261809136821</v>
      </c>
      <c r="AL81" s="20">
        <f t="shared" si="58"/>
        <v>852.2509026509133</v>
      </c>
      <c r="AM81" s="59">
        <f t="shared" si="59"/>
        <v>1145.5842359842466</v>
      </c>
      <c r="AN81" s="59">
        <f ca="1">AVERAGE(OFFSET($AM$3,0,0,'Données projet'!$E$10+1,1))-AVERAGE(OFFSET($H$3,0,0,'Données projet'!$E$10+1,1))</f>
        <v>396.27049617044378</v>
      </c>
      <c r="AO81" s="59">
        <f t="shared" si="90"/>
        <v>335.2680289568774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130.82736117194059</v>
      </c>
      <c r="AV81" s="21">
        <f>EXP(-LN(2)/25)*AV80+(1-EXP(-LN(2)/25))/(LN(2)/25)*Calculateur!AQ81*Calculateur!AS81*VLOOKUP('Données projet'!$B$10,Paramètres!$A$1:$I$89,3,0)*0.475*44/12</f>
        <v>12.422086161723453</v>
      </c>
      <c r="AW81" s="21">
        <f>EXP(-LN(2)/2)*AW80+(1-EXP(-LN(2)/2))/(LN(2)/2)*AQ81*AT81*VLOOKUP('Données projet'!$B$10,Paramètres!$A$1:$I$89,3,0)*0.475*44/12</f>
        <v>2.2920035961116924E-8</v>
      </c>
      <c r="AX81" s="21">
        <f t="shared" si="60"/>
        <v>143.24944735658408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8.8000000000000007</v>
      </c>
      <c r="BD81" s="12">
        <f>IF('Données projet'!$A$88&gt;35,BD80+BC81-BL80,IF(A81&lt;'Données projet'!$A$88,$BA$205^A81,IF(A81='Données projet'!$A$88,'Données projet'!$B$88,BD80+BC81-BL80)))</f>
        <v>333.39999999999986</v>
      </c>
      <c r="BE81" s="13">
        <f>BD81*VLOOKUP('Données projet'!$B$11,Paramètres!$A$1:$I$89,3,0)*VLOOKUP('Données projet'!$B$11,Paramètres!$A$1:$I$89,5,0)</f>
        <v>286.05719999999991</v>
      </c>
      <c r="BF81" s="13">
        <f t="shared" si="91"/>
        <v>68.24547055517067</v>
      </c>
      <c r="BG81" s="20">
        <f t="shared" si="61"/>
        <v>617.07715121692206</v>
      </c>
      <c r="BH81" s="59">
        <f t="shared" si="62"/>
        <v>910.41048455025543</v>
      </c>
      <c r="BI81" s="59">
        <f ca="1">AVERAGE(OFFSET($BH$3,0,0,'Données projet'!$E$11+1,1))-AVERAGE(OFFSET($H$3,0,0,'Données projet'!$E$11+1,1))</f>
        <v>352.61091660077574</v>
      </c>
      <c r="BJ81" s="59">
        <f t="shared" si="92"/>
        <v>186.48649111821521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82.983471959173158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82.983471959173158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2.8</v>
      </c>
      <c r="BY81" s="12">
        <f>IF('Données projet'!$A$114&gt;35,BY80+BX81-CG80,IF(A81&lt;'Données projet'!$A$114,$BV$205^A81,IF(A81='Données projet'!$A$114,'Données projet'!$B$114,BY80+BX81-CG80)))</f>
        <v>269.39999999999981</v>
      </c>
      <c r="BZ81" s="13">
        <f>BY81*VLOOKUP('Données projet'!$B$12,Paramètres!$A$1:$I$89,3,0)*VLOOKUP('Données projet'!$B$12,Paramètres!$A$1:$I$89,5,0)</f>
        <v>214.33463999999984</v>
      </c>
      <c r="CA81" s="13">
        <f t="shared" si="93"/>
        <v>52.881684324030282</v>
      </c>
      <c r="CB81" s="20">
        <f t="shared" si="64"/>
        <v>465.40176486435234</v>
      </c>
      <c r="CC81" s="59">
        <f t="shared" si="65"/>
        <v>758.7350981976856</v>
      </c>
      <c r="CD81" s="59">
        <f ca="1">AVERAGE(OFFSET($CC$3,0,0,'Données projet'!$E$12+1,1))-AVERAGE(OFFSET($H$3,0,0,'Données projet'!$E$12+1,1))</f>
        <v>225.2323446080772</v>
      </c>
      <c r="CE81" s="59">
        <f t="shared" si="94"/>
        <v>222.29030402759292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41.259944093968066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41.259944093968066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2.4</v>
      </c>
      <c r="CT81" s="12">
        <f>IF('Données projet'!$A$140&gt;35,CT80+CS81-DB80,IF(A81&lt;'Données projet'!$A$140,$CQ$205^A81,IF(A81='Données projet'!$A$140,'Données projet'!$B$140,CT80+CS81-DB80)))</f>
        <v>214.20000000000002</v>
      </c>
      <c r="CU81" s="17">
        <f>CT81*VLOOKUP('Données projet'!$B$13,Paramètres!$A$1:$I$89,3,0)*VLOOKUP('Données projet'!$B$13,Paramètres!$A$1:$I$89,5,0)</f>
        <v>207.17424</v>
      </c>
      <c r="CV81" s="13">
        <f t="shared" si="95"/>
        <v>51.31760001611098</v>
      </c>
      <c r="CW81" s="20">
        <f t="shared" si="67"/>
        <v>450.20662136139322</v>
      </c>
      <c r="CX81" s="59">
        <f t="shared" si="68"/>
        <v>743.53995469472648</v>
      </c>
      <c r="CY81" s="59">
        <f ca="1">AVERAGE(OFFSET($CX$3,0,0,'Données projet'!$E$13+1,1))-AVERAGE(OFFSET($H$3,0,0,'Données projet'!$E$13+1,1))</f>
        <v>212.32823943192528</v>
      </c>
      <c r="CZ81" s="59">
        <f t="shared" si="96"/>
        <v>209.60834138503003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31.526230843927888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31.526230843927888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285.99999999999972</v>
      </c>
      <c r="DP81" s="17">
        <f>DO81*VLOOKUP('Données projet'!$B$14,Paramètres!$A$1:$I$89,3,0)*VLOOKUP('Données projet'!$B$14,Paramètres!$A$1:$I$89,5,0)</f>
        <v>223.07999999999979</v>
      </c>
      <c r="DQ81" s="13">
        <f t="shared" si="97"/>
        <v>54.783765878062617</v>
      </c>
      <c r="DR81" s="20">
        <f t="shared" si="70"/>
        <v>483.94605890429199</v>
      </c>
      <c r="DS81" s="59">
        <f t="shared" si="71"/>
        <v>777.2793922376253</v>
      </c>
      <c r="DT81" s="59">
        <f ca="1">AVERAGE(OFFSET($DS$3,0,0,'Données projet'!$E$14+1,1))-AVERAGE(OFFSET($H$3,0,0,'Données projet'!$E$14+1,1))</f>
        <v>215.84581110302656</v>
      </c>
      <c r="DU81" s="59">
        <f t="shared" si="98"/>
        <v>193.88588526156104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50.073712482418529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50.073712482418529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6">
        <f t="shared" si="56"/>
        <v>379.48610804888961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401</v>
      </c>
      <c r="O82" s="13">
        <f>N82*VLOOKUP('Données projet'!$B$9,Paramètres!$A$1:$I$89,3,0)*VLOOKUP('Données projet'!$B$9,Paramètres!$A$1:$I$89,5,0)</f>
        <v>250.22399999999999</v>
      </c>
      <c r="P82" s="13">
        <f t="shared" si="87"/>
        <v>60.633904580527918</v>
      </c>
      <c r="Q82" s="20">
        <f t="shared" si="54"/>
        <v>541.41085047775289</v>
      </c>
      <c r="R82" s="59">
        <f t="shared" si="55"/>
        <v>834.74418381108626</v>
      </c>
      <c r="S82" s="59">
        <f ca="1">AVERAGE(OFFSET($R$3,0,0,'Données projet'!$E$9+1,1))-AVERAGE(OFFSET($H$3,0,0,'Données projet'!$E$9+1,1))</f>
        <v>269.77739619445515</v>
      </c>
      <c r="T82" s="59">
        <f t="shared" si="88"/>
        <v>347.56964743629885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52.564160363089869</v>
      </c>
      <c r="AA82" s="21">
        <f>EXP(-LN(2)/25)*AA81+(1-EXP(-LN(2)/25))/(LN(2)/25)*Calculateur!V82*Calculateur!X82*VLOOKUP('Données projet'!$B$9,Paramètres!$A$1:$I$89,3,0)*0.475*44/12</f>
        <v>23.580354010796245</v>
      </c>
      <c r="AB82" s="21">
        <f>EXP(-LN(2)/2)*AB81+(1-EXP(-LN(2)/2))/(LN(2)/2)*V82*Y82*VLOOKUP('Données projet'!$B$9,Paramètres!$A$1:$I$89,3,0)*0.475*44/12</f>
        <v>1.0468580072605816E-9</v>
      </c>
      <c r="AC82" s="22">
        <f t="shared" si="57"/>
        <v>76.144514374932967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17.2</v>
      </c>
      <c r="AI82" s="13">
        <f>IF('Données projet'!$A$62&gt;35,AI81+AH82-AQ81,IF(A82&lt;'Données projet'!$A$62,$AF$205^A82,IF(A82='Données projet'!$A$62,'Données projet'!$B$62,AI81+AH82-AQ81)))</f>
        <v>822.8</v>
      </c>
      <c r="AJ82" s="13">
        <f>AI82*VLOOKUP('Données projet'!$B$10,Paramètres!$A$1:$I$89,3,0)*VLOOKUP('Données projet'!$B$10,Paramètres!$A$1:$I$89,5,0)</f>
        <v>406.46319999999997</v>
      </c>
      <c r="AK82" s="13">
        <f t="shared" si="89"/>
        <v>93.085754965986609</v>
      </c>
      <c r="AL82" s="20">
        <f t="shared" si="58"/>
        <v>870.04776323242652</v>
      </c>
      <c r="AM82" s="59">
        <f t="shared" si="59"/>
        <v>1163.3810965657599</v>
      </c>
      <c r="AN82" s="59">
        <f ca="1">AVERAGE(OFFSET($AM$3,0,0,'Données projet'!$E$10+1,1))-AVERAGE(OFFSET($H$3,0,0,'Données projet'!$E$10+1,1))</f>
        <v>396.27049617044378</v>
      </c>
      <c r="AO82" s="59">
        <f t="shared" si="90"/>
        <v>335.2680289568774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128.26191641616987</v>
      </c>
      <c r="AV82" s="21">
        <f>EXP(-LN(2)/25)*AV81+(1-EXP(-LN(2)/25))/(LN(2)/25)*Calculateur!AQ82*Calculateur!AS82*VLOOKUP('Données projet'!$B$10,Paramètres!$A$1:$I$89,3,0)*0.475*44/12</f>
        <v>12.082403562382005</v>
      </c>
      <c r="AW82" s="21">
        <f>EXP(-LN(2)/2)*AW81+(1-EXP(-LN(2)/2))/(LN(2)/2)*AQ82*AT82*VLOOKUP('Données projet'!$B$10,Paramètres!$A$1:$I$89,3,0)*0.475*44/12</f>
        <v>1.6206912853145305E-8</v>
      </c>
      <c r="AX82" s="21">
        <f t="shared" si="60"/>
        <v>140.34431999475879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8.8000000000000007</v>
      </c>
      <c r="BD82" s="12">
        <f>IF('Données projet'!$A$88&gt;35,BD81+BC82-BL81,IF(A82&lt;'Données projet'!$A$88,$BA$205^A82,IF(A82='Données projet'!$A$88,'Données projet'!$B$88,BD81+BC82-BL81)))</f>
        <v>342.19999999999987</v>
      </c>
      <c r="BE82" s="13">
        <f>BD82*VLOOKUP('Données projet'!$B$11,Paramètres!$A$1:$I$89,3,0)*VLOOKUP('Données projet'!$B$11,Paramètres!$A$1:$I$89,5,0)</f>
        <v>293.60759999999993</v>
      </c>
      <c r="BF82" s="13">
        <f t="shared" si="91"/>
        <v>69.834695689453682</v>
      </c>
      <c r="BG82" s="20">
        <f t="shared" si="61"/>
        <v>632.99533165913169</v>
      </c>
      <c r="BH82" s="59">
        <f t="shared" si="62"/>
        <v>926.32866499246506</v>
      </c>
      <c r="BI82" s="59">
        <f ca="1">AVERAGE(OFFSET($BH$3,0,0,'Données projet'!$E$11+1,1))-AVERAGE(OFFSET($H$3,0,0,'Données projet'!$E$11+1,1))</f>
        <v>352.61091660077574</v>
      </c>
      <c r="BJ82" s="59">
        <f t="shared" si="92"/>
        <v>186.48649111821521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81.356216688973859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81.356216688973859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2.8</v>
      </c>
      <c r="BY82" s="12">
        <f>IF('Données projet'!$A$114&gt;35,BY81+BX82-CG81,IF(A82&lt;'Données projet'!$A$114,$BV$205^A82,IF(A82='Données projet'!$A$114,'Données projet'!$B$114,BY81+BX82-CG81)))</f>
        <v>272.19999999999982</v>
      </c>
      <c r="BZ82" s="13">
        <f>BY82*VLOOKUP('Données projet'!$B$12,Paramètres!$A$1:$I$89,3,0)*VLOOKUP('Données projet'!$B$12,Paramètres!$A$1:$I$89,5,0)</f>
        <v>216.56231999999989</v>
      </c>
      <c r="CA82" s="13">
        <f t="shared" si="93"/>
        <v>53.367039486661959</v>
      </c>
      <c r="CB82" s="20">
        <f t="shared" si="64"/>
        <v>470.12696777260271</v>
      </c>
      <c r="CC82" s="59">
        <f t="shared" si="65"/>
        <v>763.46030110593597</v>
      </c>
      <c r="CD82" s="59">
        <f ca="1">AVERAGE(OFFSET($CC$3,0,0,'Données projet'!$E$12+1,1))-AVERAGE(OFFSET($H$3,0,0,'Données projet'!$E$12+1,1))</f>
        <v>225.2323446080772</v>
      </c>
      <c r="CE82" s="59">
        <f t="shared" si="94"/>
        <v>222.29030402759292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40.450861756366308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40.450861756366308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2.4</v>
      </c>
      <c r="CT82" s="12">
        <f>IF('Données projet'!$A$140&gt;35,CT81+CS82-DB81,IF(A82&lt;'Données projet'!$A$140,$CQ$205^A82,IF(A82='Données projet'!$A$140,'Données projet'!$B$140,CT81+CS82-DB81)))</f>
        <v>216.60000000000002</v>
      </c>
      <c r="CU82" s="17">
        <f>CT82*VLOOKUP('Données projet'!$B$13,Paramètres!$A$1:$I$89,3,0)*VLOOKUP('Données projet'!$B$13,Paramètres!$A$1:$I$89,5,0)</f>
        <v>209.49552</v>
      </c>
      <c r="CV82" s="13">
        <f t="shared" si="95"/>
        <v>51.825328698764451</v>
      </c>
      <c r="CW82" s="20">
        <f t="shared" si="67"/>
        <v>455.13381148368143</v>
      </c>
      <c r="CX82" s="59">
        <f t="shared" si="68"/>
        <v>748.46714481701474</v>
      </c>
      <c r="CY82" s="59">
        <f ca="1">AVERAGE(OFFSET($CX$3,0,0,'Données projet'!$E$13+1,1))-AVERAGE(OFFSET($H$3,0,0,'Données projet'!$E$13+1,1))</f>
        <v>212.32823943192528</v>
      </c>
      <c r="CZ82" s="59">
        <f t="shared" si="96"/>
        <v>209.60834138503003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30.90802068618056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30.90802068618056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285.99999999999972</v>
      </c>
      <c r="DP82" s="17">
        <f>DO82*VLOOKUP('Données projet'!$B$14,Paramètres!$A$1:$I$89,3,0)*VLOOKUP('Données projet'!$B$14,Paramètres!$A$1:$I$89,5,0)</f>
        <v>223.07999999999979</v>
      </c>
      <c r="DQ82" s="13">
        <f t="shared" si="97"/>
        <v>54.783765878062617</v>
      </c>
      <c r="DR82" s="20">
        <f t="shared" si="70"/>
        <v>483.94605890429199</v>
      </c>
      <c r="DS82" s="59">
        <f t="shared" si="71"/>
        <v>777.2793922376253</v>
      </c>
      <c r="DT82" s="59">
        <f ca="1">AVERAGE(OFFSET($DS$3,0,0,'Données projet'!$E$14+1,1))-AVERAGE(OFFSET($H$3,0,0,'Données projet'!$E$14+1,1))</f>
        <v>215.84581110302656</v>
      </c>
      <c r="DU82" s="59">
        <f t="shared" si="98"/>
        <v>193.88588526156104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49.09179752258715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49.09179752258715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6">
        <f t="shared" si="56"/>
        <v>380.54705981446097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401</v>
      </c>
      <c r="O83" s="13">
        <f>N83*VLOOKUP('Données projet'!$B$9,Paramètres!$A$1:$I$89,3,0)*VLOOKUP('Données projet'!$B$9,Paramètres!$A$1:$I$89,5,0)</f>
        <v>250.22399999999999</v>
      </c>
      <c r="P83" s="13">
        <f t="shared" si="87"/>
        <v>60.633904580527918</v>
      </c>
      <c r="Q83" s="20">
        <f t="shared" si="54"/>
        <v>541.41085047775289</v>
      </c>
      <c r="R83" s="59">
        <f t="shared" si="55"/>
        <v>834.74418381108626</v>
      </c>
      <c r="S83" s="59">
        <f ca="1">AVERAGE(OFFSET($R$3,0,0,'Données projet'!$E$9+1,1))-AVERAGE(OFFSET($H$3,0,0,'Données projet'!$E$9+1,1))</f>
        <v>269.77739619445515</v>
      </c>
      <c r="T83" s="59">
        <f t="shared" si="88"/>
        <v>347.56964743629885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51.533409239341736</v>
      </c>
      <c r="AA83" s="21">
        <f>EXP(-LN(2)/25)*AA82+(1-EXP(-LN(2)/25))/(LN(2)/25)*Calculateur!V83*Calculateur!X83*VLOOKUP('Données projet'!$B$9,Paramètres!$A$1:$I$89,3,0)*0.475*44/12</f>
        <v>22.935547990334097</v>
      </c>
      <c r="AB83" s="21">
        <f>EXP(-LN(2)/2)*AB82+(1-EXP(-LN(2)/2))/(LN(2)/2)*V83*Y83*VLOOKUP('Données projet'!$B$9,Paramètres!$A$1:$I$89,3,0)*0.475*44/12</f>
        <v>7.4024039587339325E-10</v>
      </c>
      <c r="AC83" s="22">
        <f t="shared" si="57"/>
        <v>74.468957230416081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840</v>
      </c>
      <c r="AG83" s="12">
        <f>VLOOKUP(A83,'Données projet'!$A$61:$I$81,9,0)</f>
        <v>17.2</v>
      </c>
      <c r="AH83" s="12">
        <f t="array" ref="AH83">INDEX(AG:AG,MIN(IF(ISNUMBER(AG83:AG279),ROW(AG83:AG279),"")))</f>
        <v>17.2</v>
      </c>
      <c r="AI83" s="13">
        <f>IF('Données projet'!$A$62&gt;35,AI82+AH83-AQ82,IF(A83&lt;'Données projet'!$A$62,$AF$205^A83,IF(A83='Données projet'!$A$62,'Données projet'!$B$62,AI82+AH83-AQ82)))</f>
        <v>840</v>
      </c>
      <c r="AJ83" s="13">
        <f>AI83*VLOOKUP('Données projet'!$B$10,Paramètres!$A$1:$I$89,3,0)*VLOOKUP('Données projet'!$B$10,Paramètres!$A$1:$I$89,5,0)</f>
        <v>414.96</v>
      </c>
      <c r="AK83" s="13">
        <f t="shared" si="89"/>
        <v>94.803064065636192</v>
      </c>
      <c r="AL83" s="20">
        <f t="shared" si="58"/>
        <v>887.83733658098299</v>
      </c>
      <c r="AM83" s="59">
        <f t="shared" si="59"/>
        <v>1181.1706699143162</v>
      </c>
      <c r="AN83" s="59">
        <f ca="1">AVERAGE(OFFSET($AM$3,0,0,'Données projet'!$E$10+1,1))-AVERAGE(OFFSET($H$3,0,0,'Données projet'!$E$10+1,1))</f>
        <v>396.27049617044378</v>
      </c>
      <c r="AO83" s="59">
        <f t="shared" si="90"/>
        <v>335.2680289568774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51</v>
      </c>
      <c r="AR83" s="16">
        <f>IF(ISNA(VLOOKUP(A83,'Données projet'!$A$61:$I$81,5,0)),0%,VLOOKUP(A83,'Données projet'!$A$61:$I$81,5,0)*VLOOKUP('Données projet'!$B$10,Paramètres!$A$1:$I$89,7,0))</f>
        <v>0.55000000000000004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144.1285841569821</v>
      </c>
      <c r="AV83" s="21">
        <f>EXP(-LN(2)/25)*AV82+(1-EXP(-LN(2)/25))/(LN(2)/25)*Calculateur!AQ83*Calculateur!AS83*VLOOKUP('Données projet'!$B$10,Paramètres!$A$1:$I$89,3,0)*0.475*44/12</f>
        <v>11.75200960158268</v>
      </c>
      <c r="AW83" s="21">
        <f>EXP(-LN(2)/2)*AW82+(1-EXP(-LN(2)/2))/(LN(2)/2)*AQ83*AT83*VLOOKUP('Données projet'!$B$10,Paramètres!$A$1:$I$89,3,0)*0.475*44/12</f>
        <v>1.1460017980558462E-8</v>
      </c>
      <c r="AX83" s="21">
        <f t="shared" si="60"/>
        <v>155.8805937700248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351</v>
      </c>
      <c r="BB83" s="12">
        <f>VLOOKUP(A83,'Données projet'!$A$87:$I$107,9,0)</f>
        <v>8.8000000000000007</v>
      </c>
      <c r="BC83" s="12">
        <f t="array" ref="BC83">INDEX(BB:BB,MIN(IF(ISNUMBER(BB83:BB279),ROW(BB83:BB279),"")))</f>
        <v>8.8000000000000007</v>
      </c>
      <c r="BD83" s="12">
        <f>IF('Données projet'!$A$88&gt;35,BD82+BC83-BL82,IF(A83&lt;'Données projet'!$A$88,$BA$205^A83,IF(A83='Données projet'!$A$88,'Données projet'!$B$88,BD82+BC83-BL82)))</f>
        <v>350.99999999999989</v>
      </c>
      <c r="BE83" s="13">
        <f>BD83*VLOOKUP('Données projet'!$B$11,Paramètres!$A$1:$I$89,3,0)*VLOOKUP('Données projet'!$B$11,Paramètres!$A$1:$I$89,5,0)</f>
        <v>301.15799999999996</v>
      </c>
      <c r="BF83" s="13">
        <f t="shared" si="91"/>
        <v>71.419170296330975</v>
      </c>
      <c r="BG83" s="20">
        <f t="shared" si="61"/>
        <v>648.90523826610968</v>
      </c>
      <c r="BH83" s="59">
        <f t="shared" si="62"/>
        <v>942.23857159944305</v>
      </c>
      <c r="BI83" s="59">
        <f ca="1">AVERAGE(OFFSET($BH$3,0,0,'Données projet'!$E$11+1,1))-AVERAGE(OFFSET($H$3,0,0,'Données projet'!$E$11+1,1))</f>
        <v>352.61091660077574</v>
      </c>
      <c r="BJ83" s="59">
        <f t="shared" si="92"/>
        <v>186.48649111821521</v>
      </c>
      <c r="BK83" s="15">
        <f>IF(ISNA(VLOOKUP(A83,'Données projet'!$A$87:$I$107,3,0)),0,VLOOKUP(A83,'Données projet'!$A$87:$I$107,3,0))</f>
        <v>12</v>
      </c>
      <c r="BL83" s="21">
        <f>IF(ISNA(VLOOKUP(A83,'Données projet'!$A$87:$I$107,4,0)),0,VLOOKUP(A83,'Données projet'!$A$87:$I$107,4,0))</f>
        <v>28</v>
      </c>
      <c r="BM83" s="16">
        <f>IF(ISNA(VLOOKUP(A83,'Données projet'!$A$87:$I$107,5,0)),0%,VLOOKUP(A83,'Données projet'!$A$87:$I$107,5,0)*VLOOKUP('Données projet'!$B$11,Paramètres!$A$1:$I$89,7,0))</f>
        <v>0.53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93.836515712982248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93.836515712982248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275</v>
      </c>
      <c r="BW83" s="12">
        <f>VLOOKUP(A83,'Données projet'!$A$113:$I$133,9,0)</f>
        <v>2.8</v>
      </c>
      <c r="BX83" s="12">
        <f t="array" ref="BX83">INDEX(BW:BW,MIN(IF(ISNUMBER(BW83:BW279),ROW(BW83:BW279),"")))</f>
        <v>2.8</v>
      </c>
      <c r="BY83" s="12">
        <f>IF('Données projet'!$A$114&gt;35,BY82+BX83-CG82,IF(A83&lt;'Données projet'!$A$114,$BV$205^A83,IF(A83='Données projet'!$A$114,'Données projet'!$B$114,BY82+BX83-CG82)))</f>
        <v>274.99999999999983</v>
      </c>
      <c r="BZ83" s="13">
        <f>BY83*VLOOKUP('Données projet'!$B$12,Paramètres!$A$1:$I$89,3,0)*VLOOKUP('Données projet'!$B$12,Paramètres!$A$1:$I$89,5,0)</f>
        <v>218.78999999999988</v>
      </c>
      <c r="CA83" s="13">
        <f t="shared" si="93"/>
        <v>53.851813843863468</v>
      </c>
      <c r="CB83" s="20">
        <f t="shared" si="64"/>
        <v>474.85115911139536</v>
      </c>
      <c r="CC83" s="59">
        <f t="shared" si="65"/>
        <v>768.18449244472868</v>
      </c>
      <c r="CD83" s="59">
        <f ca="1">AVERAGE(OFFSET($CC$3,0,0,'Données projet'!$E$12+1,1))-AVERAGE(OFFSET($H$3,0,0,'Données projet'!$E$12+1,1))</f>
        <v>225.2323446080772</v>
      </c>
      <c r="CE83" s="59">
        <f t="shared" si="94"/>
        <v>222.29030402759292</v>
      </c>
      <c r="CF83" s="15">
        <f>IF(ISNA(VLOOKUP(A83,'Données projet'!$A$113:$I$133,3,0)),0,VLOOKUP(A83,'Données projet'!$A$113:$I$133,3,0))</f>
        <v>14</v>
      </c>
      <c r="CG83" s="15">
        <f>IF(ISNA(VLOOKUP(A83,'Données projet'!$A$113:$I$133,4,0)),0,VLOOKUP(A83,'Données projet'!$A$113:$I$133,4,0))</f>
        <v>8</v>
      </c>
      <c r="CH83" s="16">
        <f>IF(ISNA(VLOOKUP(A83,'Données projet'!$A$113:$I$133,5,0)),0%,VLOOKUP(A83,'Données projet'!$A$113:$I$133,5,0)*VLOOKUP('Données projet'!$B$12,Paramètres!$A$1:$I$89,7,0))</f>
        <v>0.53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43.386776901888616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43.386776901888616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219</v>
      </c>
      <c r="CR83" s="12">
        <f>VLOOKUP(A83,'Données projet'!$A$139:$I$159,9,0)</f>
        <v>2.4</v>
      </c>
      <c r="CS83" s="12">
        <f t="array" ref="CS83">INDEX(CR:CR,MIN(IF(ISNUMBER(CR83:CR279),ROW(CR83:CR279),"")))</f>
        <v>2.4</v>
      </c>
      <c r="CT83" s="12">
        <f>IF('Données projet'!$A$140&gt;35,CT82+CS83-DB82,IF(A83&lt;'Données projet'!$A$140,$CQ$205^A83,IF(A83='Données projet'!$A$140,'Données projet'!$B$140,CT82+CS83-DB82)))</f>
        <v>219.00000000000003</v>
      </c>
      <c r="CU83" s="17">
        <f>CT83*VLOOKUP('Données projet'!$B$13,Paramètres!$A$1:$I$89,3,0)*VLOOKUP('Données projet'!$B$13,Paramètres!$A$1:$I$89,5,0)</f>
        <v>211.81680000000006</v>
      </c>
      <c r="CV83" s="13">
        <f t="shared" si="95"/>
        <v>52.332402945946832</v>
      </c>
      <c r="CW83" s="20">
        <f t="shared" si="67"/>
        <v>460.05986179752421</v>
      </c>
      <c r="CX83" s="59">
        <f t="shared" si="68"/>
        <v>753.39319513085752</v>
      </c>
      <c r="CY83" s="59">
        <f ca="1">AVERAGE(OFFSET($CX$3,0,0,'Données projet'!$E$13+1,1))-AVERAGE(OFFSET($H$3,0,0,'Données projet'!$E$13+1,1))</f>
        <v>212.32823943192528</v>
      </c>
      <c r="CZ83" s="59">
        <f t="shared" si="96"/>
        <v>209.60834138503003</v>
      </c>
      <c r="DA83" s="15">
        <f>IF(ISNA(VLOOKUP(A83,'Données projet'!$A$139:$I$159,3,0)),0,VLOOKUP(A83,'Données projet'!$A$139:$I$159,3,0))</f>
        <v>13</v>
      </c>
      <c r="DB83" s="15">
        <f>IF(ISNA(VLOOKUP(A83,'Données projet'!$A$139:$I$159,4,0)),0,VLOOKUP(A83,'Données projet'!$A$139:$I$159,4,0))</f>
        <v>6</v>
      </c>
      <c r="DC83" s="16">
        <f>IF(ISNA(VLOOKUP(A83,'Données projet'!$A$139:$I$159,5,0)),0%,VLOOKUP(A83,'Données projet'!$A$139:$I$159,5,0)*VLOOKUP('Données projet'!$B$13,Paramètres!$A$1:$I$89,7,0))</f>
        <v>0.43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33.060497506353109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33.060497506353109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285.99999999999972</v>
      </c>
      <c r="DP83" s="17">
        <f>DO83*VLOOKUP('Données projet'!$B$14,Paramètres!$A$1:$I$89,3,0)*VLOOKUP('Données projet'!$B$14,Paramètres!$A$1:$I$89,5,0)</f>
        <v>223.07999999999979</v>
      </c>
      <c r="DQ83" s="13">
        <f t="shared" si="97"/>
        <v>54.783765878062617</v>
      </c>
      <c r="DR83" s="20">
        <f t="shared" si="70"/>
        <v>483.94605890429199</v>
      </c>
      <c r="DS83" s="59">
        <f t="shared" si="71"/>
        <v>777.2793922376253</v>
      </c>
      <c r="DT83" s="59">
        <f ca="1">AVERAGE(OFFSET($DS$3,0,0,'Données projet'!$E$14+1,1))-AVERAGE(OFFSET($H$3,0,0,'Données projet'!$E$14+1,1))</f>
        <v>215.84581110302656</v>
      </c>
      <c r="DU83" s="59">
        <f t="shared" si="98"/>
        <v>193.88588526156104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48.129137316209075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48.129137316209075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6">
        <f t="shared" si="56"/>
        <v>381.60768703655714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401</v>
      </c>
      <c r="O84" s="13">
        <f>N84*VLOOKUP('Données projet'!$B$9,Paramètres!$A$1:$I$89,3,0)*VLOOKUP('Données projet'!$B$9,Paramètres!$A$1:$I$89,5,0)</f>
        <v>250.22399999999999</v>
      </c>
      <c r="P84" s="13">
        <f t="shared" si="87"/>
        <v>60.633904580527918</v>
      </c>
      <c r="Q84" s="20">
        <f t="shared" si="54"/>
        <v>541.41085047775289</v>
      </c>
      <c r="R84" s="59">
        <f t="shared" si="55"/>
        <v>834.74418381108626</v>
      </c>
      <c r="S84" s="59">
        <f ca="1">AVERAGE(OFFSET($R$3,0,0,'Données projet'!$E$9+1,1))-AVERAGE(OFFSET($H$3,0,0,'Données projet'!$E$9+1,1))</f>
        <v>269.77739619445515</v>
      </c>
      <c r="T84" s="59">
        <f t="shared" si="88"/>
        <v>347.56964743629885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50.522870516434203</v>
      </c>
      <c r="AA84" s="21">
        <f>EXP(-LN(2)/25)*AA83+(1-EXP(-LN(2)/25))/(LN(2)/25)*Calculateur!V84*Calculateur!X84*VLOOKUP('Données projet'!$B$9,Paramètres!$A$1:$I$89,3,0)*0.475*44/12</f>
        <v>22.308374224410361</v>
      </c>
      <c r="AB84" s="21">
        <f>EXP(-LN(2)/2)*AB83+(1-EXP(-LN(2)/2))/(LN(2)/2)*V84*Y84*VLOOKUP('Données projet'!$B$9,Paramètres!$A$1:$I$89,3,0)*0.475*44/12</f>
        <v>5.2342900363029079E-10</v>
      </c>
      <c r="AC84" s="22">
        <f t="shared" si="57"/>
        <v>72.831244741367996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789</v>
      </c>
      <c r="AJ84" s="13">
        <f>AI84*VLOOKUP('Données projet'!$B$10,Paramètres!$A$1:$I$89,3,0)*VLOOKUP('Données projet'!$B$10,Paramètres!$A$1:$I$89,5,0)</f>
        <v>389.76600000000002</v>
      </c>
      <c r="AK84" s="13">
        <f t="shared" si="89"/>
        <v>89.698759503620408</v>
      </c>
      <c r="AL84" s="20">
        <f t="shared" si="58"/>
        <v>835.06778946880547</v>
      </c>
      <c r="AM84" s="59">
        <f t="shared" si="59"/>
        <v>1128.4011228021388</v>
      </c>
      <c r="AN84" s="59">
        <f ca="1">AVERAGE(OFFSET($AM$3,0,0,'Données projet'!$E$10+1,1))-AVERAGE(OFFSET($H$3,0,0,'Données projet'!$E$10+1,1))</f>
        <v>396.27049617044378</v>
      </c>
      <c r="AO84" s="59">
        <f t="shared" si="90"/>
        <v>335.2680289568774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141.30231053141964</v>
      </c>
      <c r="AV84" s="21">
        <f>EXP(-LN(2)/25)*AV83+(1-EXP(-LN(2)/25))/(LN(2)/25)*Calculateur!AQ84*Calculateur!AS84*VLOOKUP('Données projet'!$B$10,Paramètres!$A$1:$I$89,3,0)*0.475*44/12</f>
        <v>11.430650281016076</v>
      </c>
      <c r="AW84" s="21">
        <f>EXP(-LN(2)/2)*AW83+(1-EXP(-LN(2)/2))/(LN(2)/2)*AQ84*AT84*VLOOKUP('Données projet'!$B$10,Paramètres!$A$1:$I$89,3,0)*0.475*44/12</f>
        <v>8.1034564265726525E-9</v>
      </c>
      <c r="AX84" s="21">
        <f t="shared" si="60"/>
        <v>152.73296082053918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8.4</v>
      </c>
      <c r="BD84" s="12">
        <f>IF('Données projet'!$A$88&gt;35,BD83+BC84-BL83,IF(A84&lt;'Données projet'!$A$88,$BA$205^A84,IF(A84='Données projet'!$A$88,'Données projet'!$B$88,BD83+BC84-BL83)))</f>
        <v>331.39999999999986</v>
      </c>
      <c r="BE84" s="13">
        <f>BD84*VLOOKUP('Données projet'!$B$11,Paramètres!$A$1:$I$89,3,0)*VLOOKUP('Données projet'!$B$11,Paramètres!$A$1:$I$89,5,0)</f>
        <v>284.34119999999996</v>
      </c>
      <c r="BF84" s="13">
        <f t="shared" si="91"/>
        <v>67.883606139618351</v>
      </c>
      <c r="BG84" s="20">
        <f t="shared" si="61"/>
        <v>613.4582040265019</v>
      </c>
      <c r="BH84" s="59">
        <f t="shared" si="62"/>
        <v>906.79153735983527</v>
      </c>
      <c r="BI84" s="59">
        <f ca="1">AVERAGE(OFFSET($BH$3,0,0,'Données projet'!$E$11+1,1))-AVERAGE(OFFSET($H$3,0,0,'Données projet'!$E$11+1,1))</f>
        <v>352.61091660077574</v>
      </c>
      <c r="BJ84" s="59">
        <f t="shared" si="92"/>
        <v>186.48649111821521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91.996438874473796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91.996438874473796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266.99999999999983</v>
      </c>
      <c r="BZ84" s="13">
        <f>BY84*VLOOKUP('Données projet'!$B$12,Paramètres!$A$1:$I$89,3,0)*VLOOKUP('Données projet'!$B$12,Paramètres!$A$1:$I$89,5,0)</f>
        <v>212.42519999999985</v>
      </c>
      <c r="CA84" s="13">
        <f t="shared" si="93"/>
        <v>52.465198231787184</v>
      </c>
      <c r="CB84" s="20">
        <f t="shared" si="64"/>
        <v>461.35077692036231</v>
      </c>
      <c r="CC84" s="59">
        <f t="shared" si="65"/>
        <v>754.68411025369562</v>
      </c>
      <c r="CD84" s="59">
        <f ca="1">AVERAGE(OFFSET($CC$3,0,0,'Données projet'!$E$12+1,1))-AVERAGE(OFFSET($H$3,0,0,'Données projet'!$E$12+1,1))</f>
        <v>225.2323446080772</v>
      </c>
      <c r="CE84" s="59">
        <f t="shared" si="94"/>
        <v>222.29030402759292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42.535988670163455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42.535988670163455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213.00000000000003</v>
      </c>
      <c r="CU84" s="17">
        <f>CT84*VLOOKUP('Données projet'!$B$13,Paramètres!$A$1:$I$89,3,0)*VLOOKUP('Données projet'!$B$13,Paramètres!$A$1:$I$89,5,0)</f>
        <v>206.01360000000005</v>
      </c>
      <c r="CV84" s="13">
        <f t="shared" si="95"/>
        <v>51.063487709141484</v>
      </c>
      <c r="CW84" s="20">
        <f t="shared" si="67"/>
        <v>447.74259442675481</v>
      </c>
      <c r="CX84" s="59">
        <f t="shared" si="68"/>
        <v>741.07592776008812</v>
      </c>
      <c r="CY84" s="59">
        <f ca="1">AVERAGE(OFFSET($CX$3,0,0,'Données projet'!$E$13+1,1))-AVERAGE(OFFSET($H$3,0,0,'Données projet'!$E$13+1,1))</f>
        <v>212.32823943192528</v>
      </c>
      <c r="CZ84" s="59">
        <f t="shared" si="96"/>
        <v>209.60834138503003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32.412201315165881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32.412201315165881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285.99999999999972</v>
      </c>
      <c r="DP84" s="17">
        <f>DO84*VLOOKUP('Données projet'!$B$14,Paramètres!$A$1:$I$89,3,0)*VLOOKUP('Données projet'!$B$14,Paramètres!$A$1:$I$89,5,0)</f>
        <v>223.07999999999979</v>
      </c>
      <c r="DQ84" s="13">
        <f t="shared" si="97"/>
        <v>54.783765878062617</v>
      </c>
      <c r="DR84" s="20">
        <f t="shared" si="70"/>
        <v>483.94605890429199</v>
      </c>
      <c r="DS84" s="59">
        <f t="shared" si="71"/>
        <v>777.2793922376253</v>
      </c>
      <c r="DT84" s="59">
        <f ca="1">AVERAGE(OFFSET($DS$3,0,0,'Données projet'!$E$14+1,1))-AVERAGE(OFFSET($H$3,0,0,'Données projet'!$E$14+1,1))</f>
        <v>215.84581110302656</v>
      </c>
      <c r="DU84" s="59">
        <f t="shared" si="98"/>
        <v>193.88588526156104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47.185354289313324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47.185354289313324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6">
        <f t="shared" si="56"/>
        <v>382.66799418528461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401</v>
      </c>
      <c r="O85" s="13">
        <f>N85*VLOOKUP('Données projet'!$B$9,Paramètres!$A$1:$I$89,3,0)*VLOOKUP('Données projet'!$B$9,Paramètres!$A$1:$I$89,5,0)</f>
        <v>250.22399999999999</v>
      </c>
      <c r="P85" s="13">
        <f t="shared" si="87"/>
        <v>60.633904580527918</v>
      </c>
      <c r="Q85" s="20">
        <f t="shared" si="54"/>
        <v>541.41085047775289</v>
      </c>
      <c r="R85" s="59">
        <f t="shared" si="55"/>
        <v>834.74418381108626</v>
      </c>
      <c r="S85" s="59">
        <f ca="1">AVERAGE(OFFSET($R$3,0,0,'Données projet'!$E$9+1,1))-AVERAGE(OFFSET($H$3,0,0,'Données projet'!$E$9+1,1))</f>
        <v>269.77739619445515</v>
      </c>
      <c r="T85" s="59">
        <f t="shared" si="88"/>
        <v>347.56964743629885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49.532147841515126</v>
      </c>
      <c r="AA85" s="21">
        <f>EXP(-LN(2)/25)*AA84+(1-EXP(-LN(2)/25))/(LN(2)/25)*Calculateur!V85*Calculateur!X85*VLOOKUP('Données projet'!$B$9,Paramètres!$A$1:$I$89,3,0)*0.475*44/12</f>
        <v>21.698350558097445</v>
      </c>
      <c r="AB85" s="21">
        <f>EXP(-LN(2)/2)*AB84+(1-EXP(-LN(2)/2))/(LN(2)/2)*V85*Y85*VLOOKUP('Données projet'!$B$9,Paramètres!$A$1:$I$89,3,0)*0.475*44/12</f>
        <v>3.7012019793669663E-10</v>
      </c>
      <c r="AC85" s="22">
        <f t="shared" si="57"/>
        <v>71.230498399982693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789</v>
      </c>
      <c r="AJ85" s="13">
        <f>AI85*VLOOKUP('Données projet'!$B$10,Paramètres!$A$1:$I$89,3,0)*VLOOKUP('Données projet'!$B$10,Paramètres!$A$1:$I$89,5,0)</f>
        <v>389.76600000000002</v>
      </c>
      <c r="AK85" s="13">
        <f t="shared" si="89"/>
        <v>89.698759503620408</v>
      </c>
      <c r="AL85" s="20">
        <f t="shared" si="58"/>
        <v>835.06778946880547</v>
      </c>
      <c r="AM85" s="59">
        <f t="shared" si="59"/>
        <v>1128.4011228021388</v>
      </c>
      <c r="AN85" s="59">
        <f ca="1">AVERAGE(OFFSET($AM$3,0,0,'Données projet'!$E$10+1,1))-AVERAGE(OFFSET($H$3,0,0,'Données projet'!$E$10+1,1))</f>
        <v>396.27049617044378</v>
      </c>
      <c r="AO85" s="59">
        <f t="shared" si="90"/>
        <v>335.2680289568774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138.53145840779777</v>
      </c>
      <c r="AV85" s="21">
        <f>EXP(-LN(2)/25)*AV84+(1-EXP(-LN(2)/25))/(LN(2)/25)*Calculateur!AQ85*Calculateur!AS85*VLOOKUP('Données projet'!$B$10,Paramètres!$A$1:$I$89,3,0)*0.475*44/12</f>
        <v>11.118078547969919</v>
      </c>
      <c r="AW85" s="21">
        <f>EXP(-LN(2)/2)*AW84+(1-EXP(-LN(2)/2))/(LN(2)/2)*AQ85*AT85*VLOOKUP('Données projet'!$B$10,Paramètres!$A$1:$I$89,3,0)*0.475*44/12</f>
        <v>5.7300089902792309E-9</v>
      </c>
      <c r="AX85" s="21">
        <f t="shared" si="60"/>
        <v>149.64953696149772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8.4</v>
      </c>
      <c r="BD85" s="12">
        <f>IF('Données projet'!$A$88&gt;35,BD84+BC85-BL84,IF(A85&lt;'Données projet'!$A$88,$BA$205^A85,IF(A85='Données projet'!$A$88,'Données projet'!$B$88,BD84+BC85-BL84)))</f>
        <v>339.79999999999984</v>
      </c>
      <c r="BE85" s="13">
        <f>BD85*VLOOKUP('Données projet'!$B$11,Paramètres!$A$1:$I$89,3,0)*VLOOKUP('Données projet'!$B$11,Paramètres!$A$1:$I$89,5,0)</f>
        <v>291.5483999999999</v>
      </c>
      <c r="BF85" s="13">
        <f t="shared" si="91"/>
        <v>69.40174753959208</v>
      </c>
      <c r="BG85" s="20">
        <f t="shared" si="61"/>
        <v>628.65484029812262</v>
      </c>
      <c r="BH85" s="59">
        <f t="shared" si="62"/>
        <v>921.98817363145599</v>
      </c>
      <c r="BI85" s="59">
        <f ca="1">AVERAGE(OFFSET($BH$3,0,0,'Données projet'!$E$11+1,1))-AVERAGE(OFFSET($H$3,0,0,'Données projet'!$E$11+1,1))</f>
        <v>352.61091660077574</v>
      </c>
      <c r="BJ85" s="59">
        <f t="shared" si="92"/>
        <v>186.48649111821521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90.192444820432456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90.192444820432456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266.99999999999983</v>
      </c>
      <c r="BZ85" s="13">
        <f>BY85*VLOOKUP('Données projet'!$B$12,Paramètres!$A$1:$I$89,3,0)*VLOOKUP('Données projet'!$B$12,Paramètres!$A$1:$I$89,5,0)</f>
        <v>212.42519999999985</v>
      </c>
      <c r="CA85" s="13">
        <f t="shared" si="93"/>
        <v>52.465198231787184</v>
      </c>
      <c r="CB85" s="20">
        <f t="shared" si="64"/>
        <v>461.35077692036231</v>
      </c>
      <c r="CC85" s="59">
        <f t="shared" si="65"/>
        <v>754.68411025369562</v>
      </c>
      <c r="CD85" s="59">
        <f ca="1">AVERAGE(OFFSET($CC$3,0,0,'Données projet'!$E$12+1,1))-AVERAGE(OFFSET($H$3,0,0,'Données projet'!$E$12+1,1))</f>
        <v>225.2323446080772</v>
      </c>
      <c r="CE85" s="59">
        <f t="shared" si="94"/>
        <v>222.29030402759292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41.701883876732843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41.701883876732843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213.00000000000003</v>
      </c>
      <c r="CU85" s="17">
        <f>CT85*VLOOKUP('Données projet'!$B$13,Paramètres!$A$1:$I$89,3,0)*VLOOKUP('Données projet'!$B$13,Paramètres!$A$1:$I$89,5,0)</f>
        <v>206.01360000000005</v>
      </c>
      <c r="CV85" s="13">
        <f t="shared" si="95"/>
        <v>51.063487709141484</v>
      </c>
      <c r="CW85" s="20">
        <f t="shared" si="67"/>
        <v>447.74259442675481</v>
      </c>
      <c r="CX85" s="59">
        <f t="shared" si="68"/>
        <v>741.07592776008812</v>
      </c>
      <c r="CY85" s="59">
        <f ca="1">AVERAGE(OFFSET($CX$3,0,0,'Données projet'!$E$13+1,1))-AVERAGE(OFFSET($H$3,0,0,'Données projet'!$E$13+1,1))</f>
        <v>212.32823943192528</v>
      </c>
      <c r="CZ85" s="59">
        <f t="shared" si="96"/>
        <v>209.60834138503003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31.776617816866207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31.776617816866207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285.99999999999972</v>
      </c>
      <c r="DP85" s="17">
        <f>DO85*VLOOKUP('Données projet'!$B$14,Paramètres!$A$1:$I$89,3,0)*VLOOKUP('Données projet'!$B$14,Paramètres!$A$1:$I$89,5,0)</f>
        <v>223.07999999999979</v>
      </c>
      <c r="DQ85" s="13">
        <f t="shared" si="97"/>
        <v>54.783765878062617</v>
      </c>
      <c r="DR85" s="20">
        <f t="shared" si="70"/>
        <v>483.94605890429199</v>
      </c>
      <c r="DS85" s="59">
        <f t="shared" si="71"/>
        <v>777.2793922376253</v>
      </c>
      <c r="DT85" s="59">
        <f ca="1">AVERAGE(OFFSET($DS$3,0,0,'Données projet'!$E$14+1,1))-AVERAGE(OFFSET($H$3,0,0,'Données projet'!$E$14+1,1))</f>
        <v>215.84581110302656</v>
      </c>
      <c r="DU85" s="59">
        <f t="shared" si="98"/>
        <v>193.88588526156104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46.260078271924193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46.260078271924193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6">
        <f t="shared" si="56"/>
        <v>383.7279856154509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401</v>
      </c>
      <c r="O86" s="13">
        <f>N86*VLOOKUP('Données projet'!$B$9,Paramètres!$A$1:$I$89,3,0)*VLOOKUP('Données projet'!$B$9,Paramètres!$A$1:$I$89,5,0)</f>
        <v>250.22399999999999</v>
      </c>
      <c r="P86" s="13">
        <f t="shared" si="87"/>
        <v>60.633904580527918</v>
      </c>
      <c r="Q86" s="20">
        <f t="shared" si="54"/>
        <v>541.41085047775289</v>
      </c>
      <c r="R86" s="59">
        <f t="shared" si="55"/>
        <v>834.74418381108626</v>
      </c>
      <c r="S86" s="59">
        <f ca="1">AVERAGE(OFFSET($R$3,0,0,'Données projet'!$E$9+1,1))-AVERAGE(OFFSET($H$3,0,0,'Données projet'!$E$9+1,1))</f>
        <v>269.77739619445515</v>
      </c>
      <c r="T86" s="59">
        <f t="shared" si="88"/>
        <v>347.56964743629885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48.56085263397005</v>
      </c>
      <c r="AA86" s="21">
        <f>EXP(-LN(2)/25)*AA85+(1-EXP(-LN(2)/25))/(LN(2)/25)*Calculateur!V86*Calculateur!X86*VLOOKUP('Données projet'!$B$9,Paramètres!$A$1:$I$89,3,0)*0.475*44/12</f>
        <v>21.105008021019607</v>
      </c>
      <c r="AB86" s="21">
        <f>EXP(-LN(2)/2)*AB85+(1-EXP(-LN(2)/2))/(LN(2)/2)*V86*Y86*VLOOKUP('Données projet'!$B$9,Paramètres!$A$1:$I$89,3,0)*0.475*44/12</f>
        <v>2.6171450181514539E-10</v>
      </c>
      <c r="AC86" s="22">
        <f t="shared" si="57"/>
        <v>69.665860655251379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789</v>
      </c>
      <c r="AJ86" s="13">
        <f>AI86*VLOOKUP('Données projet'!$B$10,Paramètres!$A$1:$I$89,3,0)*VLOOKUP('Données projet'!$B$10,Paramètres!$A$1:$I$89,5,0)</f>
        <v>389.76600000000002</v>
      </c>
      <c r="AK86" s="13">
        <f t="shared" si="89"/>
        <v>89.698759503620408</v>
      </c>
      <c r="AL86" s="20">
        <f t="shared" si="58"/>
        <v>835.06778946880547</v>
      </c>
      <c r="AM86" s="59">
        <f t="shared" si="59"/>
        <v>1128.4011228021388</v>
      </c>
      <c r="AN86" s="59">
        <f ca="1">AVERAGE(OFFSET($AM$3,0,0,'Données projet'!$E$10+1,1))-AVERAGE(OFFSET($H$3,0,0,'Données projet'!$E$10+1,1))</f>
        <v>396.27049617044378</v>
      </c>
      <c r="AO86" s="59">
        <f t="shared" si="90"/>
        <v>335.2680289568774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135.81494100426721</v>
      </c>
      <c r="AV86" s="21">
        <f>EXP(-LN(2)/25)*AV85+(1-EXP(-LN(2)/25))/(LN(2)/25)*Calculateur!AQ86*Calculateur!AS86*VLOOKUP('Données projet'!$B$10,Paramètres!$A$1:$I$89,3,0)*0.475*44/12</f>
        <v>10.814054105401341</v>
      </c>
      <c r="AW86" s="21">
        <f>EXP(-LN(2)/2)*AW85+(1-EXP(-LN(2)/2))/(LN(2)/2)*AQ86*AT86*VLOOKUP('Données projet'!$B$10,Paramètres!$A$1:$I$89,3,0)*0.475*44/12</f>
        <v>4.0517282132863262E-9</v>
      </c>
      <c r="AX86" s="21">
        <f t="shared" si="60"/>
        <v>146.62899511372029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8.4</v>
      </c>
      <c r="BD86" s="12">
        <f>IF('Données projet'!$A$88&gt;35,BD85+BC86-BL85,IF(A86&lt;'Données projet'!$A$88,$BA$205^A86,IF(A86='Données projet'!$A$88,'Données projet'!$B$88,BD85+BC86-BL85)))</f>
        <v>348.19999999999982</v>
      </c>
      <c r="BE86" s="13">
        <f>BD86*VLOOKUP('Données projet'!$B$11,Paramètres!$A$1:$I$89,3,0)*VLOOKUP('Données projet'!$B$11,Paramètres!$A$1:$I$89,5,0)</f>
        <v>298.75559999999984</v>
      </c>
      <c r="BF86" s="13">
        <f t="shared" si="91"/>
        <v>70.915526361788181</v>
      </c>
      <c r="BG86" s="20">
        <f t="shared" si="61"/>
        <v>643.84387841344744</v>
      </c>
      <c r="BH86" s="59">
        <f t="shared" si="62"/>
        <v>937.17721174678081</v>
      </c>
      <c r="BI86" s="59">
        <f ca="1">AVERAGE(OFFSET($BH$3,0,0,'Données projet'!$E$11+1,1))-AVERAGE(OFFSET($H$3,0,0,'Données projet'!$E$11+1,1))</f>
        <v>352.61091660077574</v>
      </c>
      <c r="BJ86" s="59">
        <f t="shared" si="92"/>
        <v>186.48649111821521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88.42382598946314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88.42382598946314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266.99999999999983</v>
      </c>
      <c r="BZ86" s="13">
        <f>BY86*VLOOKUP('Données projet'!$B$12,Paramètres!$A$1:$I$89,3,0)*VLOOKUP('Données projet'!$B$12,Paramètres!$A$1:$I$89,5,0)</f>
        <v>212.42519999999985</v>
      </c>
      <c r="CA86" s="13">
        <f t="shared" si="93"/>
        <v>52.465198231787184</v>
      </c>
      <c r="CB86" s="20">
        <f t="shared" si="64"/>
        <v>461.35077692036231</v>
      </c>
      <c r="CC86" s="59">
        <f t="shared" si="65"/>
        <v>754.68411025369562</v>
      </c>
      <c r="CD86" s="59">
        <f ca="1">AVERAGE(OFFSET($CC$3,0,0,'Données projet'!$E$12+1,1))-AVERAGE(OFFSET($H$3,0,0,'Données projet'!$E$12+1,1))</f>
        <v>225.2323446080772</v>
      </c>
      <c r="CE86" s="59">
        <f t="shared" si="94"/>
        <v>222.29030402759292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40.884135369547714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40.884135369547714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213.00000000000003</v>
      </c>
      <c r="CU86" s="17">
        <f>CT86*VLOOKUP('Données projet'!$B$13,Paramètres!$A$1:$I$89,3,0)*VLOOKUP('Données projet'!$B$13,Paramètres!$A$1:$I$89,5,0)</f>
        <v>206.01360000000005</v>
      </c>
      <c r="CV86" s="13">
        <f t="shared" si="95"/>
        <v>51.063487709141484</v>
      </c>
      <c r="CW86" s="20">
        <f t="shared" si="67"/>
        <v>447.74259442675481</v>
      </c>
      <c r="CX86" s="59">
        <f t="shared" si="68"/>
        <v>741.07592776008812</v>
      </c>
      <c r="CY86" s="59">
        <f ca="1">AVERAGE(OFFSET($CX$3,0,0,'Données projet'!$E$13+1,1))-AVERAGE(OFFSET($H$3,0,0,'Données projet'!$E$13+1,1))</f>
        <v>212.32823943192528</v>
      </c>
      <c r="CZ86" s="59">
        <f t="shared" si="96"/>
        <v>209.60834138503003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31.153497723300532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31.153497723300532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285.99999999999972</v>
      </c>
      <c r="DP86" s="17">
        <f>DO86*VLOOKUP('Données projet'!$B$14,Paramètres!$A$1:$I$89,3,0)*VLOOKUP('Données projet'!$B$14,Paramètres!$A$1:$I$89,5,0)</f>
        <v>223.07999999999979</v>
      </c>
      <c r="DQ86" s="13">
        <f t="shared" si="97"/>
        <v>54.783765878062617</v>
      </c>
      <c r="DR86" s="20">
        <f t="shared" si="70"/>
        <v>483.94605890429199</v>
      </c>
      <c r="DS86" s="59">
        <f t="shared" si="71"/>
        <v>777.2793922376253</v>
      </c>
      <c r="DT86" s="59">
        <f ca="1">AVERAGE(OFFSET($DS$3,0,0,'Données projet'!$E$14+1,1))-AVERAGE(OFFSET($H$3,0,0,'Données projet'!$E$14+1,1))</f>
        <v>215.84581110302656</v>
      </c>
      <c r="DU86" s="59">
        <f t="shared" si="98"/>
        <v>193.88588526156104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45.352946352873424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45.352946352873424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6">
        <f t="shared" si="56"/>
        <v>384.78766557089091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401</v>
      </c>
      <c r="O87" s="13">
        <f>N87*VLOOKUP('Données projet'!$B$9,Paramètres!$A$1:$I$89,3,0)*VLOOKUP('Données projet'!$B$9,Paramètres!$A$1:$I$89,5,0)</f>
        <v>250.22399999999999</v>
      </c>
      <c r="P87" s="13">
        <f t="shared" si="87"/>
        <v>60.633904580527918</v>
      </c>
      <c r="Q87" s="20">
        <f t="shared" si="54"/>
        <v>541.41085047775289</v>
      </c>
      <c r="R87" s="59">
        <f t="shared" si="55"/>
        <v>834.74418381108626</v>
      </c>
      <c r="S87" s="59">
        <f ca="1">AVERAGE(OFFSET($R$3,0,0,'Données projet'!$E$9+1,1))-AVERAGE(OFFSET($H$3,0,0,'Données projet'!$E$9+1,1))</f>
        <v>269.77739619445515</v>
      </c>
      <c r="T87" s="59">
        <f t="shared" si="88"/>
        <v>347.56964743629885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47.608603933013349</v>
      </c>
      <c r="AA87" s="21">
        <f>EXP(-LN(2)/25)*AA86+(1-EXP(-LN(2)/25))/(LN(2)/25)*Calculateur!V87*Calculateur!X87*VLOOKUP('Données projet'!$B$9,Paramètres!$A$1:$I$89,3,0)*0.475*44/12</f>
        <v>20.52789046682069</v>
      </c>
      <c r="AB87" s="21">
        <f>EXP(-LN(2)/2)*AB86+(1-EXP(-LN(2)/2))/(LN(2)/2)*V87*Y87*VLOOKUP('Données projet'!$B$9,Paramètres!$A$1:$I$89,3,0)*0.475*44/12</f>
        <v>1.8506009896834831E-10</v>
      </c>
      <c r="AC87" s="22">
        <f t="shared" si="57"/>
        <v>68.136494400019089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789</v>
      </c>
      <c r="AJ87" s="13">
        <f>AI87*VLOOKUP('Données projet'!$B$10,Paramètres!$A$1:$I$89,3,0)*VLOOKUP('Données projet'!$B$10,Paramètres!$A$1:$I$89,5,0)</f>
        <v>389.76600000000002</v>
      </c>
      <c r="AK87" s="13">
        <f t="shared" si="89"/>
        <v>89.698759503620408</v>
      </c>
      <c r="AL87" s="20">
        <f t="shared" si="58"/>
        <v>835.06778946880547</v>
      </c>
      <c r="AM87" s="59">
        <f t="shared" si="59"/>
        <v>1128.4011228021388</v>
      </c>
      <c r="AN87" s="59">
        <f ca="1">AVERAGE(OFFSET($AM$3,0,0,'Données projet'!$E$10+1,1))-AVERAGE(OFFSET($H$3,0,0,'Données projet'!$E$10+1,1))</f>
        <v>396.27049617044378</v>
      </c>
      <c r="AO87" s="59">
        <f t="shared" si="90"/>
        <v>335.2680289568774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133.15169285010788</v>
      </c>
      <c r="AV87" s="21">
        <f>EXP(-LN(2)/25)*AV86+(1-EXP(-LN(2)/25))/(LN(2)/25)*Calculateur!AQ87*Calculateur!AS87*VLOOKUP('Données projet'!$B$10,Paramètres!$A$1:$I$89,3,0)*0.475*44/12</f>
        <v>10.518343227202752</v>
      </c>
      <c r="AW87" s="21">
        <f>EXP(-LN(2)/2)*AW86+(1-EXP(-LN(2)/2))/(LN(2)/2)*AQ87*AT87*VLOOKUP('Données projet'!$B$10,Paramètres!$A$1:$I$89,3,0)*0.475*44/12</f>
        <v>2.8650044951396155E-9</v>
      </c>
      <c r="AX87" s="21">
        <f t="shared" si="60"/>
        <v>143.67003608017563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8.4</v>
      </c>
      <c r="BD87" s="12">
        <f>IF('Données projet'!$A$88&gt;35,BD86+BC87-BL86,IF(A87&lt;'Données projet'!$A$88,$BA$205^A87,IF(A87='Données projet'!$A$88,'Données projet'!$B$88,BD86+BC87-BL86)))</f>
        <v>356.5999999999998</v>
      </c>
      <c r="BE87" s="13">
        <f>BD87*VLOOKUP('Données projet'!$B$11,Paramètres!$A$1:$I$89,3,0)*VLOOKUP('Données projet'!$B$11,Paramètres!$A$1:$I$89,5,0)</f>
        <v>305.96279999999985</v>
      </c>
      <c r="BF87" s="13">
        <f t="shared" si="91"/>
        <v>72.425059957831166</v>
      </c>
      <c r="BG87" s="20">
        <f t="shared" si="61"/>
        <v>659.02552275988899</v>
      </c>
      <c r="BH87" s="59">
        <f t="shared" si="62"/>
        <v>952.35885609322236</v>
      </c>
      <c r="BI87" s="59">
        <f ca="1">AVERAGE(OFFSET($BH$3,0,0,'Données projet'!$E$11+1,1))-AVERAGE(OFFSET($H$3,0,0,'Données projet'!$E$11+1,1))</f>
        <v>352.61091660077574</v>
      </c>
      <c r="BJ87" s="59">
        <f t="shared" si="92"/>
        <v>186.48649111821521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86.689888695018155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86.689888695018155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266.99999999999983</v>
      </c>
      <c r="BZ87" s="13">
        <f>BY87*VLOOKUP('Données projet'!$B$12,Paramètres!$A$1:$I$89,3,0)*VLOOKUP('Données projet'!$B$12,Paramètres!$A$1:$I$89,5,0)</f>
        <v>212.42519999999985</v>
      </c>
      <c r="CA87" s="13">
        <f t="shared" si="93"/>
        <v>52.465198231787184</v>
      </c>
      <c r="CB87" s="20">
        <f t="shared" si="64"/>
        <v>461.35077692036231</v>
      </c>
      <c r="CC87" s="59">
        <f t="shared" si="65"/>
        <v>754.68411025369562</v>
      </c>
      <c r="CD87" s="59">
        <f ca="1">AVERAGE(OFFSET($CC$3,0,0,'Données projet'!$E$12+1,1))-AVERAGE(OFFSET($H$3,0,0,'Données projet'!$E$12+1,1))</f>
        <v>225.2323446080772</v>
      </c>
      <c r="CE87" s="59">
        <f t="shared" si="94"/>
        <v>222.29030402759292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40.082422411811152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40.082422411811152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213.00000000000003</v>
      </c>
      <c r="CU87" s="17">
        <f>CT87*VLOOKUP('Données projet'!$B$13,Paramètres!$A$1:$I$89,3,0)*VLOOKUP('Données projet'!$B$13,Paramètres!$A$1:$I$89,5,0)</f>
        <v>206.01360000000005</v>
      </c>
      <c r="CV87" s="13">
        <f t="shared" si="95"/>
        <v>51.063487709141484</v>
      </c>
      <c r="CW87" s="20">
        <f t="shared" si="67"/>
        <v>447.74259442675481</v>
      </c>
      <c r="CX87" s="59">
        <f t="shared" si="68"/>
        <v>741.07592776008812</v>
      </c>
      <c r="CY87" s="59">
        <f ca="1">AVERAGE(OFFSET($CX$3,0,0,'Données projet'!$E$13+1,1))-AVERAGE(OFFSET($H$3,0,0,'Données projet'!$E$13+1,1))</f>
        <v>212.32823943192528</v>
      </c>
      <c r="CZ87" s="59">
        <f t="shared" si="96"/>
        <v>209.60834138503003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30.542596634703951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30.542596634703951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285.99999999999972</v>
      </c>
      <c r="DP87" s="17">
        <f>DO87*VLOOKUP('Données projet'!$B$14,Paramètres!$A$1:$I$89,3,0)*VLOOKUP('Données projet'!$B$14,Paramètres!$A$1:$I$89,5,0)</f>
        <v>223.07999999999979</v>
      </c>
      <c r="DQ87" s="13">
        <f t="shared" si="97"/>
        <v>54.783765878062617</v>
      </c>
      <c r="DR87" s="20">
        <f t="shared" si="70"/>
        <v>483.94605890429199</v>
      </c>
      <c r="DS87" s="59">
        <f t="shared" si="71"/>
        <v>777.2793922376253</v>
      </c>
      <c r="DT87" s="59">
        <f ca="1">AVERAGE(OFFSET($DS$3,0,0,'Données projet'!$E$14+1,1))-AVERAGE(OFFSET($H$3,0,0,'Données projet'!$E$14+1,1))</f>
        <v>215.84581110302656</v>
      </c>
      <c r="DU87" s="59">
        <f t="shared" si="98"/>
        <v>193.88588526156104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44.463602737459397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44.463602737459397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6">
        <f t="shared" si="56"/>
        <v>385.84703818858173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401</v>
      </c>
      <c r="O88" s="13">
        <f>N88*VLOOKUP('Données projet'!$B$9,Paramètres!$A$1:$I$89,3,0)*VLOOKUP('Données projet'!$B$9,Paramètres!$A$1:$I$89,5,0)</f>
        <v>250.22399999999999</v>
      </c>
      <c r="P88" s="13">
        <f t="shared" si="87"/>
        <v>60.633904580527918</v>
      </c>
      <c r="Q88" s="20">
        <f t="shared" si="54"/>
        <v>541.41085047775289</v>
      </c>
      <c r="R88" s="59">
        <f t="shared" si="55"/>
        <v>834.74418381108626</v>
      </c>
      <c r="S88" s="59">
        <f ca="1">AVERAGE(OFFSET($R$3,0,0,'Données projet'!$E$9+1,1))-AVERAGE(OFFSET($H$3,0,0,'Données projet'!$E$9+1,1))</f>
        <v>269.77739619445515</v>
      </c>
      <c r="T88" s="59">
        <f t="shared" si="88"/>
        <v>347.56964743629885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46.675028248268056</v>
      </c>
      <c r="AA88" s="21">
        <f>EXP(-LN(2)/25)*AA87+(1-EXP(-LN(2)/25))/(LN(2)/25)*Calculateur!V88*Calculateur!X88*VLOOKUP('Données projet'!$B$9,Paramètres!$A$1:$I$89,3,0)*0.475*44/12</f>
        <v>19.966554222490636</v>
      </c>
      <c r="AB88" s="21">
        <f>EXP(-LN(2)/2)*AB87+(1-EXP(-LN(2)/2))/(LN(2)/2)*V88*Y88*VLOOKUP('Données projet'!$B$9,Paramètres!$A$1:$I$89,3,0)*0.475*44/12</f>
        <v>1.308572509075727E-10</v>
      </c>
      <c r="AC88" s="22">
        <f t="shared" si="57"/>
        <v>66.641582470889546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789</v>
      </c>
      <c r="AJ88" s="13">
        <f>AI88*VLOOKUP('Données projet'!$B$10,Paramètres!$A$1:$I$89,3,0)*VLOOKUP('Données projet'!$B$10,Paramètres!$A$1:$I$89,5,0)</f>
        <v>389.76600000000002</v>
      </c>
      <c r="AK88" s="13">
        <f t="shared" si="89"/>
        <v>89.698759503620408</v>
      </c>
      <c r="AL88" s="20">
        <f t="shared" si="58"/>
        <v>835.06778946880547</v>
      </c>
      <c r="AM88" s="59">
        <f t="shared" si="59"/>
        <v>1128.4011228021388</v>
      </c>
      <c r="AN88" s="59">
        <f ca="1">AVERAGE(OFFSET($AM$3,0,0,'Données projet'!$E$10+1,1))-AVERAGE(OFFSET($H$3,0,0,'Données projet'!$E$10+1,1))</f>
        <v>396.27049617044378</v>
      </c>
      <c r="AO88" s="59">
        <f t="shared" si="90"/>
        <v>335.2680289568774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130.54066936783065</v>
      </c>
      <c r="AV88" s="21">
        <f>EXP(-LN(2)/25)*AV87+(1-EXP(-LN(2)/25))/(LN(2)/25)*Calculateur!AQ88*Calculateur!AS88*VLOOKUP('Données projet'!$B$10,Paramètres!$A$1:$I$89,3,0)*0.475*44/12</f>
        <v>10.230718578519262</v>
      </c>
      <c r="AW88" s="21">
        <f>EXP(-LN(2)/2)*AW87+(1-EXP(-LN(2)/2))/(LN(2)/2)*AQ88*AT88*VLOOKUP('Données projet'!$B$10,Paramètres!$A$1:$I$89,3,0)*0.475*44/12</f>
        <v>2.0258641066431631E-9</v>
      </c>
      <c r="AX88" s="21">
        <f t="shared" si="60"/>
        <v>140.77138794837578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365</v>
      </c>
      <c r="BB88" s="12">
        <f>VLOOKUP(A88,'Données projet'!$A$87:$I$107,9,0)</f>
        <v>8.4</v>
      </c>
      <c r="BC88" s="12">
        <f t="array" ref="BC88">INDEX(BB:BB,MIN(IF(ISNUMBER(BB88:BB284),ROW(BB88:BB284),"")))</f>
        <v>8.4</v>
      </c>
      <c r="BD88" s="12">
        <f>IF('Données projet'!$A$88&gt;35,BD87+BC88-BL87,IF(A88&lt;'Données projet'!$A$88,$BA$205^A88,IF(A88='Données projet'!$A$88,'Données projet'!$B$88,BD87+BC88-BL87)))</f>
        <v>364.99999999999977</v>
      </c>
      <c r="BE88" s="13">
        <f>BD88*VLOOKUP('Données projet'!$B$11,Paramètres!$A$1:$I$89,3,0)*VLOOKUP('Données projet'!$B$11,Paramètres!$A$1:$I$89,5,0)</f>
        <v>313.16999999999985</v>
      </c>
      <c r="BF88" s="13">
        <f t="shared" si="91"/>
        <v>73.930459835341836</v>
      </c>
      <c r="BG88" s="20">
        <f t="shared" si="61"/>
        <v>674.19996754655335</v>
      </c>
      <c r="BH88" s="59">
        <f t="shared" si="62"/>
        <v>967.53330087988661</v>
      </c>
      <c r="BI88" s="59">
        <f ca="1">AVERAGE(OFFSET($BH$3,0,0,'Données projet'!$E$11+1,1))-AVERAGE(OFFSET($H$3,0,0,'Données projet'!$E$11+1,1))</f>
        <v>352.61091660077574</v>
      </c>
      <c r="BJ88" s="59">
        <f t="shared" si="92"/>
        <v>186.48649111821521</v>
      </c>
      <c r="BK88" s="15">
        <f>IF(ISNA(VLOOKUP(A88,'Données projet'!$A$87:$I$107,3,0)),0,VLOOKUP(A88,'Données projet'!$A$87:$I$107,3,0))</f>
        <v>13</v>
      </c>
      <c r="BL88" s="15">
        <f>IF(ISNA(VLOOKUP(A88,'Données projet'!$A$87:$I$107,4,0)),0,VLOOKUP(A88,'Données projet'!$A$87:$I$107,4,0))</f>
        <v>27</v>
      </c>
      <c r="BM88" s="16">
        <f>IF(ISNA(VLOOKUP(A88,'Données projet'!$A$87:$I$107,5,0)),0%,VLOOKUP(A88,'Données projet'!$A$87:$I$107,5,0)*VLOOKUP('Données projet'!$B$11,Paramètres!$A$1:$I$89,7,0))</f>
        <v>0.53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98.562896063817888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98.562896063817888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266.99999999999983</v>
      </c>
      <c r="BZ88" s="13">
        <f>BY88*VLOOKUP('Données projet'!$B$12,Paramètres!$A$1:$I$89,3,0)*VLOOKUP('Données projet'!$B$12,Paramètres!$A$1:$I$89,5,0)</f>
        <v>212.42519999999985</v>
      </c>
      <c r="CA88" s="13">
        <f t="shared" si="93"/>
        <v>52.465198231787184</v>
      </c>
      <c r="CB88" s="20">
        <f t="shared" si="64"/>
        <v>461.35077692036231</v>
      </c>
      <c r="CC88" s="59">
        <f t="shared" si="65"/>
        <v>754.68411025369562</v>
      </c>
      <c r="CD88" s="59">
        <f ca="1">AVERAGE(OFFSET($CC$3,0,0,'Données projet'!$E$12+1,1))-AVERAGE(OFFSET($H$3,0,0,'Données projet'!$E$12+1,1))</f>
        <v>225.2323446080772</v>
      </c>
      <c r="CE88" s="59">
        <f t="shared" si="94"/>
        <v>222.29030402759292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39.296430556179182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39.296430556179182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213.00000000000003</v>
      </c>
      <c r="CU88" s="17">
        <f>CT88*VLOOKUP('Données projet'!$B$13,Paramètres!$A$1:$I$89,3,0)*VLOOKUP('Données projet'!$B$13,Paramètres!$A$1:$I$89,5,0)</f>
        <v>206.01360000000005</v>
      </c>
      <c r="CV88" s="13">
        <f t="shared" si="95"/>
        <v>51.063487709141484</v>
      </c>
      <c r="CW88" s="20">
        <f t="shared" si="67"/>
        <v>447.74259442675481</v>
      </c>
      <c r="CX88" s="59">
        <f t="shared" si="68"/>
        <v>741.07592776008812</v>
      </c>
      <c r="CY88" s="59">
        <f ca="1">AVERAGE(OFFSET($CX$3,0,0,'Données projet'!$E$13+1,1))-AVERAGE(OFFSET($H$3,0,0,'Données projet'!$E$13+1,1))</f>
        <v>212.32823943192528</v>
      </c>
      <c r="CZ88" s="59">
        <f t="shared" si="96"/>
        <v>209.60834138503003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29.943674943841877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29.943674943841877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285.99999999999972</v>
      </c>
      <c r="DP88" s="17">
        <f>DO88*VLOOKUP('Données projet'!$B$14,Paramètres!$A$1:$I$89,3,0)*VLOOKUP('Données projet'!$B$14,Paramètres!$A$1:$I$89,5,0)</f>
        <v>223.07999999999979</v>
      </c>
      <c r="DQ88" s="13">
        <f t="shared" si="97"/>
        <v>54.783765878062617</v>
      </c>
      <c r="DR88" s="20">
        <f t="shared" si="70"/>
        <v>483.94605890429199</v>
      </c>
      <c r="DS88" s="59">
        <f t="shared" si="71"/>
        <v>777.2793922376253</v>
      </c>
      <c r="DT88" s="59">
        <f ca="1">AVERAGE(OFFSET($DS$3,0,0,'Données projet'!$E$14+1,1))-AVERAGE(OFFSET($H$3,0,0,'Données projet'!$E$14+1,1))</f>
        <v>215.84581110302656</v>
      </c>
      <c r="DU88" s="59">
        <f t="shared" si="98"/>
        <v>193.88588526156104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43.591698607897598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43.591698607897598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6">
        <f t="shared" si="56"/>
        <v>386.90610750255792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401</v>
      </c>
      <c r="O89" s="13">
        <f>N89*VLOOKUP('Données projet'!$B$9,Paramètres!$A$1:$I$89,3,0)*VLOOKUP('Données projet'!$B$9,Paramètres!$A$1:$I$89,5,0)</f>
        <v>250.22399999999999</v>
      </c>
      <c r="P89" s="13">
        <f t="shared" si="87"/>
        <v>60.633904580527918</v>
      </c>
      <c r="Q89" s="20">
        <f t="shared" si="54"/>
        <v>541.41085047775289</v>
      </c>
      <c r="R89" s="59">
        <f t="shared" si="55"/>
        <v>834.74418381108626</v>
      </c>
      <c r="S89" s="59">
        <f ca="1">AVERAGE(OFFSET($R$3,0,0,'Données projet'!$E$9+1,1))-AVERAGE(OFFSET($H$3,0,0,'Données projet'!$E$9+1,1))</f>
        <v>269.77739619445515</v>
      </c>
      <c r="T89" s="59">
        <f t="shared" si="88"/>
        <v>347.56964743629885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45.759759413275674</v>
      </c>
      <c r="AA89" s="21">
        <f>EXP(-LN(2)/25)*AA88+(1-EXP(-LN(2)/25))/(LN(2)/25)*Calculateur!V89*Calculateur!X89*VLOOKUP('Données projet'!$B$9,Paramètres!$A$1:$I$89,3,0)*0.475*44/12</f>
        <v>19.420567747281176</v>
      </c>
      <c r="AB89" s="21">
        <f>EXP(-LN(2)/2)*AB88+(1-EXP(-LN(2)/2))/(LN(2)/2)*V89*Y89*VLOOKUP('Données projet'!$B$9,Paramètres!$A$1:$I$89,3,0)*0.475*44/12</f>
        <v>9.2530049484174156E-11</v>
      </c>
      <c r="AC89" s="22">
        <f t="shared" si="57"/>
        <v>65.180327160649384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789</v>
      </c>
      <c r="AJ89" s="13">
        <f>AI89*VLOOKUP('Données projet'!$B$10,Paramètres!$A$1:$I$89,3,0)*VLOOKUP('Données projet'!$B$10,Paramètres!$A$1:$I$89,5,0)</f>
        <v>389.76600000000002</v>
      </c>
      <c r="AK89" s="13">
        <f t="shared" si="89"/>
        <v>89.698759503620408</v>
      </c>
      <c r="AL89" s="20">
        <f t="shared" si="58"/>
        <v>835.06778946880547</v>
      </c>
      <c r="AM89" s="59">
        <f t="shared" si="59"/>
        <v>1128.4011228021388</v>
      </c>
      <c r="AN89" s="59">
        <f ca="1">AVERAGE(OFFSET($AM$3,0,0,'Données projet'!$E$10+1,1))-AVERAGE(OFFSET($H$3,0,0,'Données projet'!$E$10+1,1))</f>
        <v>396.27049617044378</v>
      </c>
      <c r="AO89" s="59">
        <f t="shared" si="90"/>
        <v>335.2680289568774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127.98084646347378</v>
      </c>
      <c r="AV89" s="21">
        <f>EXP(-LN(2)/25)*AV88+(1-EXP(-LN(2)/25))/(LN(2)/25)*Calculateur!AQ89*Calculateur!AS89*VLOOKUP('Données projet'!$B$10,Paramètres!$A$1:$I$89,3,0)*0.475*44/12</f>
        <v>9.9509590409795461</v>
      </c>
      <c r="AW89" s="21">
        <f>EXP(-LN(2)/2)*AW88+(1-EXP(-LN(2)/2))/(LN(2)/2)*AQ89*AT89*VLOOKUP('Données projet'!$B$10,Paramètres!$A$1:$I$89,3,0)*0.475*44/12</f>
        <v>1.4325022475698077E-9</v>
      </c>
      <c r="AX89" s="21">
        <f t="shared" si="60"/>
        <v>137.93180550588585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7.8</v>
      </c>
      <c r="BD89" s="12">
        <f>IF('Données projet'!$A$88&gt;35,BD88+BC89-BL88,IF(A89&lt;'Données projet'!$A$88,$BA$205^A89,IF(A89='Données projet'!$A$88,'Données projet'!$B$88,BD88+BC89-BL88)))</f>
        <v>345.79999999999978</v>
      </c>
      <c r="BE89" s="13">
        <f>BD89*VLOOKUP('Données projet'!$B$11,Paramètres!$A$1:$I$89,3,0)*VLOOKUP('Données projet'!$B$11,Paramètres!$A$1:$I$89,5,0)</f>
        <v>296.69639999999981</v>
      </c>
      <c r="BF89" s="13">
        <f t="shared" si="91"/>
        <v>70.48345633189993</v>
      </c>
      <c r="BG89" s="20">
        <f t="shared" si="61"/>
        <v>639.50491644472538</v>
      </c>
      <c r="BH89" s="59">
        <f t="shared" si="62"/>
        <v>932.83824977805875</v>
      </c>
      <c r="BI89" s="59">
        <f ca="1">AVERAGE(OFFSET($BH$3,0,0,'Données projet'!$E$11+1,1))-AVERAGE(OFFSET($H$3,0,0,'Données projet'!$E$11+1,1))</f>
        <v>352.61091660077574</v>
      </c>
      <c r="BJ89" s="59">
        <f t="shared" si="92"/>
        <v>186.48649111821521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96.630137789436915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96.630137789436915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266.99999999999983</v>
      </c>
      <c r="BZ89" s="13">
        <f>BY89*VLOOKUP('Données projet'!$B$12,Paramètres!$A$1:$I$89,3,0)*VLOOKUP('Données projet'!$B$12,Paramètres!$A$1:$I$89,5,0)</f>
        <v>212.42519999999985</v>
      </c>
      <c r="CA89" s="13">
        <f t="shared" si="93"/>
        <v>52.465198231787184</v>
      </c>
      <c r="CB89" s="20">
        <f t="shared" si="64"/>
        <v>461.35077692036231</v>
      </c>
      <c r="CC89" s="59">
        <f t="shared" si="65"/>
        <v>754.68411025369562</v>
      </c>
      <c r="CD89" s="59">
        <f ca="1">AVERAGE(OFFSET($CC$3,0,0,'Données projet'!$E$12+1,1))-AVERAGE(OFFSET($H$3,0,0,'Données projet'!$E$12+1,1))</f>
        <v>225.2323446080772</v>
      </c>
      <c r="CE89" s="59">
        <f t="shared" si="94"/>
        <v>222.29030402759292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38.525851521428457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38.525851521428457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213.00000000000003</v>
      </c>
      <c r="CU89" s="17">
        <f>CT89*VLOOKUP('Données projet'!$B$13,Paramètres!$A$1:$I$89,3,0)*VLOOKUP('Données projet'!$B$13,Paramètres!$A$1:$I$89,5,0)</f>
        <v>206.01360000000005</v>
      </c>
      <c r="CV89" s="13">
        <f t="shared" si="95"/>
        <v>51.063487709141484</v>
      </c>
      <c r="CW89" s="20">
        <f t="shared" si="67"/>
        <v>447.74259442675481</v>
      </c>
      <c r="CX89" s="59">
        <f t="shared" si="68"/>
        <v>741.07592776008812</v>
      </c>
      <c r="CY89" s="59">
        <f ca="1">AVERAGE(OFFSET($CX$3,0,0,'Données projet'!$E$13+1,1))-AVERAGE(OFFSET($H$3,0,0,'Données projet'!$E$13+1,1))</f>
        <v>212.32823943192528</v>
      </c>
      <c r="CZ89" s="59">
        <f t="shared" si="96"/>
        <v>209.60834138503003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29.356497742031451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29.356497742031451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285.99999999999972</v>
      </c>
      <c r="DP89" s="17">
        <f>DO89*VLOOKUP('Données projet'!$B$14,Paramètres!$A$1:$I$89,3,0)*VLOOKUP('Données projet'!$B$14,Paramètres!$A$1:$I$89,5,0)</f>
        <v>223.07999999999979</v>
      </c>
      <c r="DQ89" s="13">
        <f t="shared" si="97"/>
        <v>54.783765878062617</v>
      </c>
      <c r="DR89" s="20">
        <f t="shared" si="70"/>
        <v>483.94605890429199</v>
      </c>
      <c r="DS89" s="59">
        <f t="shared" si="71"/>
        <v>777.2793922376253</v>
      </c>
      <c r="DT89" s="59">
        <f ca="1">AVERAGE(OFFSET($DS$3,0,0,'Données projet'!$E$14+1,1))-AVERAGE(OFFSET($H$3,0,0,'Données projet'!$E$14+1,1))</f>
        <v>215.84581110302656</v>
      </c>
      <c r="DU89" s="59">
        <f t="shared" si="98"/>
        <v>193.88588526156104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42.736891986507501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42.736891986507501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6">
        <f t="shared" si="56"/>
        <v>387.96487744763988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401</v>
      </c>
      <c r="O90" s="13">
        <f>N90*VLOOKUP('Données projet'!$B$9,Paramètres!$A$1:$I$89,3,0)*VLOOKUP('Données projet'!$B$9,Paramètres!$A$1:$I$89,5,0)</f>
        <v>250.22399999999999</v>
      </c>
      <c r="P90" s="13">
        <f t="shared" si="87"/>
        <v>60.633904580527918</v>
      </c>
      <c r="Q90" s="20">
        <f t="shared" si="54"/>
        <v>541.41085047775289</v>
      </c>
      <c r="R90" s="59">
        <f t="shared" si="55"/>
        <v>834.74418381108626</v>
      </c>
      <c r="S90" s="59">
        <f ca="1">AVERAGE(OFFSET($R$3,0,0,'Données projet'!$E$9+1,1))-AVERAGE(OFFSET($H$3,0,0,'Données projet'!$E$9+1,1))</f>
        <v>269.77739619445515</v>
      </c>
      <c r="T90" s="59">
        <f t="shared" si="88"/>
        <v>347.56964743629885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44.862438441878631</v>
      </c>
      <c r="AA90" s="21">
        <f>EXP(-LN(2)/25)*AA89+(1-EXP(-LN(2)/25))/(LN(2)/25)*Calculateur!V90*Calculateur!X90*VLOOKUP('Données projet'!$B$9,Paramètres!$A$1:$I$89,3,0)*0.475*44/12</f>
        <v>18.889511300948499</v>
      </c>
      <c r="AB90" s="21">
        <f>EXP(-LN(2)/2)*AB89+(1-EXP(-LN(2)/2))/(LN(2)/2)*V90*Y90*VLOOKUP('Données projet'!$B$9,Paramètres!$A$1:$I$89,3,0)*0.475*44/12</f>
        <v>6.5428625453786348E-11</v>
      </c>
      <c r="AC90" s="22">
        <f t="shared" si="57"/>
        <v>63.751949742892556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789</v>
      </c>
      <c r="AJ90" s="13">
        <f>AI90*VLOOKUP('Données projet'!$B$10,Paramètres!$A$1:$I$89,3,0)*VLOOKUP('Données projet'!$B$10,Paramètres!$A$1:$I$89,5,0)</f>
        <v>389.76600000000002</v>
      </c>
      <c r="AK90" s="13">
        <f t="shared" si="89"/>
        <v>89.698759503620408</v>
      </c>
      <c r="AL90" s="20">
        <f t="shared" si="58"/>
        <v>835.06778946880547</v>
      </c>
      <c r="AM90" s="59">
        <f t="shared" si="59"/>
        <v>1128.4011228021388</v>
      </c>
      <c r="AN90" s="59">
        <f ca="1">AVERAGE(OFFSET($AM$3,0,0,'Données projet'!$E$10+1,1))-AVERAGE(OFFSET($H$3,0,0,'Données projet'!$E$10+1,1))</f>
        <v>396.27049617044378</v>
      </c>
      <c r="AO90" s="59">
        <f t="shared" si="90"/>
        <v>335.2680289568774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125.47122012493355</v>
      </c>
      <c r="AV90" s="21">
        <f>EXP(-LN(2)/25)*AV89+(1-EXP(-LN(2)/25))/(LN(2)/25)*Calculateur!AQ90*Calculateur!AS90*VLOOKUP('Données projet'!$B$10,Paramètres!$A$1:$I$89,3,0)*0.475*44/12</f>
        <v>9.6788495427057679</v>
      </c>
      <c r="AW90" s="21">
        <f>EXP(-LN(2)/2)*AW89+(1-EXP(-LN(2)/2))/(LN(2)/2)*AQ90*AT90*VLOOKUP('Données projet'!$B$10,Paramètres!$A$1:$I$89,3,0)*0.475*44/12</f>
        <v>1.0129320533215816E-9</v>
      </c>
      <c r="AX90" s="21">
        <f t="shared" si="60"/>
        <v>135.15006966865224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7.8</v>
      </c>
      <c r="BD90" s="12">
        <f>IF('Données projet'!$A$88&gt;35,BD89+BC90-BL89,IF(A90&lt;'Données projet'!$A$88,$BA$205^A90,IF(A90='Données projet'!$A$88,'Données projet'!$B$88,BD89+BC90-BL89)))</f>
        <v>353.5999999999998</v>
      </c>
      <c r="BE90" s="13">
        <f>BD90*VLOOKUP('Données projet'!$B$11,Paramètres!$A$1:$I$89,3,0)*VLOOKUP('Données projet'!$B$11,Paramètres!$A$1:$I$89,5,0)</f>
        <v>303.38879999999989</v>
      </c>
      <c r="BF90" s="13">
        <f t="shared" si="91"/>
        <v>71.88642102141435</v>
      </c>
      <c r="BG90" s="20">
        <f t="shared" si="61"/>
        <v>653.60434327896314</v>
      </c>
      <c r="BH90" s="59">
        <f t="shared" si="62"/>
        <v>946.9376766122964</v>
      </c>
      <c r="BI90" s="59">
        <f ca="1">AVERAGE(OFFSET($BH$3,0,0,'Données projet'!$E$11+1,1))-AVERAGE(OFFSET($H$3,0,0,'Données projet'!$E$11+1,1))</f>
        <v>352.61091660077574</v>
      </c>
      <c r="BJ90" s="59">
        <f t="shared" si="92"/>
        <v>186.48649111821521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94.735279725950406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94.735279725950406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266.99999999999983</v>
      </c>
      <c r="BZ90" s="13">
        <f>BY90*VLOOKUP('Données projet'!$B$12,Paramètres!$A$1:$I$89,3,0)*VLOOKUP('Données projet'!$B$12,Paramètres!$A$1:$I$89,5,0)</f>
        <v>212.42519999999985</v>
      </c>
      <c r="CA90" s="13">
        <f t="shared" si="93"/>
        <v>52.465198231787184</v>
      </c>
      <c r="CB90" s="20">
        <f t="shared" si="64"/>
        <v>461.35077692036231</v>
      </c>
      <c r="CC90" s="59">
        <f t="shared" si="65"/>
        <v>754.68411025369562</v>
      </c>
      <c r="CD90" s="59">
        <f ca="1">AVERAGE(OFFSET($CC$3,0,0,'Données projet'!$E$12+1,1))-AVERAGE(OFFSET($H$3,0,0,'Données projet'!$E$12+1,1))</f>
        <v>225.2323446080772</v>
      </c>
      <c r="CE90" s="59">
        <f t="shared" si="94"/>
        <v>222.29030402759292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37.77038307154239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37.77038307154239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213.00000000000003</v>
      </c>
      <c r="CU90" s="17">
        <f>CT90*VLOOKUP('Données projet'!$B$13,Paramètres!$A$1:$I$89,3,0)*VLOOKUP('Données projet'!$B$13,Paramètres!$A$1:$I$89,5,0)</f>
        <v>206.01360000000005</v>
      </c>
      <c r="CV90" s="13">
        <f t="shared" si="95"/>
        <v>51.063487709141484</v>
      </c>
      <c r="CW90" s="20">
        <f t="shared" si="67"/>
        <v>447.74259442675481</v>
      </c>
      <c r="CX90" s="59">
        <f t="shared" si="68"/>
        <v>741.07592776008812</v>
      </c>
      <c r="CY90" s="59">
        <f ca="1">AVERAGE(OFFSET($CX$3,0,0,'Données projet'!$E$13+1,1))-AVERAGE(OFFSET($H$3,0,0,'Données projet'!$E$13+1,1))</f>
        <v>212.32823943192528</v>
      </c>
      <c r="CZ90" s="59">
        <f t="shared" si="96"/>
        <v>209.60834138503003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28.780834727005796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28.780834727005796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285.99999999999972</v>
      </c>
      <c r="DP90" s="17">
        <f>DO90*VLOOKUP('Données projet'!$B$14,Paramètres!$A$1:$I$89,3,0)*VLOOKUP('Données projet'!$B$14,Paramètres!$A$1:$I$89,5,0)</f>
        <v>223.07999999999979</v>
      </c>
      <c r="DQ90" s="13">
        <f t="shared" si="97"/>
        <v>54.783765878062617</v>
      </c>
      <c r="DR90" s="20">
        <f t="shared" si="70"/>
        <v>483.94605890429199</v>
      </c>
      <c r="DS90" s="59">
        <f t="shared" si="71"/>
        <v>777.2793922376253</v>
      </c>
      <c r="DT90" s="59">
        <f ca="1">AVERAGE(OFFSET($DS$3,0,0,'Données projet'!$E$14+1,1))-AVERAGE(OFFSET($H$3,0,0,'Données projet'!$E$14+1,1))</f>
        <v>215.84581110302656</v>
      </c>
      <c r="DU90" s="59">
        <f t="shared" si="98"/>
        <v>193.88588526156104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41.898847601582304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41.898847601582304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6">
        <f t="shared" si="56"/>
        <v>389.02335186298552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401</v>
      </c>
      <c r="O91" s="13">
        <f>N91*VLOOKUP('Données projet'!$B$9,Paramètres!$A$1:$I$89,3,0)*VLOOKUP('Données projet'!$B$9,Paramètres!$A$1:$I$89,5,0)</f>
        <v>250.22399999999999</v>
      </c>
      <c r="P91" s="13">
        <f t="shared" si="87"/>
        <v>60.633904580527918</v>
      </c>
      <c r="Q91" s="20">
        <f t="shared" si="54"/>
        <v>541.41085047775289</v>
      </c>
      <c r="R91" s="59">
        <f t="shared" si="55"/>
        <v>834.74418381108626</v>
      </c>
      <c r="S91" s="59">
        <f ca="1">AVERAGE(OFFSET($R$3,0,0,'Données projet'!$E$9+1,1))-AVERAGE(OFFSET($H$3,0,0,'Données projet'!$E$9+1,1))</f>
        <v>269.77739619445515</v>
      </c>
      <c r="T91" s="59">
        <f t="shared" si="88"/>
        <v>347.56964743629885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43.982713387418933</v>
      </c>
      <c r="AA91" s="21">
        <f>EXP(-LN(2)/25)*AA90+(1-EXP(-LN(2)/25))/(LN(2)/25)*Calculateur!V91*Calculateur!X91*VLOOKUP('Données projet'!$B$9,Paramètres!$A$1:$I$89,3,0)*0.475*44/12</f>
        <v>18.372976621067835</v>
      </c>
      <c r="AB91" s="21">
        <f>EXP(-LN(2)/2)*AB90+(1-EXP(-LN(2)/2))/(LN(2)/2)*V91*Y91*VLOOKUP('Données projet'!$B$9,Paramètres!$A$1:$I$89,3,0)*0.475*44/12</f>
        <v>4.6265024742087078E-11</v>
      </c>
      <c r="AC91" s="22">
        <f t="shared" si="57"/>
        <v>62.355690008533031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789</v>
      </c>
      <c r="AJ91" s="13">
        <f>AI91*VLOOKUP('Données projet'!$B$10,Paramètres!$A$1:$I$89,3,0)*VLOOKUP('Données projet'!$B$10,Paramètres!$A$1:$I$89,5,0)</f>
        <v>389.76600000000002</v>
      </c>
      <c r="AK91" s="13">
        <f t="shared" si="89"/>
        <v>89.698759503620408</v>
      </c>
      <c r="AL91" s="20">
        <f t="shared" si="58"/>
        <v>835.06778946880547</v>
      </c>
      <c r="AM91" s="59">
        <f t="shared" si="59"/>
        <v>1128.4011228021388</v>
      </c>
      <c r="AN91" s="59">
        <f ca="1">AVERAGE(OFFSET($AM$3,0,0,'Données projet'!$E$10+1,1))-AVERAGE(OFFSET($H$3,0,0,'Données projet'!$E$10+1,1))</f>
        <v>396.27049617044378</v>
      </c>
      <c r="AO91" s="59">
        <f t="shared" si="90"/>
        <v>335.2680289568774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123.01080602817119</v>
      </c>
      <c r="AV91" s="21">
        <f>EXP(-LN(2)/25)*AV90+(1-EXP(-LN(2)/25))/(LN(2)/25)*Calculateur!AQ91*Calculateur!AS91*VLOOKUP('Données projet'!$B$10,Paramètres!$A$1:$I$89,3,0)*0.475*44/12</f>
        <v>9.4141808929719026</v>
      </c>
      <c r="AW91" s="21">
        <f>EXP(-LN(2)/2)*AW90+(1-EXP(-LN(2)/2))/(LN(2)/2)*AQ91*AT91*VLOOKUP('Données projet'!$B$10,Paramètres!$A$1:$I$89,3,0)*0.475*44/12</f>
        <v>7.1625112378490387E-10</v>
      </c>
      <c r="AX91" s="21">
        <f t="shared" si="60"/>
        <v>132.42498692185936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7.8</v>
      </c>
      <c r="BD91" s="12">
        <f>IF('Données projet'!$A$88&gt;35,BD90+BC91-BL90,IF(A91&lt;'Données projet'!$A$88,$BA$205^A91,IF(A91='Données projet'!$A$88,'Données projet'!$B$88,BD90+BC91-BL90)))</f>
        <v>361.39999999999981</v>
      </c>
      <c r="BE91" s="13">
        <f>BD91*VLOOKUP('Données projet'!$B$11,Paramètres!$A$1:$I$89,3,0)*VLOOKUP('Données projet'!$B$11,Paramètres!$A$1:$I$89,5,0)</f>
        <v>310.08119999999985</v>
      </c>
      <c r="BF91" s="13">
        <f t="shared" si="91"/>
        <v>73.285787705139427</v>
      </c>
      <c r="BG91" s="20">
        <f t="shared" si="61"/>
        <v>667.69750358645092</v>
      </c>
      <c r="BH91" s="59">
        <f t="shared" si="62"/>
        <v>961.03083691978418</v>
      </c>
      <c r="BI91" s="59">
        <f ca="1">AVERAGE(OFFSET($BH$3,0,0,'Données projet'!$E$11+1,1))-AVERAGE(OFFSET($H$3,0,0,'Données projet'!$E$11+1,1))</f>
        <v>352.61091660077574</v>
      </c>
      <c r="BJ91" s="59">
        <f t="shared" si="92"/>
        <v>186.48649111821521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92.877578673339571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92.877578673339571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266.99999999999983</v>
      </c>
      <c r="BZ91" s="13">
        <f>BY91*VLOOKUP('Données projet'!$B$12,Paramètres!$A$1:$I$89,3,0)*VLOOKUP('Données projet'!$B$12,Paramètres!$A$1:$I$89,5,0)</f>
        <v>212.42519999999985</v>
      </c>
      <c r="CA91" s="13">
        <f t="shared" si="93"/>
        <v>52.465198231787184</v>
      </c>
      <c r="CB91" s="20">
        <f t="shared" si="64"/>
        <v>461.35077692036231</v>
      </c>
      <c r="CC91" s="59">
        <f t="shared" si="65"/>
        <v>754.68411025369562</v>
      </c>
      <c r="CD91" s="59">
        <f ca="1">AVERAGE(OFFSET($CC$3,0,0,'Données projet'!$E$12+1,1))-AVERAGE(OFFSET($H$3,0,0,'Données projet'!$E$12+1,1))</f>
        <v>225.2323446080772</v>
      </c>
      <c r="CE91" s="59">
        <f t="shared" si="94"/>
        <v>222.29030402759292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37.02972889716834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37.02972889716834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213.00000000000003</v>
      </c>
      <c r="CU91" s="17">
        <f>CT91*VLOOKUP('Données projet'!$B$13,Paramètres!$A$1:$I$89,3,0)*VLOOKUP('Données projet'!$B$13,Paramètres!$A$1:$I$89,5,0)</f>
        <v>206.01360000000005</v>
      </c>
      <c r="CV91" s="13">
        <f t="shared" si="95"/>
        <v>51.063487709141484</v>
      </c>
      <c r="CW91" s="20">
        <f t="shared" si="67"/>
        <v>447.74259442675481</v>
      </c>
      <c r="CX91" s="59">
        <f t="shared" si="68"/>
        <v>741.07592776008812</v>
      </c>
      <c r="CY91" s="59">
        <f ca="1">AVERAGE(OFFSET($CX$3,0,0,'Données projet'!$E$13+1,1))-AVERAGE(OFFSET($H$3,0,0,'Données projet'!$E$13+1,1))</f>
        <v>212.32823943192528</v>
      </c>
      <c r="CZ91" s="59">
        <f t="shared" si="96"/>
        <v>209.60834138503003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28.216460112585025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28.216460112585025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285.99999999999972</v>
      </c>
      <c r="DP91" s="17">
        <f>DO91*VLOOKUP('Données projet'!$B$14,Paramètres!$A$1:$I$89,3,0)*VLOOKUP('Données projet'!$B$14,Paramètres!$A$1:$I$89,5,0)</f>
        <v>223.07999999999979</v>
      </c>
      <c r="DQ91" s="13">
        <f t="shared" si="97"/>
        <v>54.783765878062617</v>
      </c>
      <c r="DR91" s="20">
        <f t="shared" si="70"/>
        <v>483.94605890429199</v>
      </c>
      <c r="DS91" s="59">
        <f t="shared" si="71"/>
        <v>777.2793922376253</v>
      </c>
      <c r="DT91" s="59">
        <f ca="1">AVERAGE(OFFSET($DS$3,0,0,'Données projet'!$E$14+1,1))-AVERAGE(OFFSET($H$3,0,0,'Données projet'!$E$14+1,1))</f>
        <v>215.84581110302656</v>
      </c>
      <c r="DU91" s="59">
        <f t="shared" si="98"/>
        <v>193.88588526156104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41.07723675588889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41.07723675588889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6">
        <f t="shared" si="56"/>
        <v>390.08153449547615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401</v>
      </c>
      <c r="O92" s="13">
        <f>N92*VLOOKUP('Données projet'!$B$9,Paramètres!$A$1:$I$89,3,0)*VLOOKUP('Données projet'!$B$9,Paramètres!$A$1:$I$89,5,0)</f>
        <v>250.22399999999999</v>
      </c>
      <c r="P92" s="13">
        <f t="shared" si="87"/>
        <v>60.633904580527918</v>
      </c>
      <c r="Q92" s="20">
        <f t="shared" si="54"/>
        <v>541.41085047775289</v>
      </c>
      <c r="R92" s="59">
        <f t="shared" si="55"/>
        <v>834.74418381108626</v>
      </c>
      <c r="S92" s="59">
        <f ca="1">AVERAGE(OFFSET($R$3,0,0,'Données projet'!$E$9+1,1))-AVERAGE(OFFSET($H$3,0,0,'Données projet'!$E$9+1,1))</f>
        <v>269.77739619445515</v>
      </c>
      <c r="T92" s="59">
        <f t="shared" si="88"/>
        <v>347.56964743629885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43.120239204697889</v>
      </c>
      <c r="AA92" s="21">
        <f>EXP(-LN(2)/25)*AA91+(1-EXP(-LN(2)/25))/(LN(2)/25)*Calculateur!V92*Calculateur!X92*VLOOKUP('Données projet'!$B$9,Paramètres!$A$1:$I$89,3,0)*0.475*44/12</f>
        <v>17.870566609171888</v>
      </c>
      <c r="AB92" s="21">
        <f>EXP(-LN(2)/2)*AB91+(1-EXP(-LN(2)/2))/(LN(2)/2)*V92*Y92*VLOOKUP('Données projet'!$B$9,Paramètres!$A$1:$I$89,3,0)*0.475*44/12</f>
        <v>3.2714312726893174E-11</v>
      </c>
      <c r="AC92" s="22">
        <f t="shared" si="57"/>
        <v>60.99080581390249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789</v>
      </c>
      <c r="AJ92" s="13">
        <f>AI92*VLOOKUP('Données projet'!$B$10,Paramètres!$A$1:$I$89,3,0)*VLOOKUP('Données projet'!$B$10,Paramètres!$A$1:$I$89,5,0)</f>
        <v>389.76600000000002</v>
      </c>
      <c r="AK92" s="13">
        <f t="shared" si="89"/>
        <v>89.698759503620408</v>
      </c>
      <c r="AL92" s="20">
        <f t="shared" si="58"/>
        <v>835.06778946880547</v>
      </c>
      <c r="AM92" s="59">
        <f t="shared" si="59"/>
        <v>1128.4011228021388</v>
      </c>
      <c r="AN92" s="59">
        <f ca="1">AVERAGE(OFFSET($AM$3,0,0,'Données projet'!$E$10+1,1))-AVERAGE(OFFSET($H$3,0,0,'Données projet'!$E$10+1,1))</f>
        <v>396.27049617044378</v>
      </c>
      <c r="AO92" s="59">
        <f t="shared" si="90"/>
        <v>335.2680289568774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120.59863915114191</v>
      </c>
      <c r="AV92" s="21">
        <f>EXP(-LN(2)/25)*AV91+(1-EXP(-LN(2)/25))/(LN(2)/25)*Calculateur!AQ92*Calculateur!AS92*VLOOKUP('Données projet'!$B$10,Paramètres!$A$1:$I$89,3,0)*0.475*44/12</f>
        <v>9.1567496213833284</v>
      </c>
      <c r="AW92" s="21">
        <f>EXP(-LN(2)/2)*AW91+(1-EXP(-LN(2)/2))/(LN(2)/2)*AQ92*AT92*VLOOKUP('Données projet'!$B$10,Paramètres!$A$1:$I$89,3,0)*0.475*44/12</f>
        <v>5.0646602666079078E-10</v>
      </c>
      <c r="AX92" s="21">
        <f t="shared" si="60"/>
        <v>129.75538877303171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7.8</v>
      </c>
      <c r="BD92" s="12">
        <f>IF('Données projet'!$A$88&gt;35,BD91+BC92-BL91,IF(A92&lt;'Données projet'!$A$88,$BA$205^A92,IF(A92='Données projet'!$A$88,'Données projet'!$B$88,BD91+BC92-BL91)))</f>
        <v>369.19999999999982</v>
      </c>
      <c r="BE92" s="13">
        <f>BD92*VLOOKUP('Données projet'!$B$11,Paramètres!$A$1:$I$89,3,0)*VLOOKUP('Données projet'!$B$11,Paramètres!$A$1:$I$89,5,0)</f>
        <v>316.77359999999987</v>
      </c>
      <c r="BF92" s="13">
        <f t="shared" si="91"/>
        <v>74.681642981668006</v>
      </c>
      <c r="BG92" s="20">
        <f t="shared" si="61"/>
        <v>681.78454819307149</v>
      </c>
      <c r="BH92" s="59">
        <f t="shared" si="62"/>
        <v>975.11788152640474</v>
      </c>
      <c r="BI92" s="59">
        <f ca="1">AVERAGE(OFFSET($BH$3,0,0,'Données projet'!$E$11+1,1))-AVERAGE(OFFSET($H$3,0,0,'Données projet'!$E$11+1,1))</f>
        <v>352.61091660077574</v>
      </c>
      <c r="BJ92" s="59">
        <f t="shared" si="92"/>
        <v>186.48649111821521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91.056306005284682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91.056306005284682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266.99999999999983</v>
      </c>
      <c r="BZ92" s="13">
        <f>BY92*VLOOKUP('Données projet'!$B$12,Paramètres!$A$1:$I$89,3,0)*VLOOKUP('Données projet'!$B$12,Paramètres!$A$1:$I$89,5,0)</f>
        <v>212.42519999999985</v>
      </c>
      <c r="CA92" s="13">
        <f t="shared" si="93"/>
        <v>52.465198231787184</v>
      </c>
      <c r="CB92" s="20">
        <f t="shared" si="64"/>
        <v>461.35077692036231</v>
      </c>
      <c r="CC92" s="59">
        <f t="shared" si="65"/>
        <v>754.68411025369562</v>
      </c>
      <c r="CD92" s="59">
        <f ca="1">AVERAGE(OFFSET($CC$3,0,0,'Données projet'!$E$12+1,1))-AVERAGE(OFFSET($H$3,0,0,'Données projet'!$E$12+1,1))</f>
        <v>225.2323446080772</v>
      </c>
      <c r="CE92" s="59">
        <f t="shared" si="94"/>
        <v>222.29030402759292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36.303598499399321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36.303598499399321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213.00000000000003</v>
      </c>
      <c r="CU92" s="17">
        <f>CT92*VLOOKUP('Données projet'!$B$13,Paramètres!$A$1:$I$89,3,0)*VLOOKUP('Données projet'!$B$13,Paramètres!$A$1:$I$89,5,0)</f>
        <v>206.01360000000005</v>
      </c>
      <c r="CV92" s="13">
        <f t="shared" si="95"/>
        <v>51.063487709141484</v>
      </c>
      <c r="CW92" s="20">
        <f t="shared" si="67"/>
        <v>447.74259442675481</v>
      </c>
      <c r="CX92" s="59">
        <f t="shared" si="68"/>
        <v>741.07592776008812</v>
      </c>
      <c r="CY92" s="59">
        <f ca="1">AVERAGE(OFFSET($CX$3,0,0,'Données projet'!$E$13+1,1))-AVERAGE(OFFSET($H$3,0,0,'Données projet'!$E$13+1,1))</f>
        <v>212.32823943192528</v>
      </c>
      <c r="CZ92" s="59">
        <f t="shared" si="96"/>
        <v>209.60834138503003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27.663152540118521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27.663152540118521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285.99999999999972</v>
      </c>
      <c r="DP92" s="17">
        <f>DO92*VLOOKUP('Données projet'!$B$14,Paramètres!$A$1:$I$89,3,0)*VLOOKUP('Données projet'!$B$14,Paramètres!$A$1:$I$89,5,0)</f>
        <v>223.07999999999979</v>
      </c>
      <c r="DQ92" s="13">
        <f t="shared" si="97"/>
        <v>54.783765878062617</v>
      </c>
      <c r="DR92" s="20">
        <f t="shared" si="70"/>
        <v>483.94605890429199</v>
      </c>
      <c r="DS92" s="59">
        <f t="shared" si="71"/>
        <v>777.2793922376253</v>
      </c>
      <c r="DT92" s="59">
        <f ca="1">AVERAGE(OFFSET($DS$3,0,0,'Données projet'!$E$14+1,1))-AVERAGE(OFFSET($H$3,0,0,'Données projet'!$E$14+1,1))</f>
        <v>215.84581110302656</v>
      </c>
      <c r="DU92" s="59">
        <f t="shared" si="98"/>
        <v>193.88588526156104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40.27173719774639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40.27173719774639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6">
        <f t="shared" si="56"/>
        <v>391.13942900294575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401</v>
      </c>
      <c r="O93" s="13">
        <f>N93*VLOOKUP('Données projet'!$B$9,Paramètres!$A$1:$I$89,3,0)*VLOOKUP('Données projet'!$B$9,Paramètres!$A$1:$I$89,5,0)</f>
        <v>250.22399999999999</v>
      </c>
      <c r="P93" s="13">
        <f t="shared" si="87"/>
        <v>60.633904580527918</v>
      </c>
      <c r="Q93" s="20">
        <f t="shared" si="54"/>
        <v>541.41085047775289</v>
      </c>
      <c r="R93" s="59">
        <f t="shared" si="55"/>
        <v>834.74418381108626</v>
      </c>
      <c r="S93" s="59">
        <f ca="1">AVERAGE(OFFSET($R$3,0,0,'Données projet'!$E$9+1,1))-AVERAGE(OFFSET($H$3,0,0,'Données projet'!$E$9+1,1))</f>
        <v>269.77739619445515</v>
      </c>
      <c r="T93" s="59">
        <f t="shared" si="88"/>
        <v>347.56964743629885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42.274677614642698</v>
      </c>
      <c r="AA93" s="21">
        <f>EXP(-LN(2)/25)*AA92+(1-EXP(-LN(2)/25))/(LN(2)/25)*Calculateur!V93*Calculateur!X93*VLOOKUP('Données projet'!$B$9,Paramètres!$A$1:$I$89,3,0)*0.475*44/12</f>
        <v>17.381895025471827</v>
      </c>
      <c r="AB93" s="21">
        <f>EXP(-LN(2)/2)*AB92+(1-EXP(-LN(2)/2))/(LN(2)/2)*V93*Y93*VLOOKUP('Données projet'!$B$9,Paramètres!$A$1:$I$89,3,0)*0.475*44/12</f>
        <v>2.3132512371043539E-11</v>
      </c>
      <c r="AC93" s="22">
        <f t="shared" si="57"/>
        <v>59.656572640137661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789</v>
      </c>
      <c r="AJ93" s="13">
        <f>AI93*VLOOKUP('Données projet'!$B$10,Paramètres!$A$1:$I$89,3,0)*VLOOKUP('Données projet'!$B$10,Paramètres!$A$1:$I$89,5,0)</f>
        <v>389.76600000000002</v>
      </c>
      <c r="AK93" s="13">
        <f t="shared" si="89"/>
        <v>89.698759503620408</v>
      </c>
      <c r="AL93" s="20">
        <f t="shared" si="58"/>
        <v>835.06778946880547</v>
      </c>
      <c r="AM93" s="59">
        <f t="shared" si="59"/>
        <v>1128.4011228021388</v>
      </c>
      <c r="AN93" s="59">
        <f ca="1">AVERAGE(OFFSET($AM$3,0,0,'Données projet'!$E$10+1,1))-AVERAGE(OFFSET($H$3,0,0,'Données projet'!$E$10+1,1))</f>
        <v>396.27049617044378</v>
      </c>
      <c r="AO93" s="59">
        <f t="shared" si="90"/>
        <v>335.2680289568774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118.23377339529466</v>
      </c>
      <c r="AV93" s="21">
        <f>EXP(-LN(2)/25)*AV92+(1-EXP(-LN(2)/25))/(LN(2)/25)*Calculateur!AQ93*Calculateur!AS93*VLOOKUP('Données projet'!$B$10,Paramètres!$A$1:$I$89,3,0)*0.475*44/12</f>
        <v>8.9063578214540673</v>
      </c>
      <c r="AW93" s="21">
        <f>EXP(-LN(2)/2)*AW92+(1-EXP(-LN(2)/2))/(LN(2)/2)*AQ93*AT93*VLOOKUP('Données projet'!$B$10,Paramètres!$A$1:$I$89,3,0)*0.475*44/12</f>
        <v>3.5812556189245193E-10</v>
      </c>
      <c r="AX93" s="21">
        <f t="shared" si="60"/>
        <v>127.14013121710686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377</v>
      </c>
      <c r="BB93" s="12">
        <f>VLOOKUP(A93,'Données projet'!$A$87:$I$107,9,0)</f>
        <v>7.8</v>
      </c>
      <c r="BC93" s="12">
        <f t="array" ref="BC93">INDEX(BB:BB,MIN(IF(ISNUMBER(BB93:BB289),ROW(BB93:BB289),"")))</f>
        <v>7.8</v>
      </c>
      <c r="BD93" s="12">
        <f>IF('Données projet'!$A$88&gt;35,BD92+BC93-BL92,IF(A93&lt;'Données projet'!$A$88,$BA$205^A93,IF(A93='Données projet'!$A$88,'Données projet'!$B$88,BD92+BC93-BL92)))</f>
        <v>376.99999999999983</v>
      </c>
      <c r="BE93" s="13">
        <f>BD93*VLOOKUP('Données projet'!$B$11,Paramètres!$A$1:$I$89,3,0)*VLOOKUP('Données projet'!$B$11,Paramètres!$A$1:$I$89,5,0)</f>
        <v>323.46599999999989</v>
      </c>
      <c r="BF93" s="13">
        <f t="shared" si="91"/>
        <v>76.074069581431147</v>
      </c>
      <c r="BG93" s="20">
        <f t="shared" si="61"/>
        <v>695.86562118765903</v>
      </c>
      <c r="BH93" s="59">
        <f t="shared" si="62"/>
        <v>989.1989545209924</v>
      </c>
      <c r="BI93" s="59">
        <f ca="1">AVERAGE(OFFSET($BH$3,0,0,'Données projet'!$E$11+1,1))-AVERAGE(OFFSET($H$3,0,0,'Données projet'!$E$11+1,1))</f>
        <v>352.61091660077574</v>
      </c>
      <c r="BJ93" s="59">
        <f t="shared" si="92"/>
        <v>186.48649111821521</v>
      </c>
      <c r="BK93" s="15">
        <f>IF(ISNA(VLOOKUP(A93,'Données projet'!$A$87:$I$107,3,0)),0,VLOOKUP(A93,'Données projet'!$A$87:$I$107,3,0))</f>
        <v>14</v>
      </c>
      <c r="BL93" s="15">
        <f>IF(ISNA(VLOOKUP(A93,'Données projet'!$A$87:$I$107,4,0)),0,VLOOKUP(A93,'Données projet'!$A$87:$I$107,4,0))</f>
        <v>26</v>
      </c>
      <c r="BM93" s="16">
        <f>IF(ISNA(VLOOKUP(A93,'Données projet'!$A$87:$I$107,5,0)),0%,VLOOKUP(A93,'Données projet'!$A$87:$I$107,5,0)*VLOOKUP('Données projet'!$B$11,Paramètres!$A$1:$I$89,7,0))</f>
        <v>0.53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102.34098899349287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102.34098899349287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266.99999999999983</v>
      </c>
      <c r="BZ93" s="13">
        <f>BY93*VLOOKUP('Données projet'!$B$12,Paramètres!$A$1:$I$89,3,0)*VLOOKUP('Données projet'!$B$12,Paramètres!$A$1:$I$89,5,0)</f>
        <v>212.42519999999985</v>
      </c>
      <c r="CA93" s="13">
        <f t="shared" si="93"/>
        <v>52.465198231787184</v>
      </c>
      <c r="CB93" s="20">
        <f t="shared" si="64"/>
        <v>461.35077692036231</v>
      </c>
      <c r="CC93" s="59">
        <f t="shared" si="65"/>
        <v>754.68411025369562</v>
      </c>
      <c r="CD93" s="59">
        <f ca="1">AVERAGE(OFFSET($CC$3,0,0,'Données projet'!$E$12+1,1))-AVERAGE(OFFSET($H$3,0,0,'Données projet'!$E$12+1,1))</f>
        <v>225.2323446080772</v>
      </c>
      <c r="CE93" s="59">
        <f t="shared" si="94"/>
        <v>222.29030402759292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35.591707075834748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35.591707075834748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213.00000000000003</v>
      </c>
      <c r="CU93" s="17">
        <f>CT93*VLOOKUP('Données projet'!$B$13,Paramètres!$A$1:$I$89,3,0)*VLOOKUP('Données projet'!$B$13,Paramètres!$A$1:$I$89,5,0)</f>
        <v>206.01360000000005</v>
      </c>
      <c r="CV93" s="13">
        <f t="shared" si="95"/>
        <v>51.063487709141484</v>
      </c>
      <c r="CW93" s="20">
        <f t="shared" si="67"/>
        <v>447.74259442675481</v>
      </c>
      <c r="CX93" s="59">
        <f t="shared" si="68"/>
        <v>741.07592776008812</v>
      </c>
      <c r="CY93" s="59">
        <f ca="1">AVERAGE(OFFSET($CX$3,0,0,'Données projet'!$E$13+1,1))-AVERAGE(OFFSET($H$3,0,0,'Données projet'!$E$13+1,1))</f>
        <v>212.32823943192528</v>
      </c>
      <c r="CZ93" s="59">
        <f t="shared" si="96"/>
        <v>209.60834138503003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27.12069499166379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27.12069499166379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285.99999999999972</v>
      </c>
      <c r="DP93" s="17">
        <f>DO93*VLOOKUP('Données projet'!$B$14,Paramètres!$A$1:$I$89,3,0)*VLOOKUP('Données projet'!$B$14,Paramètres!$A$1:$I$89,5,0)</f>
        <v>223.07999999999979</v>
      </c>
      <c r="DQ93" s="13">
        <f t="shared" si="97"/>
        <v>54.783765878062617</v>
      </c>
      <c r="DR93" s="20">
        <f t="shared" si="70"/>
        <v>483.94605890429199</v>
      </c>
      <c r="DS93" s="59">
        <f t="shared" si="71"/>
        <v>777.2793922376253</v>
      </c>
      <c r="DT93" s="59">
        <f ca="1">AVERAGE(OFFSET($DS$3,0,0,'Données projet'!$E$14+1,1))-AVERAGE(OFFSET($H$3,0,0,'Données projet'!$E$14+1,1))</f>
        <v>215.84581110302656</v>
      </c>
      <c r="DU93" s="59">
        <f t="shared" si="98"/>
        <v>193.88588526156104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39.482032994632846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39.482032994632846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6">
        <f t="shared" si="56"/>
        <v>392.19703895726269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401</v>
      </c>
      <c r="O94" s="13">
        <f>N94*VLOOKUP('Données projet'!$B$9,Paramètres!$A$1:$I$89,3,0)*VLOOKUP('Données projet'!$B$9,Paramètres!$A$1:$I$89,5,0)</f>
        <v>250.22399999999999</v>
      </c>
      <c r="P94" s="13">
        <f t="shared" si="87"/>
        <v>60.633904580527918</v>
      </c>
      <c r="Q94" s="20">
        <f t="shared" si="54"/>
        <v>541.41085047775289</v>
      </c>
      <c r="R94" s="59">
        <f t="shared" si="55"/>
        <v>834.74418381108626</v>
      </c>
      <c r="S94" s="59">
        <f ca="1">AVERAGE(OFFSET($R$3,0,0,'Données projet'!$E$9+1,1))-AVERAGE(OFFSET($H$3,0,0,'Données projet'!$E$9+1,1))</f>
        <v>269.77739619445515</v>
      </c>
      <c r="T94" s="59">
        <f t="shared" si="88"/>
        <v>347.56964743629885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41.445696971626845</v>
      </c>
      <c r="AA94" s="21">
        <f>EXP(-LN(2)/25)*AA93+(1-EXP(-LN(2)/25))/(LN(2)/25)*Calculateur!V94*Calculateur!X94*VLOOKUP('Données projet'!$B$9,Paramètres!$A$1:$I$89,3,0)*0.475*44/12</f>
        <v>16.906586191926166</v>
      </c>
      <c r="AB94" s="21">
        <f>EXP(-LN(2)/2)*AB93+(1-EXP(-LN(2)/2))/(LN(2)/2)*V94*Y94*VLOOKUP('Données projet'!$B$9,Paramètres!$A$1:$I$89,3,0)*0.475*44/12</f>
        <v>1.6357156363446587E-11</v>
      </c>
      <c r="AC94" s="22">
        <f t="shared" si="57"/>
        <v>58.352283163569368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789</v>
      </c>
      <c r="AJ94" s="13">
        <f>AI94*VLOOKUP('Données projet'!$B$10,Paramètres!$A$1:$I$89,3,0)*VLOOKUP('Données projet'!$B$10,Paramètres!$A$1:$I$89,5,0)</f>
        <v>389.76600000000002</v>
      </c>
      <c r="AK94" s="13">
        <f t="shared" si="89"/>
        <v>89.698759503620408</v>
      </c>
      <c r="AL94" s="20">
        <f t="shared" si="58"/>
        <v>835.06778946880547</v>
      </c>
      <c r="AM94" s="59">
        <f t="shared" si="59"/>
        <v>1128.4011228021388</v>
      </c>
      <c r="AN94" s="59">
        <f ca="1">AVERAGE(OFFSET($AM$3,0,0,'Données projet'!$E$10+1,1))-AVERAGE(OFFSET($H$3,0,0,'Données projet'!$E$10+1,1))</f>
        <v>396.27049617044378</v>
      </c>
      <c r="AO94" s="59">
        <f t="shared" si="90"/>
        <v>335.2680289568774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115.91528121449389</v>
      </c>
      <c r="AV94" s="21">
        <f>EXP(-LN(2)/25)*AV93+(1-EXP(-LN(2)/25))/(LN(2)/25)*Calculateur!AQ94*Calculateur!AS94*VLOOKUP('Données projet'!$B$10,Paramètres!$A$1:$I$89,3,0)*0.475*44/12</f>
        <v>8.6628129984614031</v>
      </c>
      <c r="AW94" s="21">
        <f>EXP(-LN(2)/2)*AW93+(1-EXP(-LN(2)/2))/(LN(2)/2)*AQ94*AT94*VLOOKUP('Données projet'!$B$10,Paramètres!$A$1:$I$89,3,0)*0.475*44/12</f>
        <v>2.5323301333039539E-10</v>
      </c>
      <c r="AX94" s="21">
        <f t="shared" si="60"/>
        <v>124.57809421320853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7.6</v>
      </c>
      <c r="BD94" s="12">
        <f>IF('Données projet'!$A$88&gt;35,BD93+BC94-BL93,IF(A94&lt;'Données projet'!$A$88,$BA$205^A94,IF(A94='Données projet'!$A$88,'Données projet'!$B$88,BD93+BC94-BL93)))</f>
        <v>358.59999999999985</v>
      </c>
      <c r="BE94" s="13">
        <f>BD94*VLOOKUP('Données projet'!$B$11,Paramètres!$A$1:$I$89,3,0)*VLOOKUP('Données projet'!$B$11,Paramètres!$A$1:$I$89,5,0)</f>
        <v>307.67879999999991</v>
      </c>
      <c r="BF94" s="13">
        <f t="shared" si="91"/>
        <v>72.783859383050768</v>
      </c>
      <c r="BG94" s="20">
        <f t="shared" si="61"/>
        <v>662.63913175881328</v>
      </c>
      <c r="BH94" s="59">
        <f t="shared" si="62"/>
        <v>955.97246509214665</v>
      </c>
      <c r="BI94" s="59">
        <f ca="1">AVERAGE(OFFSET($BH$3,0,0,'Données projet'!$E$11+1,1))-AVERAGE(OFFSET($H$3,0,0,'Données projet'!$E$11+1,1))</f>
        <v>352.61091660077574</v>
      </c>
      <c r="BJ94" s="59">
        <f t="shared" si="92"/>
        <v>186.48649111821521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100.33414462117011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100.33414462117011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266.99999999999983</v>
      </c>
      <c r="BZ94" s="13">
        <f>BY94*VLOOKUP('Données projet'!$B$12,Paramètres!$A$1:$I$89,3,0)*VLOOKUP('Données projet'!$B$12,Paramètres!$A$1:$I$89,5,0)</f>
        <v>212.42519999999985</v>
      </c>
      <c r="CA94" s="13">
        <f t="shared" si="93"/>
        <v>52.465198231787184</v>
      </c>
      <c r="CB94" s="20">
        <f t="shared" si="64"/>
        <v>461.35077692036231</v>
      </c>
      <c r="CC94" s="59">
        <f t="shared" si="65"/>
        <v>754.68411025369562</v>
      </c>
      <c r="CD94" s="59">
        <f ca="1">AVERAGE(OFFSET($CC$3,0,0,'Données projet'!$E$12+1,1))-AVERAGE(OFFSET($H$3,0,0,'Données projet'!$E$12+1,1))</f>
        <v>225.2323446080772</v>
      </c>
      <c r="CE94" s="59">
        <f t="shared" si="94"/>
        <v>222.29030402759292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34.893775408875378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34.893775408875378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213.00000000000003</v>
      </c>
      <c r="CU94" s="17">
        <f>CT94*VLOOKUP('Données projet'!$B$13,Paramètres!$A$1:$I$89,3,0)*VLOOKUP('Données projet'!$B$13,Paramètres!$A$1:$I$89,5,0)</f>
        <v>206.01360000000005</v>
      </c>
      <c r="CV94" s="13">
        <f t="shared" si="95"/>
        <v>51.063487709141484</v>
      </c>
      <c r="CW94" s="20">
        <f t="shared" si="67"/>
        <v>447.74259442675481</v>
      </c>
      <c r="CX94" s="59">
        <f t="shared" si="68"/>
        <v>741.07592776008812</v>
      </c>
      <c r="CY94" s="59">
        <f ca="1">AVERAGE(OFFSET($CX$3,0,0,'Données projet'!$E$13+1,1))-AVERAGE(OFFSET($H$3,0,0,'Données projet'!$E$13+1,1))</f>
        <v>212.32823943192528</v>
      </c>
      <c r="CZ94" s="59">
        <f t="shared" si="96"/>
        <v>209.60834138503003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26.588874704867823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26.588874704867823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285.99999999999972</v>
      </c>
      <c r="DP94" s="17">
        <f>DO94*VLOOKUP('Données projet'!$B$14,Paramètres!$A$1:$I$89,3,0)*VLOOKUP('Données projet'!$B$14,Paramètres!$A$1:$I$89,5,0)</f>
        <v>223.07999999999979</v>
      </c>
      <c r="DQ94" s="13">
        <f t="shared" si="97"/>
        <v>54.783765878062617</v>
      </c>
      <c r="DR94" s="20">
        <f t="shared" si="70"/>
        <v>483.94605890429199</v>
      </c>
      <c r="DS94" s="59">
        <f t="shared" si="71"/>
        <v>777.2793922376253</v>
      </c>
      <c r="DT94" s="59">
        <f ca="1">AVERAGE(OFFSET($DS$3,0,0,'Données projet'!$E$14+1,1))-AVERAGE(OFFSET($H$3,0,0,'Données projet'!$E$14+1,1))</f>
        <v>215.84581110302656</v>
      </c>
      <c r="DU94" s="59">
        <f t="shared" si="98"/>
        <v>193.88588526156104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38.707814409270355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38.707814409270355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6">
        <f t="shared" si="56"/>
        <v>393.25436784727196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401</v>
      </c>
      <c r="O95" s="13">
        <f>N95*VLOOKUP('Données projet'!$B$9,Paramètres!$A$1:$I$89,3,0)*VLOOKUP('Données projet'!$B$9,Paramètres!$A$1:$I$89,5,0)</f>
        <v>250.22399999999999</v>
      </c>
      <c r="P95" s="13">
        <f t="shared" si="87"/>
        <v>60.633904580527918</v>
      </c>
      <c r="Q95" s="20">
        <f t="shared" si="54"/>
        <v>541.41085047775289</v>
      </c>
      <c r="R95" s="59">
        <f t="shared" si="55"/>
        <v>834.74418381108626</v>
      </c>
      <c r="S95" s="59">
        <f ca="1">AVERAGE(OFFSET($R$3,0,0,'Données projet'!$E$9+1,1))-AVERAGE(OFFSET($H$3,0,0,'Données projet'!$E$9+1,1))</f>
        <v>269.77739619445515</v>
      </c>
      <c r="T95" s="59">
        <f t="shared" si="88"/>
        <v>347.56964743629885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40.632972133392265</v>
      </c>
      <c r="AA95" s="21">
        <f>EXP(-LN(2)/25)*AA94+(1-EXP(-LN(2)/25))/(LN(2)/25)*Calculateur!V95*Calculateur!X95*VLOOKUP('Données projet'!$B$9,Paramètres!$A$1:$I$89,3,0)*0.475*44/12</f>
        <v>16.444274703429219</v>
      </c>
      <c r="AB95" s="21">
        <f>EXP(-LN(2)/2)*AB94+(1-EXP(-LN(2)/2))/(LN(2)/2)*V95*Y95*VLOOKUP('Données projet'!$B$9,Paramètres!$A$1:$I$89,3,0)*0.475*44/12</f>
        <v>1.156625618552177E-11</v>
      </c>
      <c r="AC95" s="22">
        <f t="shared" si="57"/>
        <v>57.077246836833055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789</v>
      </c>
      <c r="AJ95" s="13">
        <f>AI95*VLOOKUP('Données projet'!$B$10,Paramètres!$A$1:$I$89,3,0)*VLOOKUP('Données projet'!$B$10,Paramètres!$A$1:$I$89,5,0)</f>
        <v>389.76600000000002</v>
      </c>
      <c r="AK95" s="13">
        <f t="shared" si="89"/>
        <v>89.698759503620408</v>
      </c>
      <c r="AL95" s="20">
        <f t="shared" si="58"/>
        <v>835.06778946880547</v>
      </c>
      <c r="AM95" s="59">
        <f t="shared" si="59"/>
        <v>1128.4011228021388</v>
      </c>
      <c r="AN95" s="59">
        <f ca="1">AVERAGE(OFFSET($AM$3,0,0,'Données projet'!$E$10+1,1))-AVERAGE(OFFSET($H$3,0,0,'Données projet'!$E$10+1,1))</f>
        <v>396.27049617044378</v>
      </c>
      <c r="AO95" s="59">
        <f t="shared" si="90"/>
        <v>335.2680289568774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113.64225325121802</v>
      </c>
      <c r="AV95" s="21">
        <f>EXP(-LN(2)/25)*AV94+(1-EXP(-LN(2)/25))/(LN(2)/25)*Calculateur!AQ95*Calculateur!AS95*VLOOKUP('Données projet'!$B$10,Paramètres!$A$1:$I$89,3,0)*0.475*44/12</f>
        <v>8.4259279214609393</v>
      </c>
      <c r="AW95" s="21">
        <f>EXP(-LN(2)/2)*AW94+(1-EXP(-LN(2)/2))/(LN(2)/2)*AQ95*AT95*VLOOKUP('Données projet'!$B$10,Paramètres!$A$1:$I$89,3,0)*0.475*44/12</f>
        <v>1.7906278094622597E-10</v>
      </c>
      <c r="AX95" s="21">
        <f t="shared" si="60"/>
        <v>122.06818117285802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7.6</v>
      </c>
      <c r="BD95" s="12">
        <f>IF('Données projet'!$A$88&gt;35,BD94+BC95-BL94,IF(A95&lt;'Données projet'!$A$88,$BA$205^A95,IF(A95='Données projet'!$A$88,'Données projet'!$B$88,BD94+BC95-BL94)))</f>
        <v>366.19999999999987</v>
      </c>
      <c r="BE95" s="13">
        <f>BD95*VLOOKUP('Données projet'!$B$11,Paramètres!$A$1:$I$89,3,0)*VLOOKUP('Données projet'!$B$11,Paramètres!$A$1:$I$89,5,0)</f>
        <v>314.19959999999992</v>
      </c>
      <c r="BF95" s="13">
        <f t="shared" si="91"/>
        <v>74.145185764564587</v>
      </c>
      <c r="BG95" s="20">
        <f t="shared" si="61"/>
        <v>676.36716853994983</v>
      </c>
      <c r="BH95" s="59">
        <f t="shared" si="62"/>
        <v>969.7005018732832</v>
      </c>
      <c r="BI95" s="59">
        <f ca="1">AVERAGE(OFFSET($BH$3,0,0,'Données projet'!$E$11+1,1))-AVERAGE(OFFSET($H$3,0,0,'Données projet'!$E$11+1,1))</f>
        <v>352.61091660077574</v>
      </c>
      <c r="BJ95" s="59">
        <f t="shared" si="92"/>
        <v>186.48649111821521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98.366653242934404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98.366653242934404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266.99999999999983</v>
      </c>
      <c r="BZ95" s="13">
        <f>BY95*VLOOKUP('Données projet'!$B$12,Paramètres!$A$1:$I$89,3,0)*VLOOKUP('Données projet'!$B$12,Paramètres!$A$1:$I$89,5,0)</f>
        <v>212.42519999999985</v>
      </c>
      <c r="CA95" s="13">
        <f t="shared" si="93"/>
        <v>52.465198231787184</v>
      </c>
      <c r="CB95" s="20">
        <f t="shared" si="64"/>
        <v>461.35077692036231</v>
      </c>
      <c r="CC95" s="59">
        <f t="shared" si="65"/>
        <v>754.68411025369562</v>
      </c>
      <c r="CD95" s="59">
        <f ca="1">AVERAGE(OFFSET($CC$3,0,0,'Données projet'!$E$12+1,1))-AVERAGE(OFFSET($H$3,0,0,'Données projet'!$E$12+1,1))</f>
        <v>225.2323446080772</v>
      </c>
      <c r="CE95" s="59">
        <f t="shared" si="94"/>
        <v>222.29030402759292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34.209529756208802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34.209529756208802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213.00000000000003</v>
      </c>
      <c r="CU95" s="17">
        <f>CT95*VLOOKUP('Données projet'!$B$13,Paramètres!$A$1:$I$89,3,0)*VLOOKUP('Données projet'!$B$13,Paramètres!$A$1:$I$89,5,0)</f>
        <v>206.01360000000005</v>
      </c>
      <c r="CV95" s="13">
        <f t="shared" si="95"/>
        <v>51.063487709141484</v>
      </c>
      <c r="CW95" s="20">
        <f t="shared" si="67"/>
        <v>447.74259442675481</v>
      </c>
      <c r="CX95" s="59">
        <f t="shared" si="68"/>
        <v>741.07592776008812</v>
      </c>
      <c r="CY95" s="59">
        <f ca="1">AVERAGE(OFFSET($CX$3,0,0,'Données projet'!$E$13+1,1))-AVERAGE(OFFSET($H$3,0,0,'Données projet'!$E$13+1,1))</f>
        <v>212.32823943192528</v>
      </c>
      <c r="CZ95" s="59">
        <f t="shared" si="96"/>
        <v>209.60834138503003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26.06748308951758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26.06748308951758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285.99999999999972</v>
      </c>
      <c r="DP95" s="17">
        <f>DO95*VLOOKUP('Données projet'!$B$14,Paramètres!$A$1:$I$89,3,0)*VLOOKUP('Données projet'!$B$14,Paramètres!$A$1:$I$89,5,0)</f>
        <v>223.07999999999979</v>
      </c>
      <c r="DQ95" s="13">
        <f t="shared" si="97"/>
        <v>54.783765878062617</v>
      </c>
      <c r="DR95" s="20">
        <f t="shared" si="70"/>
        <v>483.94605890429199</v>
      </c>
      <c r="DS95" s="59">
        <f t="shared" si="71"/>
        <v>777.2793922376253</v>
      </c>
      <c r="DT95" s="59">
        <f ca="1">AVERAGE(OFFSET($DS$3,0,0,'Données projet'!$E$14+1,1))-AVERAGE(OFFSET($H$3,0,0,'Données projet'!$E$14+1,1))</f>
        <v>215.84581110302656</v>
      </c>
      <c r="DU95" s="59">
        <f t="shared" si="98"/>
        <v>193.88588526156104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37.948777778140112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37.948777778140112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6">
        <f t="shared" si="56"/>
        <v>394.311419081606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401</v>
      </c>
      <c r="O96" s="13">
        <f>N96*VLOOKUP('Données projet'!$B$9,Paramètres!$A$1:$I$89,3,0)*VLOOKUP('Données projet'!$B$9,Paramètres!$A$1:$I$89,5,0)</f>
        <v>250.22399999999999</v>
      </c>
      <c r="P96" s="13">
        <f t="shared" si="87"/>
        <v>60.633904580527918</v>
      </c>
      <c r="Q96" s="20">
        <f t="shared" si="54"/>
        <v>541.41085047775289</v>
      </c>
      <c r="R96" s="59">
        <f t="shared" si="55"/>
        <v>834.74418381108626</v>
      </c>
      <c r="S96" s="59">
        <f ca="1">AVERAGE(OFFSET($R$3,0,0,'Données projet'!$E$9+1,1))-AVERAGE(OFFSET($H$3,0,0,'Données projet'!$E$9+1,1))</f>
        <v>269.77739619445515</v>
      </c>
      <c r="T96" s="59">
        <f t="shared" si="88"/>
        <v>347.56964743629885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39.836184333522262</v>
      </c>
      <c r="AA96" s="21">
        <f>EXP(-LN(2)/25)*AA95+(1-EXP(-LN(2)/25))/(LN(2)/25)*Calculateur!V96*Calculateur!X96*VLOOKUP('Données projet'!$B$9,Paramètres!$A$1:$I$89,3,0)*0.475*44/12</f>
        <v>15.994605146897124</v>
      </c>
      <c r="AB96" s="21">
        <f>EXP(-LN(2)/2)*AB95+(1-EXP(-LN(2)/2))/(LN(2)/2)*V96*Y96*VLOOKUP('Données projet'!$B$9,Paramètres!$A$1:$I$89,3,0)*0.475*44/12</f>
        <v>8.1785781817232936E-12</v>
      </c>
      <c r="AC96" s="22">
        <f t="shared" si="57"/>
        <v>55.830789480427562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789</v>
      </c>
      <c r="AJ96" s="13">
        <f>AI96*VLOOKUP('Données projet'!$B$10,Paramètres!$A$1:$I$89,3,0)*VLOOKUP('Données projet'!$B$10,Paramètres!$A$1:$I$89,5,0)</f>
        <v>389.76600000000002</v>
      </c>
      <c r="AK96" s="13">
        <f t="shared" si="89"/>
        <v>89.698759503620408</v>
      </c>
      <c r="AL96" s="20">
        <f t="shared" si="58"/>
        <v>835.06778946880547</v>
      </c>
      <c r="AM96" s="59">
        <f t="shared" si="59"/>
        <v>1128.4011228021388</v>
      </c>
      <c r="AN96" s="59">
        <f ca="1">AVERAGE(OFFSET($AM$3,0,0,'Données projet'!$E$10+1,1))-AVERAGE(OFFSET($H$3,0,0,'Données projet'!$E$10+1,1))</f>
        <v>396.27049617044378</v>
      </c>
      <c r="AO96" s="59">
        <f t="shared" si="90"/>
        <v>335.2680289568774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111.41379797989184</v>
      </c>
      <c r="AV96" s="21">
        <f>EXP(-LN(2)/25)*AV95+(1-EXP(-LN(2)/25))/(LN(2)/25)*Calculateur!AQ96*Calculateur!AS96*VLOOKUP('Données projet'!$B$10,Paramètres!$A$1:$I$89,3,0)*0.475*44/12</f>
        <v>8.1955204793482981</v>
      </c>
      <c r="AW96" s="21">
        <f>EXP(-LN(2)/2)*AW95+(1-EXP(-LN(2)/2))/(LN(2)/2)*AQ96*AT96*VLOOKUP('Données projet'!$B$10,Paramètres!$A$1:$I$89,3,0)*0.475*44/12</f>
        <v>1.266165066651977E-10</v>
      </c>
      <c r="AX96" s="21">
        <f t="shared" si="60"/>
        <v>119.60931845936676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7.6</v>
      </c>
      <c r="BD96" s="12">
        <f>IF('Données projet'!$A$88&gt;35,BD95+BC96-BL95,IF(A96&lt;'Données projet'!$A$88,$BA$205^A96,IF(A96='Données projet'!$A$88,'Données projet'!$B$88,BD95+BC96-BL95)))</f>
        <v>373.7999999999999</v>
      </c>
      <c r="BE96" s="13">
        <f>BD96*VLOOKUP('Données projet'!$B$11,Paramètres!$A$1:$I$89,3,0)*VLOOKUP('Données projet'!$B$11,Paramètres!$A$1:$I$89,5,0)</f>
        <v>320.72039999999993</v>
      </c>
      <c r="BF96" s="13">
        <f t="shared" si="91"/>
        <v>75.503227270035708</v>
      </c>
      <c r="BG96" s="20">
        <f t="shared" si="61"/>
        <v>690.0894841619787</v>
      </c>
      <c r="BH96" s="59">
        <f t="shared" si="62"/>
        <v>983.42281749531207</v>
      </c>
      <c r="BI96" s="59">
        <f ca="1">AVERAGE(OFFSET($BH$3,0,0,'Données projet'!$E$11+1,1))-AVERAGE(OFFSET($H$3,0,0,'Données projet'!$E$11+1,1))</f>
        <v>352.61091660077574</v>
      </c>
      <c r="BJ96" s="59">
        <f t="shared" si="92"/>
        <v>186.48649111821521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96.437743170574649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96.437743170574649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266.99999999999983</v>
      </c>
      <c r="BZ96" s="13">
        <f>BY96*VLOOKUP('Données projet'!$B$12,Paramètres!$A$1:$I$89,3,0)*VLOOKUP('Données projet'!$B$12,Paramètres!$A$1:$I$89,5,0)</f>
        <v>212.42519999999985</v>
      </c>
      <c r="CA96" s="13">
        <f t="shared" si="93"/>
        <v>52.465198231787184</v>
      </c>
      <c r="CB96" s="20">
        <f t="shared" si="64"/>
        <v>461.35077692036231</v>
      </c>
      <c r="CC96" s="59">
        <f t="shared" si="65"/>
        <v>754.68411025369562</v>
      </c>
      <c r="CD96" s="59">
        <f ca="1">AVERAGE(OFFSET($CC$3,0,0,'Données projet'!$E$12+1,1))-AVERAGE(OFFSET($H$3,0,0,'Données projet'!$E$12+1,1))</f>
        <v>225.2323446080772</v>
      </c>
      <c r="CE96" s="59">
        <f t="shared" si="94"/>
        <v>222.29030402759292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33.538701743442374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33.538701743442374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213.00000000000003</v>
      </c>
      <c r="CU96" s="17">
        <f>CT96*VLOOKUP('Données projet'!$B$13,Paramètres!$A$1:$I$89,3,0)*VLOOKUP('Données projet'!$B$13,Paramètres!$A$1:$I$89,5,0)</f>
        <v>206.01360000000005</v>
      </c>
      <c r="CV96" s="13">
        <f t="shared" si="95"/>
        <v>51.063487709141484</v>
      </c>
      <c r="CW96" s="20">
        <f t="shared" si="67"/>
        <v>447.74259442675481</v>
      </c>
      <c r="CX96" s="59">
        <f t="shared" si="68"/>
        <v>741.07592776008812</v>
      </c>
      <c r="CY96" s="59">
        <f ca="1">AVERAGE(OFFSET($CX$3,0,0,'Données projet'!$E$13+1,1))-AVERAGE(OFFSET($H$3,0,0,'Données projet'!$E$13+1,1))</f>
        <v>212.32823943192528</v>
      </c>
      <c r="CZ96" s="59">
        <f t="shared" si="96"/>
        <v>209.60834138503003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25.556315645726869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25.556315645726869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285.99999999999972</v>
      </c>
      <c r="DP96" s="17">
        <f>DO96*VLOOKUP('Données projet'!$B$14,Paramètres!$A$1:$I$89,3,0)*VLOOKUP('Données projet'!$B$14,Paramètres!$A$1:$I$89,5,0)</f>
        <v>223.07999999999979</v>
      </c>
      <c r="DQ96" s="13">
        <f t="shared" si="97"/>
        <v>54.783765878062617</v>
      </c>
      <c r="DR96" s="20">
        <f t="shared" si="70"/>
        <v>483.94605890429199</v>
      </c>
      <c r="DS96" s="59">
        <f t="shared" si="71"/>
        <v>777.2793922376253</v>
      </c>
      <c r="DT96" s="59">
        <f ca="1">AVERAGE(OFFSET($DS$3,0,0,'Données projet'!$E$14+1,1))-AVERAGE(OFFSET($H$3,0,0,'Données projet'!$E$14+1,1))</f>
        <v>215.84581110302656</v>
      </c>
      <c r="DU96" s="59">
        <f t="shared" si="98"/>
        <v>193.88588526156104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37.204625392379704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37.204625392379704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6">
        <f t="shared" si="56"/>
        <v>395.36819599137124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401</v>
      </c>
      <c r="O97" s="13">
        <f>N97*VLOOKUP('Données projet'!$B$9,Paramètres!$A$1:$I$89,3,0)*VLOOKUP('Données projet'!$B$9,Paramètres!$A$1:$I$89,5,0)</f>
        <v>250.22399999999999</v>
      </c>
      <c r="P97" s="13">
        <f t="shared" si="87"/>
        <v>60.633904580527918</v>
      </c>
      <c r="Q97" s="20">
        <f t="shared" si="54"/>
        <v>541.41085047775289</v>
      </c>
      <c r="R97" s="59">
        <f t="shared" si="55"/>
        <v>834.74418381108626</v>
      </c>
      <c r="S97" s="59">
        <f ca="1">AVERAGE(OFFSET($R$3,0,0,'Données projet'!$E$9+1,1))-AVERAGE(OFFSET($H$3,0,0,'Données projet'!$E$9+1,1))</f>
        <v>269.77739619445515</v>
      </c>
      <c r="T97" s="59">
        <f t="shared" si="88"/>
        <v>347.56964743629885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39.055021056415136</v>
      </c>
      <c r="AA97" s="21">
        <f>EXP(-LN(2)/25)*AA96+(1-EXP(-LN(2)/25))/(LN(2)/25)*Calculateur!V97*Calculateur!X97*VLOOKUP('Données projet'!$B$9,Paramètres!$A$1:$I$89,3,0)*0.475*44/12</f>
        <v>15.557231828035494</v>
      </c>
      <c r="AB97" s="21">
        <f>EXP(-LN(2)/2)*AB96+(1-EXP(-LN(2)/2))/(LN(2)/2)*V97*Y97*VLOOKUP('Données projet'!$B$9,Paramètres!$A$1:$I$89,3,0)*0.475*44/12</f>
        <v>5.7831280927608848E-12</v>
      </c>
      <c r="AC97" s="22">
        <f t="shared" si="57"/>
        <v>54.61225288445641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789</v>
      </c>
      <c r="AJ97" s="13">
        <f>AI97*VLOOKUP('Données projet'!$B$10,Paramètres!$A$1:$I$89,3,0)*VLOOKUP('Données projet'!$B$10,Paramètres!$A$1:$I$89,5,0)</f>
        <v>389.76600000000002</v>
      </c>
      <c r="AK97" s="13">
        <f t="shared" si="89"/>
        <v>89.698759503620408</v>
      </c>
      <c r="AL97" s="20">
        <f t="shared" si="58"/>
        <v>835.06778946880547</v>
      </c>
      <c r="AM97" s="59">
        <f t="shared" si="59"/>
        <v>1128.4011228021388</v>
      </c>
      <c r="AN97" s="59">
        <f ca="1">AVERAGE(OFFSET($AM$3,0,0,'Données projet'!$E$10+1,1))-AVERAGE(OFFSET($H$3,0,0,'Données projet'!$E$10+1,1))</f>
        <v>396.27049617044378</v>
      </c>
      <c r="AO97" s="59">
        <f t="shared" si="90"/>
        <v>335.2680289568774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109.22904135721286</v>
      </c>
      <c r="AV97" s="21">
        <f>EXP(-LN(2)/25)*AV96+(1-EXP(-LN(2)/25))/(LN(2)/25)*Calculateur!AQ97*Calculateur!AS97*VLOOKUP('Données projet'!$B$10,Paramètres!$A$1:$I$89,3,0)*0.475*44/12</f>
        <v>7.9714135408568279</v>
      </c>
      <c r="AW97" s="21">
        <f>EXP(-LN(2)/2)*AW96+(1-EXP(-LN(2)/2))/(LN(2)/2)*AQ97*AT97*VLOOKUP('Données projet'!$B$10,Paramètres!$A$1:$I$89,3,0)*0.475*44/12</f>
        <v>8.9531390473112983E-11</v>
      </c>
      <c r="AX97" s="21">
        <f t="shared" si="60"/>
        <v>117.20045489815922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7.6</v>
      </c>
      <c r="BD97" s="12">
        <f>IF('Données projet'!$A$88&gt;35,BD96+BC97-BL96,IF(A97&lt;'Données projet'!$A$88,$BA$205^A97,IF(A97='Données projet'!$A$88,'Données projet'!$B$88,BD96+BC97-BL96)))</f>
        <v>381.39999999999992</v>
      </c>
      <c r="BE97" s="13">
        <f>BD97*VLOOKUP('Données projet'!$B$11,Paramètres!$A$1:$I$89,3,0)*VLOOKUP('Données projet'!$B$11,Paramètres!$A$1:$I$89,5,0)</f>
        <v>327.24119999999999</v>
      </c>
      <c r="BF97" s="13">
        <f t="shared" si="91"/>
        <v>76.85805838290122</v>
      </c>
      <c r="BG97" s="20">
        <f t="shared" si="61"/>
        <v>703.80620835021955</v>
      </c>
      <c r="BH97" s="59">
        <f t="shared" si="62"/>
        <v>997.13954168355281</v>
      </c>
      <c r="BI97" s="59">
        <f ca="1">AVERAGE(OFFSET($BH$3,0,0,'Données projet'!$E$11+1,1))-AVERAGE(OFFSET($H$3,0,0,'Données projet'!$E$11+1,1))</f>
        <v>352.61091660077574</v>
      </c>
      <c r="BJ97" s="59">
        <f t="shared" si="92"/>
        <v>186.48649111821521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94.546657848214906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94.546657848214906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266.99999999999983</v>
      </c>
      <c r="BZ97" s="13">
        <f>BY97*VLOOKUP('Données projet'!$B$12,Paramètres!$A$1:$I$89,3,0)*VLOOKUP('Données projet'!$B$12,Paramètres!$A$1:$I$89,5,0)</f>
        <v>212.42519999999985</v>
      </c>
      <c r="CA97" s="13">
        <f t="shared" si="93"/>
        <v>52.465198231787184</v>
      </c>
      <c r="CB97" s="20">
        <f t="shared" si="64"/>
        <v>461.35077692036231</v>
      </c>
      <c r="CC97" s="59">
        <f t="shared" si="65"/>
        <v>754.68411025369562</v>
      </c>
      <c r="CD97" s="59">
        <f ca="1">AVERAGE(OFFSET($CC$3,0,0,'Données projet'!$E$12+1,1))-AVERAGE(OFFSET($H$3,0,0,'Données projet'!$E$12+1,1))</f>
        <v>225.2323446080772</v>
      </c>
      <c r="CE97" s="59">
        <f t="shared" si="94"/>
        <v>222.29030402759292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32.88102825884161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32.88102825884161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213.00000000000003</v>
      </c>
      <c r="CU97" s="17">
        <f>CT97*VLOOKUP('Données projet'!$B$13,Paramètres!$A$1:$I$89,3,0)*VLOOKUP('Données projet'!$B$13,Paramètres!$A$1:$I$89,5,0)</f>
        <v>206.01360000000005</v>
      </c>
      <c r="CV97" s="13">
        <f t="shared" si="95"/>
        <v>51.063487709141484</v>
      </c>
      <c r="CW97" s="20">
        <f t="shared" si="67"/>
        <v>447.74259442675481</v>
      </c>
      <c r="CX97" s="59">
        <f t="shared" si="68"/>
        <v>741.07592776008812</v>
      </c>
      <c r="CY97" s="59">
        <f ca="1">AVERAGE(OFFSET($CX$3,0,0,'Données projet'!$E$13+1,1))-AVERAGE(OFFSET($H$3,0,0,'Données projet'!$E$13+1,1))</f>
        <v>212.32823943192528</v>
      </c>
      <c r="CZ97" s="59">
        <f t="shared" si="96"/>
        <v>209.60834138503003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25.055171883727539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25.055171883727539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285.99999999999972</v>
      </c>
      <c r="DP97" s="17">
        <f>DO97*VLOOKUP('Données projet'!$B$14,Paramètres!$A$1:$I$89,3,0)*VLOOKUP('Données projet'!$B$14,Paramètres!$A$1:$I$89,5,0)</f>
        <v>223.07999999999979</v>
      </c>
      <c r="DQ97" s="13">
        <f t="shared" si="97"/>
        <v>54.783765878062617</v>
      </c>
      <c r="DR97" s="20">
        <f t="shared" si="70"/>
        <v>483.94605890429199</v>
      </c>
      <c r="DS97" s="59">
        <f t="shared" si="71"/>
        <v>777.2793922376253</v>
      </c>
      <c r="DT97" s="59">
        <f ca="1">AVERAGE(OFFSET($DS$3,0,0,'Données projet'!$E$14+1,1))-AVERAGE(OFFSET($H$3,0,0,'Données projet'!$E$14+1,1))</f>
        <v>215.84581110302656</v>
      </c>
      <c r="DU97" s="59">
        <f t="shared" si="98"/>
        <v>193.88588526156104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36.475065381015924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36.475065381015924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6">
        <f t="shared" si="56"/>
        <v>396.42470183271661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401</v>
      </c>
      <c r="O98" s="13">
        <f>N98*VLOOKUP('Données projet'!$B$9,Paramètres!$A$1:$I$89,3,0)*VLOOKUP('Données projet'!$B$9,Paramètres!$A$1:$I$89,5,0)</f>
        <v>250.22399999999999</v>
      </c>
      <c r="P98" s="13">
        <f t="shared" si="87"/>
        <v>60.633904580527918</v>
      </c>
      <c r="Q98" s="20">
        <f t="shared" si="54"/>
        <v>541.41085047775289</v>
      </c>
      <c r="R98" s="59">
        <f t="shared" si="55"/>
        <v>834.74418381108626</v>
      </c>
      <c r="S98" s="59">
        <f ca="1">AVERAGE(OFFSET($R$3,0,0,'Données projet'!$E$9+1,1))-AVERAGE(OFFSET($H$3,0,0,'Données projet'!$E$9+1,1))</f>
        <v>269.77739619445515</v>
      </c>
      <c r="T98" s="59">
        <f t="shared" si="88"/>
        <v>347.56964743629885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38.289175914709531</v>
      </c>
      <c r="AA98" s="21">
        <f>EXP(-LN(2)/25)*AA97+(1-EXP(-LN(2)/25))/(LN(2)/25)*Calculateur!V98*Calculateur!X98*VLOOKUP('Données projet'!$B$9,Paramètres!$A$1:$I$89,3,0)*0.475*44/12</f>
        <v>15.131818505578599</v>
      </c>
      <c r="AB98" s="21">
        <f>EXP(-LN(2)/2)*AB97+(1-EXP(-LN(2)/2))/(LN(2)/2)*V98*Y98*VLOOKUP('Données projet'!$B$9,Paramètres!$A$1:$I$89,3,0)*0.475*44/12</f>
        <v>4.0892890908616468E-12</v>
      </c>
      <c r="AC98" s="22">
        <f t="shared" si="57"/>
        <v>53.420994420292224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789</v>
      </c>
      <c r="AJ98" s="13">
        <f>AI98*VLOOKUP('Données projet'!$B$10,Paramètres!$A$1:$I$89,3,0)*VLOOKUP('Données projet'!$B$10,Paramètres!$A$1:$I$89,5,0)</f>
        <v>389.76600000000002</v>
      </c>
      <c r="AK98" s="13">
        <f t="shared" si="89"/>
        <v>89.698759503620408</v>
      </c>
      <c r="AL98" s="20">
        <f t="shared" si="58"/>
        <v>835.06778946880547</v>
      </c>
      <c r="AM98" s="59">
        <f t="shared" si="59"/>
        <v>1128.4011228021388</v>
      </c>
      <c r="AN98" s="59">
        <f ca="1">AVERAGE(OFFSET($AM$3,0,0,'Données projet'!$E$10+1,1))-AVERAGE(OFFSET($H$3,0,0,'Données projet'!$E$10+1,1))</f>
        <v>396.27049617044378</v>
      </c>
      <c r="AO98" s="59">
        <f t="shared" si="90"/>
        <v>335.2680289568774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107.08712647933466</v>
      </c>
      <c r="AV98" s="21">
        <f>EXP(-LN(2)/25)*AV97+(1-EXP(-LN(2)/25))/(LN(2)/25)*Calculateur!AQ98*Calculateur!AS98*VLOOKUP('Données projet'!$B$10,Paramètres!$A$1:$I$89,3,0)*0.475*44/12</f>
        <v>7.7534348183836785</v>
      </c>
      <c r="AW98" s="21">
        <f>EXP(-LN(2)/2)*AW97+(1-EXP(-LN(2)/2))/(LN(2)/2)*AQ98*AT98*VLOOKUP('Données projet'!$B$10,Paramètres!$A$1:$I$89,3,0)*0.475*44/12</f>
        <v>6.3308253332598848E-11</v>
      </c>
      <c r="AX98" s="21">
        <f t="shared" si="60"/>
        <v>114.84056129778165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389</v>
      </c>
      <c r="BB98" s="12">
        <f>VLOOKUP(A98,'Données projet'!$A$87:$I$107,9,0)</f>
        <v>7.6</v>
      </c>
      <c r="BC98" s="12">
        <f t="array" ref="BC98">INDEX(BB:BB,MIN(IF(ISNUMBER(BB98:BB294),ROW(BB98:BB294),"")))</f>
        <v>7.6</v>
      </c>
      <c r="BD98" s="12">
        <f>IF('Données projet'!$A$88&gt;35,BD97+BC98-BL97,IF(A98&lt;'Données projet'!$A$88,$BA$205^A98,IF(A98='Données projet'!$A$88,'Données projet'!$B$88,BD97+BC98-BL97)))</f>
        <v>388.99999999999994</v>
      </c>
      <c r="BE98" s="13">
        <f>BD98*VLOOKUP('Données projet'!$B$11,Paramètres!$A$1:$I$89,3,0)*VLOOKUP('Données projet'!$B$11,Paramètres!$A$1:$I$89,5,0)</f>
        <v>333.762</v>
      </c>
      <c r="BF98" s="13">
        <f t="shared" si="91"/>
        <v>78.209750448453065</v>
      </c>
      <c r="BG98" s="20">
        <f t="shared" si="61"/>
        <v>717.51746536438895</v>
      </c>
      <c r="BH98" s="59">
        <f t="shared" si="62"/>
        <v>1010.8507986977222</v>
      </c>
      <c r="BI98" s="59">
        <f ca="1">AVERAGE(OFFSET($BH$3,0,0,'Données projet'!$E$11+1,1))-AVERAGE(OFFSET($H$3,0,0,'Données projet'!$E$11+1,1))</f>
        <v>352.61091660077574</v>
      </c>
      <c r="BJ98" s="59">
        <f t="shared" si="92"/>
        <v>186.48649111821521</v>
      </c>
      <c r="BK98" s="15">
        <f>IF(ISNA(VLOOKUP(A98,'Données projet'!$A$87:$I$107,3,0)),0,VLOOKUP(A98,'Données projet'!$A$87:$I$107,3,0))</f>
        <v>15</v>
      </c>
      <c r="BL98" s="15">
        <f>IF(ISNA(VLOOKUP(A98,'Données projet'!$A$87:$I$107,4,0)),0,VLOOKUP(A98,'Données projet'!$A$87:$I$107,4,0))</f>
        <v>25</v>
      </c>
      <c r="BM98" s="16">
        <f>IF(ISNA(VLOOKUP(A98,'Données projet'!$A$87:$I$107,5,0)),0%,VLOOKUP(A98,'Données projet'!$A$87:$I$107,5,0)*VLOOKUP('Données projet'!$B$11,Paramètres!$A$1:$I$89,7,0))</f>
        <v>0.53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105.26019556529883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105.26019556529883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266.99999999999983</v>
      </c>
      <c r="BZ98" s="13">
        <f>BY98*VLOOKUP('Données projet'!$B$12,Paramètres!$A$1:$I$89,3,0)*VLOOKUP('Données projet'!$B$12,Paramètres!$A$1:$I$89,5,0)</f>
        <v>212.42519999999985</v>
      </c>
      <c r="CA98" s="13">
        <f t="shared" si="93"/>
        <v>52.465198231787184</v>
      </c>
      <c r="CB98" s="20">
        <f t="shared" si="64"/>
        <v>461.35077692036231</v>
      </c>
      <c r="CC98" s="59">
        <f t="shared" si="65"/>
        <v>754.68411025369562</v>
      </c>
      <c r="CD98" s="59">
        <f ca="1">AVERAGE(OFFSET($CC$3,0,0,'Données projet'!$E$12+1,1))-AVERAGE(OFFSET($H$3,0,0,'Données projet'!$E$12+1,1))</f>
        <v>225.2323446080772</v>
      </c>
      <c r="CE98" s="59">
        <f t="shared" si="94"/>
        <v>222.29030402759292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32.236251350132655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32.236251350132655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213.00000000000003</v>
      </c>
      <c r="CU98" s="17">
        <f>CT98*VLOOKUP('Données projet'!$B$13,Paramètres!$A$1:$I$89,3,0)*VLOOKUP('Données projet'!$B$13,Paramètres!$A$1:$I$89,5,0)</f>
        <v>206.01360000000005</v>
      </c>
      <c r="CV98" s="13">
        <f t="shared" si="95"/>
        <v>51.063487709141484</v>
      </c>
      <c r="CW98" s="20">
        <f t="shared" si="67"/>
        <v>447.74259442675481</v>
      </c>
      <c r="CX98" s="59">
        <f t="shared" si="68"/>
        <v>741.07592776008812</v>
      </c>
      <c r="CY98" s="59">
        <f ca="1">AVERAGE(OFFSET($CX$3,0,0,'Données projet'!$E$13+1,1))-AVERAGE(OFFSET($H$3,0,0,'Données projet'!$E$13+1,1))</f>
        <v>212.32823943192528</v>
      </c>
      <c r="CZ98" s="59">
        <f t="shared" si="96"/>
        <v>209.60834138503003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24.563855245233505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24.563855245233505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285.99999999999972</v>
      </c>
      <c r="DP98" s="17">
        <f>DO98*VLOOKUP('Données projet'!$B$14,Paramètres!$A$1:$I$89,3,0)*VLOOKUP('Données projet'!$B$14,Paramètres!$A$1:$I$89,5,0)</f>
        <v>223.07999999999979</v>
      </c>
      <c r="DQ98" s="13">
        <f t="shared" si="97"/>
        <v>54.783765878062617</v>
      </c>
      <c r="DR98" s="20">
        <f t="shared" si="70"/>
        <v>483.94605890429199</v>
      </c>
      <c r="DS98" s="59">
        <f t="shared" si="71"/>
        <v>777.2793922376253</v>
      </c>
      <c r="DT98" s="59">
        <f ca="1">AVERAGE(OFFSET($DS$3,0,0,'Données projet'!$E$14+1,1))-AVERAGE(OFFSET($H$3,0,0,'Données projet'!$E$14+1,1))</f>
        <v>215.84581110302656</v>
      </c>
      <c r="DU98" s="59">
        <f t="shared" si="98"/>
        <v>193.88588526156104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35.759811596487317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35.759811596487317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6">
        <f t="shared" si="56"/>
        <v>397.48093978929154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401</v>
      </c>
      <c r="O99" s="13">
        <f>N99*VLOOKUP('Données projet'!$B$9,Paramètres!$A$1:$I$89,3,0)*VLOOKUP('Données projet'!$B$9,Paramètres!$A$1:$I$89,5,0)</f>
        <v>250.22399999999999</v>
      </c>
      <c r="P99" s="13">
        <f t="shared" si="87"/>
        <v>60.633904580527918</v>
      </c>
      <c r="Q99" s="20">
        <f t="shared" ref="Q99:Q130" si="107">(O99+P99)*0.475*44/12</f>
        <v>541.41085047775289</v>
      </c>
      <c r="R99" s="59">
        <f t="shared" si="55"/>
        <v>834.74418381108626</v>
      </c>
      <c r="S99" s="59">
        <f ca="1">AVERAGE(OFFSET($R$3,0,0,'Données projet'!$E$9+1,1))-AVERAGE(OFFSET($H$3,0,0,'Données projet'!$E$9+1,1))</f>
        <v>269.77739619445515</v>
      </c>
      <c r="T99" s="59">
        <f t="shared" si="88"/>
        <v>347.56964743629885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37.538348529113364</v>
      </c>
      <c r="AA99" s="21">
        <f>EXP(-LN(2)/25)*AA98+(1-EXP(-LN(2)/25))/(LN(2)/25)*Calculateur!V99*Calculateur!X99*VLOOKUP('Données projet'!$B$9,Paramètres!$A$1:$I$89,3,0)*0.475*44/12</f>
        <v>14.718038132795801</v>
      </c>
      <c r="AB99" s="21">
        <f>EXP(-LN(2)/2)*AB98+(1-EXP(-LN(2)/2))/(LN(2)/2)*V99*Y99*VLOOKUP('Données projet'!$B$9,Paramètres!$A$1:$I$89,3,0)*0.475*44/12</f>
        <v>2.8915640463804424E-12</v>
      </c>
      <c r="AC99" s="22">
        <f t="shared" si="57"/>
        <v>52.256386661912053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789</v>
      </c>
      <c r="AJ99" s="13">
        <f>AI99*VLOOKUP('Données projet'!$B$10,Paramètres!$A$1:$I$89,3,0)*VLOOKUP('Données projet'!$B$10,Paramètres!$A$1:$I$89,5,0)</f>
        <v>389.76600000000002</v>
      </c>
      <c r="AK99" s="13">
        <f t="shared" si="89"/>
        <v>89.698759503620408</v>
      </c>
      <c r="AL99" s="20">
        <f t="shared" si="58"/>
        <v>835.06778946880547</v>
      </c>
      <c r="AM99" s="59">
        <f t="shared" si="59"/>
        <v>1128.4011228021388</v>
      </c>
      <c r="AN99" s="59">
        <f ca="1">AVERAGE(OFFSET($AM$3,0,0,'Données projet'!$E$10+1,1))-AVERAGE(OFFSET($H$3,0,0,'Données projet'!$E$10+1,1))</f>
        <v>396.27049617044378</v>
      </c>
      <c r="AO99" s="59">
        <f t="shared" si="90"/>
        <v>335.2680289568774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104.98721324577257</v>
      </c>
      <c r="AV99" s="21">
        <f>EXP(-LN(2)/25)*AV98+(1-EXP(-LN(2)/25))/(LN(2)/25)*Calculateur!AQ99*Calculateur!AS99*VLOOKUP('Données projet'!$B$10,Paramètres!$A$1:$I$89,3,0)*0.475*44/12</f>
        <v>7.5414167355395607</v>
      </c>
      <c r="AW99" s="21">
        <f>EXP(-LN(2)/2)*AW98+(1-EXP(-LN(2)/2))/(LN(2)/2)*AQ99*AT99*VLOOKUP('Données projet'!$B$10,Paramètres!$A$1:$I$89,3,0)*0.475*44/12</f>
        <v>4.4765695236556492E-11</v>
      </c>
      <c r="AX99" s="21">
        <f t="shared" si="60"/>
        <v>112.52862998135689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7.2</v>
      </c>
      <c r="BD99" s="12">
        <f>IF('Données projet'!$A$88&gt;35,BD98+BC99-BL98,IF(A99&lt;'Données projet'!$A$88,$BA$205^A99,IF(A99='Données projet'!$A$88,'Données projet'!$B$88,BD98+BC99-BL98)))</f>
        <v>371.19999999999993</v>
      </c>
      <c r="BE99" s="13">
        <f>BD99*VLOOKUP('Données projet'!$B$11,Paramètres!$A$1:$I$89,3,0)*VLOOKUP('Données projet'!$B$11,Paramètres!$A$1:$I$89,5,0)</f>
        <v>318.48959999999994</v>
      </c>
      <c r="BF99" s="13">
        <f t="shared" si="91"/>
        <v>75.038999086150227</v>
      </c>
      <c r="BG99" s="20">
        <f t="shared" si="61"/>
        <v>685.39564340837808</v>
      </c>
      <c r="BH99" s="59">
        <f t="shared" si="62"/>
        <v>978.72897674171145</v>
      </c>
      <c r="BI99" s="59">
        <f ca="1">AVERAGE(OFFSET($BH$3,0,0,'Données projet'!$E$11+1,1))-AVERAGE(OFFSET($H$3,0,0,'Données projet'!$E$11+1,1))</f>
        <v>352.61091660077574</v>
      </c>
      <c r="BJ99" s="59">
        <f t="shared" si="92"/>
        <v>186.48649111821521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103.19610733264315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103.19610733264315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266.99999999999983</v>
      </c>
      <c r="BZ99" s="13">
        <f>BY99*VLOOKUP('Données projet'!$B$12,Paramètres!$A$1:$I$89,3,0)*VLOOKUP('Données projet'!$B$12,Paramètres!$A$1:$I$89,5,0)</f>
        <v>212.42519999999985</v>
      </c>
      <c r="CA99" s="13">
        <f t="shared" si="93"/>
        <v>52.465198231787184</v>
      </c>
      <c r="CB99" s="20">
        <f t="shared" si="64"/>
        <v>461.35077692036231</v>
      </c>
      <c r="CC99" s="59">
        <f t="shared" si="65"/>
        <v>754.68411025369562</v>
      </c>
      <c r="CD99" s="59">
        <f ca="1">AVERAGE(OFFSET($CC$3,0,0,'Données projet'!$E$12+1,1))-AVERAGE(OFFSET($H$3,0,0,'Données projet'!$E$12+1,1))</f>
        <v>225.2323446080772</v>
      </c>
      <c r="CE99" s="59">
        <f t="shared" si="94"/>
        <v>222.29030402759292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31.604118123328398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31.604118123328398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213.00000000000003</v>
      </c>
      <c r="CU99" s="17">
        <f>CT99*VLOOKUP('Données projet'!$B$13,Paramètres!$A$1:$I$89,3,0)*VLOOKUP('Données projet'!$B$13,Paramètres!$A$1:$I$89,5,0)</f>
        <v>206.01360000000005</v>
      </c>
      <c r="CV99" s="13">
        <f t="shared" si="95"/>
        <v>51.063487709141484</v>
      </c>
      <c r="CW99" s="20">
        <f t="shared" si="67"/>
        <v>447.74259442675481</v>
      </c>
      <c r="CX99" s="59">
        <f t="shared" si="68"/>
        <v>741.07592776008812</v>
      </c>
      <c r="CY99" s="59">
        <f ca="1">AVERAGE(OFFSET($CX$3,0,0,'Données projet'!$E$13+1,1))-AVERAGE(OFFSET($H$3,0,0,'Données projet'!$E$13+1,1))</f>
        <v>212.32823943192528</v>
      </c>
      <c r="CZ99" s="59">
        <f t="shared" si="96"/>
        <v>209.60834138503003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24.08217302634678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24.08217302634678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285.99999999999972</v>
      </c>
      <c r="DP99" s="17">
        <f>DO99*VLOOKUP('Données projet'!$B$14,Paramètres!$A$1:$I$89,3,0)*VLOOKUP('Données projet'!$B$14,Paramètres!$A$1:$I$89,5,0)</f>
        <v>223.07999999999979</v>
      </c>
      <c r="DQ99" s="13">
        <f t="shared" si="97"/>
        <v>54.783765878062617</v>
      </c>
      <c r="DR99" s="20">
        <f t="shared" si="70"/>
        <v>483.94605890429199</v>
      </c>
      <c r="DS99" s="59">
        <f t="shared" si="71"/>
        <v>777.2793922376253</v>
      </c>
      <c r="DT99" s="59">
        <f ca="1">AVERAGE(OFFSET($DS$3,0,0,'Données projet'!$E$14+1,1))-AVERAGE(OFFSET($H$3,0,0,'Données projet'!$E$14+1,1))</f>
        <v>215.84581110302656</v>
      </c>
      <c r="DU99" s="59">
        <f t="shared" si="98"/>
        <v>193.88588526156104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35.058583502411587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35.058583502411587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6">
        <f t="shared" si="56"/>
        <v>398.5369129745979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401</v>
      </c>
      <c r="O100" s="13">
        <f>N100*VLOOKUP('Données projet'!$B$9,Paramètres!$A$1:$I$89,3,0)*VLOOKUP('Données projet'!$B$9,Paramètres!$A$1:$I$89,5,0)</f>
        <v>250.22399999999999</v>
      </c>
      <c r="P100" s="13">
        <f t="shared" si="87"/>
        <v>60.633904580527918</v>
      </c>
      <c r="Q100" s="20">
        <f t="shared" si="107"/>
        <v>541.41085047775289</v>
      </c>
      <c r="R100" s="59">
        <f t="shared" si="55"/>
        <v>834.74418381108626</v>
      </c>
      <c r="S100" s="59">
        <f ca="1">AVERAGE(OFFSET($R$3,0,0,'Données projet'!$E$9+1,1))-AVERAGE(OFFSET($H$3,0,0,'Données projet'!$E$9+1,1))</f>
        <v>269.77739619445515</v>
      </c>
      <c r="T100" s="59">
        <f t="shared" si="88"/>
        <v>347.56964743629885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36.802244410589246</v>
      </c>
      <c r="AA100" s="21">
        <f>EXP(-LN(2)/25)*AA99+(1-EXP(-LN(2)/25))/(LN(2)/25)*Calculateur!V100*Calculateur!X100*VLOOKUP('Données projet'!$B$9,Paramètres!$A$1:$I$89,3,0)*0.475*44/12</f>
        <v>14.315572606066512</v>
      </c>
      <c r="AB100" s="21">
        <f>EXP(-LN(2)/2)*AB99+(1-EXP(-LN(2)/2))/(LN(2)/2)*V100*Y100*VLOOKUP('Données projet'!$B$9,Paramètres!$A$1:$I$89,3,0)*0.475*44/12</f>
        <v>2.0446445454308234E-12</v>
      </c>
      <c r="AC100" s="22">
        <f t="shared" si="57"/>
        <v>51.117817016657803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789</v>
      </c>
      <c r="AJ100" s="13">
        <f>AI100*VLOOKUP('Données projet'!$B$10,Paramètres!$A$1:$I$89,3,0)*VLOOKUP('Données projet'!$B$10,Paramètres!$A$1:$I$89,5,0)</f>
        <v>389.76600000000002</v>
      </c>
      <c r="AK100" s="13">
        <f t="shared" si="89"/>
        <v>89.698759503620408</v>
      </c>
      <c r="AL100" s="20">
        <f t="shared" si="58"/>
        <v>835.06778946880547</v>
      </c>
      <c r="AM100" s="59">
        <f t="shared" si="59"/>
        <v>1128.4011228021388</v>
      </c>
      <c r="AN100" s="59">
        <f ca="1">AVERAGE(OFFSET($AM$3,0,0,'Données projet'!$E$10+1,1))-AVERAGE(OFFSET($H$3,0,0,'Données projet'!$E$10+1,1))</f>
        <v>396.27049617044378</v>
      </c>
      <c r="AO100" s="59">
        <f t="shared" si="90"/>
        <v>335.2680289568774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102.92847802990003</v>
      </c>
      <c r="AV100" s="21">
        <f>EXP(-LN(2)/25)*AV99+(1-EXP(-LN(2)/25))/(LN(2)/25)*Calculateur!AQ100*Calculateur!AS100*VLOOKUP('Données projet'!$B$10,Paramètres!$A$1:$I$89,3,0)*0.475*44/12</f>
        <v>7.3351962983203611</v>
      </c>
      <c r="AW100" s="21">
        <f>EXP(-LN(2)/2)*AW99+(1-EXP(-LN(2)/2))/(LN(2)/2)*AQ100*AT100*VLOOKUP('Données projet'!$B$10,Paramètres!$A$1:$I$89,3,0)*0.475*44/12</f>
        <v>3.1654126666299424E-11</v>
      </c>
      <c r="AX100" s="21">
        <f t="shared" si="60"/>
        <v>110.26367432825204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7.2</v>
      </c>
      <c r="BD100" s="12">
        <f>IF('Données projet'!$A$88&gt;35,BD99+BC100-BL99,IF(A100&lt;'Données projet'!$A$88,$BA$205^A100,IF(A100='Données projet'!$A$88,'Données projet'!$B$88,BD99+BC100-BL99)))</f>
        <v>378.39999999999992</v>
      </c>
      <c r="BE100" s="13">
        <f>BD100*VLOOKUP('Données projet'!$B$11,Paramètres!$A$1:$I$89,3,0)*VLOOKUP('Données projet'!$B$11,Paramètres!$A$1:$I$89,5,0)</f>
        <v>324.66719999999998</v>
      </c>
      <c r="BF100" s="13">
        <f t="shared" si="91"/>
        <v>76.323635512638404</v>
      </c>
      <c r="BG100" s="20">
        <f t="shared" si="61"/>
        <v>698.39237185117838</v>
      </c>
      <c r="BH100" s="59">
        <f t="shared" si="62"/>
        <v>991.72570518451175</v>
      </c>
      <c r="BI100" s="59">
        <f ca="1">AVERAGE(OFFSET($BH$3,0,0,'Données projet'!$E$11+1,1))-AVERAGE(OFFSET($H$3,0,0,'Données projet'!$E$11+1,1))</f>
        <v>352.61091660077574</v>
      </c>
      <c r="BJ100" s="59">
        <f t="shared" si="92"/>
        <v>186.48649111821521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101.17249461126035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101.17249461126035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266.99999999999983</v>
      </c>
      <c r="BZ100" s="13">
        <f>BY100*VLOOKUP('Données projet'!$B$12,Paramètres!$A$1:$I$89,3,0)*VLOOKUP('Données projet'!$B$12,Paramètres!$A$1:$I$89,5,0)</f>
        <v>212.42519999999985</v>
      </c>
      <c r="CA100" s="13">
        <f t="shared" si="93"/>
        <v>52.465198231787184</v>
      </c>
      <c r="CB100" s="20">
        <f t="shared" si="64"/>
        <v>461.35077692036231</v>
      </c>
      <c r="CC100" s="59">
        <f t="shared" si="65"/>
        <v>754.68411025369562</v>
      </c>
      <c r="CD100" s="59">
        <f ca="1">AVERAGE(OFFSET($CC$3,0,0,'Données projet'!$E$12+1,1))-AVERAGE(OFFSET($H$3,0,0,'Données projet'!$E$12+1,1))</f>
        <v>225.2323446080772</v>
      </c>
      <c r="CE100" s="59">
        <f t="shared" si="94"/>
        <v>222.29030402759292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30.984380643538575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30.984380643538575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213.00000000000003</v>
      </c>
      <c r="CU100" s="17">
        <f>CT100*VLOOKUP('Données projet'!$B$13,Paramètres!$A$1:$I$89,3,0)*VLOOKUP('Données projet'!$B$13,Paramètres!$A$1:$I$89,5,0)</f>
        <v>206.01360000000005</v>
      </c>
      <c r="CV100" s="13">
        <f t="shared" si="95"/>
        <v>51.063487709141484</v>
      </c>
      <c r="CW100" s="20">
        <f t="shared" si="67"/>
        <v>447.74259442675481</v>
      </c>
      <c r="CX100" s="59">
        <f t="shared" si="68"/>
        <v>741.07592776008812</v>
      </c>
      <c r="CY100" s="59">
        <f ca="1">AVERAGE(OFFSET($CX$3,0,0,'Données projet'!$E$13+1,1))-AVERAGE(OFFSET($H$3,0,0,'Données projet'!$E$13+1,1))</f>
        <v>212.32823943192528</v>
      </c>
      <c r="CZ100" s="59">
        <f t="shared" si="96"/>
        <v>209.60834138503003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23.609936301975278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23.609936301975278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285.99999999999972</v>
      </c>
      <c r="DP100" s="17">
        <f>DO100*VLOOKUP('Données projet'!$B$14,Paramètres!$A$1:$I$89,3,0)*VLOOKUP('Données projet'!$B$14,Paramètres!$A$1:$I$89,5,0)</f>
        <v>223.07999999999979</v>
      </c>
      <c r="DQ100" s="13">
        <f t="shared" si="97"/>
        <v>54.783765878062617</v>
      </c>
      <c r="DR100" s="20">
        <f t="shared" si="70"/>
        <v>483.94605890429199</v>
      </c>
      <c r="DS100" s="59">
        <f t="shared" si="71"/>
        <v>777.2793922376253</v>
      </c>
      <c r="DT100" s="59">
        <f ca="1">AVERAGE(OFFSET($DS$3,0,0,'Données projet'!$E$14+1,1))-AVERAGE(OFFSET($H$3,0,0,'Données projet'!$E$14+1,1))</f>
        <v>215.84581110302656</v>
      </c>
      <c r="DU100" s="59">
        <f t="shared" si="98"/>
        <v>193.88588526156104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34.371106063553775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34.371106063553775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6">
        <f t="shared" si="56"/>
        <v>399.59262443424268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401</v>
      </c>
      <c r="O101" s="13">
        <f>N101*VLOOKUP('Données projet'!$B$9,Paramètres!$A$1:$I$89,3,0)*VLOOKUP('Données projet'!$B$9,Paramètres!$A$1:$I$89,5,0)</f>
        <v>250.22399999999999</v>
      </c>
      <c r="P101" s="13">
        <f t="shared" si="87"/>
        <v>60.633904580527918</v>
      </c>
      <c r="Q101" s="20">
        <f t="shared" si="107"/>
        <v>541.41085047775289</v>
      </c>
      <c r="R101" s="59">
        <f t="shared" si="55"/>
        <v>834.74418381108626</v>
      </c>
      <c r="S101" s="59">
        <f ca="1">AVERAGE(OFFSET($R$3,0,0,'Données projet'!$E$9+1,1))-AVERAGE(OFFSET($H$3,0,0,'Données projet'!$E$9+1,1))</f>
        <v>269.77739619445515</v>
      </c>
      <c r="T101" s="59">
        <f t="shared" si="88"/>
        <v>347.56964743629885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36.080574844850211</v>
      </c>
      <c r="AA101" s="21">
        <f>EXP(-LN(2)/25)*AA100+(1-EXP(-LN(2)/25))/(LN(2)/25)*Calculateur!V101*Calculateur!X101*VLOOKUP('Données projet'!$B$9,Paramètres!$A$1:$I$89,3,0)*0.475*44/12</f>
        <v>13.924112520330379</v>
      </c>
      <c r="AB101" s="21">
        <f>EXP(-LN(2)/2)*AB100+(1-EXP(-LN(2)/2))/(LN(2)/2)*V101*Y101*VLOOKUP('Données projet'!$B$9,Paramètres!$A$1:$I$89,3,0)*0.475*44/12</f>
        <v>1.4457820231902212E-12</v>
      </c>
      <c r="AC101" s="22">
        <f t="shared" si="57"/>
        <v>50.004687365182029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789</v>
      </c>
      <c r="AJ101" s="13">
        <f>AI101*VLOOKUP('Données projet'!$B$10,Paramètres!$A$1:$I$89,3,0)*VLOOKUP('Données projet'!$B$10,Paramètres!$A$1:$I$89,5,0)</f>
        <v>389.76600000000002</v>
      </c>
      <c r="AK101" s="13">
        <f t="shared" si="89"/>
        <v>89.698759503620408</v>
      </c>
      <c r="AL101" s="20">
        <f t="shared" si="58"/>
        <v>835.06778946880547</v>
      </c>
      <c r="AM101" s="59">
        <f t="shared" si="59"/>
        <v>1128.4011228021388</v>
      </c>
      <c r="AN101" s="59">
        <f ca="1">AVERAGE(OFFSET($AM$3,0,0,'Données projet'!$E$10+1,1))-AVERAGE(OFFSET($H$3,0,0,'Données projet'!$E$10+1,1))</f>
        <v>396.27049617044378</v>
      </c>
      <c r="AO101" s="59">
        <f t="shared" si="90"/>
        <v>335.2680289568774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100.91011335590626</v>
      </c>
      <c r="AV101" s="21">
        <f>EXP(-LN(2)/25)*AV100+(1-EXP(-LN(2)/25))/(LN(2)/25)*Calculateur!AQ101*Calculateur!AS101*VLOOKUP('Données projet'!$B$10,Paramètres!$A$1:$I$89,3,0)*0.475*44/12</f>
        <v>7.1346149698015822</v>
      </c>
      <c r="AW101" s="21">
        <f>EXP(-LN(2)/2)*AW100+(1-EXP(-LN(2)/2))/(LN(2)/2)*AQ101*AT101*VLOOKUP('Données projet'!$B$10,Paramètres!$A$1:$I$89,3,0)*0.475*44/12</f>
        <v>2.2382847618278246E-11</v>
      </c>
      <c r="AX101" s="21">
        <f t="shared" si="60"/>
        <v>108.04472832573022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7.2</v>
      </c>
      <c r="BD101" s="12">
        <f>IF('Données projet'!$A$88&gt;35,BD100+BC101-BL100,IF(A101&lt;'Données projet'!$A$88,$BA$205^A101,IF(A101='Données projet'!$A$88,'Données projet'!$B$88,BD100+BC101-BL100)))</f>
        <v>385.59999999999991</v>
      </c>
      <c r="BE101" s="13">
        <f>BD101*VLOOKUP('Données projet'!$B$11,Paramètres!$A$1:$I$89,3,0)*VLOOKUP('Données projet'!$B$11,Paramètres!$A$1:$I$89,5,0)</f>
        <v>330.84479999999996</v>
      </c>
      <c r="BF101" s="13">
        <f t="shared" si="91"/>
        <v>77.605429694617001</v>
      </c>
      <c r="BG101" s="20">
        <f t="shared" si="61"/>
        <v>711.38415005145782</v>
      </c>
      <c r="BH101" s="59">
        <f t="shared" si="62"/>
        <v>1004.7174833847912</v>
      </c>
      <c r="BI101" s="59">
        <f ca="1">AVERAGE(OFFSET($BH$3,0,0,'Données projet'!$E$11+1,1))-AVERAGE(OFFSET($H$3,0,0,'Données projet'!$E$11+1,1))</f>
        <v>352.61091660077574</v>
      </c>
      <c r="BJ101" s="59">
        <f t="shared" si="92"/>
        <v>186.48649111821521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99.18856370106198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99.18856370106198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266.99999999999983</v>
      </c>
      <c r="BZ101" s="13">
        <f>BY101*VLOOKUP('Données projet'!$B$12,Paramètres!$A$1:$I$89,3,0)*VLOOKUP('Données projet'!$B$12,Paramètres!$A$1:$I$89,5,0)</f>
        <v>212.42519999999985</v>
      </c>
      <c r="CA101" s="13">
        <f t="shared" si="93"/>
        <v>52.465198231787184</v>
      </c>
      <c r="CB101" s="20">
        <f t="shared" si="64"/>
        <v>461.35077692036231</v>
      </c>
      <c r="CC101" s="59">
        <f t="shared" si="65"/>
        <v>754.68411025369562</v>
      </c>
      <c r="CD101" s="59">
        <f ca="1">AVERAGE(OFFSET($CC$3,0,0,'Données projet'!$E$12+1,1))-AVERAGE(OFFSET($H$3,0,0,'Données projet'!$E$12+1,1))</f>
        <v>225.2323446080772</v>
      </c>
      <c r="CE101" s="59">
        <f t="shared" si="94"/>
        <v>222.29030402759292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30.376795837724895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30.376795837724895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213.00000000000003</v>
      </c>
      <c r="CU101" s="17">
        <f>CT101*VLOOKUP('Données projet'!$B$13,Paramètres!$A$1:$I$89,3,0)*VLOOKUP('Données projet'!$B$13,Paramètres!$A$1:$I$89,5,0)</f>
        <v>206.01360000000005</v>
      </c>
      <c r="CV101" s="13">
        <f t="shared" si="95"/>
        <v>51.063487709141484</v>
      </c>
      <c r="CW101" s="20">
        <f t="shared" si="67"/>
        <v>447.74259442675481</v>
      </c>
      <c r="CX101" s="59">
        <f t="shared" si="68"/>
        <v>741.07592776008812</v>
      </c>
      <c r="CY101" s="59">
        <f ca="1">AVERAGE(OFFSET($CX$3,0,0,'Données projet'!$E$13+1,1))-AVERAGE(OFFSET($H$3,0,0,'Données projet'!$E$13+1,1))</f>
        <v>212.32823943192528</v>
      </c>
      <c r="CZ101" s="59">
        <f t="shared" si="96"/>
        <v>209.60834138503003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23.146959851732742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23.146959851732742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285.99999999999972</v>
      </c>
      <c r="DP101" s="17">
        <f>DO101*VLOOKUP('Données projet'!$B$14,Paramètres!$A$1:$I$89,3,0)*VLOOKUP('Données projet'!$B$14,Paramètres!$A$1:$I$89,5,0)</f>
        <v>223.07999999999979</v>
      </c>
      <c r="DQ101" s="13">
        <f t="shared" si="97"/>
        <v>54.783765878062617</v>
      </c>
      <c r="DR101" s="20">
        <f t="shared" si="70"/>
        <v>483.94605890429199</v>
      </c>
      <c r="DS101" s="59">
        <f t="shared" si="71"/>
        <v>777.2793922376253</v>
      </c>
      <c r="DT101" s="59">
        <f ca="1">AVERAGE(OFFSET($DS$3,0,0,'Données projet'!$E$14+1,1))-AVERAGE(OFFSET($H$3,0,0,'Données projet'!$E$14+1,1))</f>
        <v>215.84581110302656</v>
      </c>
      <c r="DU101" s="59">
        <f t="shared" si="98"/>
        <v>193.88588526156104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33.697109637952131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33.697109637952131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6">
        <f t="shared" si="56"/>
        <v>400.64807714809581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401</v>
      </c>
      <c r="O102" s="13">
        <f>N102*VLOOKUP('Données projet'!$B$9,Paramètres!$A$1:$I$89,3,0)*VLOOKUP('Données projet'!$B$9,Paramètres!$A$1:$I$89,5,0)</f>
        <v>250.22399999999999</v>
      </c>
      <c r="P102" s="13">
        <f t="shared" si="87"/>
        <v>60.633904580527918</v>
      </c>
      <c r="Q102" s="20">
        <f t="shared" si="107"/>
        <v>541.41085047775289</v>
      </c>
      <c r="R102" s="59">
        <f t="shared" si="55"/>
        <v>834.74418381108626</v>
      </c>
      <c r="S102" s="59">
        <f ca="1">AVERAGE(OFFSET($R$3,0,0,'Données projet'!$E$9+1,1))-AVERAGE(OFFSET($H$3,0,0,'Données projet'!$E$9+1,1))</f>
        <v>269.77739619445515</v>
      </c>
      <c r="T102" s="59">
        <f t="shared" si="88"/>
        <v>347.56964743629885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35.373056779120347</v>
      </c>
      <c r="AA102" s="21">
        <f>EXP(-LN(2)/25)*AA101+(1-EXP(-LN(2)/25))/(LN(2)/25)*Calculateur!V102*Calculateur!X102*VLOOKUP('Données projet'!$B$9,Paramètres!$A$1:$I$89,3,0)*0.475*44/12</f>
        <v>13.543356931224691</v>
      </c>
      <c r="AB102" s="21">
        <f>EXP(-LN(2)/2)*AB101+(1-EXP(-LN(2)/2))/(LN(2)/2)*V102*Y102*VLOOKUP('Données projet'!$B$9,Paramètres!$A$1:$I$89,3,0)*0.475*44/12</f>
        <v>1.0223222727154117E-12</v>
      </c>
      <c r="AC102" s="22">
        <f t="shared" si="57"/>
        <v>48.916413710346063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789</v>
      </c>
      <c r="AJ102" s="13">
        <f>AI102*VLOOKUP('Données projet'!$B$10,Paramètres!$A$1:$I$89,3,0)*VLOOKUP('Données projet'!$B$10,Paramètres!$A$1:$I$89,5,0)</f>
        <v>389.76600000000002</v>
      </c>
      <c r="AK102" s="13">
        <f t="shared" si="89"/>
        <v>89.698759503620408</v>
      </c>
      <c r="AL102" s="20">
        <f t="shared" si="58"/>
        <v>835.06778946880547</v>
      </c>
      <c r="AM102" s="59">
        <f t="shared" si="59"/>
        <v>1128.4011228021388</v>
      </c>
      <c r="AN102" s="59">
        <f ca="1">AVERAGE(OFFSET($AM$3,0,0,'Données projet'!$E$10+1,1))-AVERAGE(OFFSET($H$3,0,0,'Données projet'!$E$10+1,1))</f>
        <v>396.27049617044378</v>
      </c>
      <c r="AO102" s="59">
        <f t="shared" si="90"/>
        <v>335.2680289568774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98.931327582088613</v>
      </c>
      <c r="AV102" s="21">
        <f>EXP(-LN(2)/25)*AV101+(1-EXP(-LN(2)/25))/(LN(2)/25)*Calculateur!AQ102*Calculateur!AS102*VLOOKUP('Données projet'!$B$10,Paramètres!$A$1:$I$89,3,0)*0.475*44/12</f>
        <v>6.9395185482592634</v>
      </c>
      <c r="AW102" s="21">
        <f>EXP(-LN(2)/2)*AW101+(1-EXP(-LN(2)/2))/(LN(2)/2)*AQ102*AT102*VLOOKUP('Données projet'!$B$10,Paramètres!$A$1:$I$89,3,0)*0.475*44/12</f>
        <v>1.5827063333149712E-11</v>
      </c>
      <c r="AX102" s="21">
        <f t="shared" si="60"/>
        <v>105.8708461303637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7.2</v>
      </c>
      <c r="BD102" s="12">
        <f>IF('Données projet'!$A$88&gt;35,BD101+BC102-BL101,IF(A102&lt;'Données projet'!$A$88,$BA$205^A102,IF(A102='Données projet'!$A$88,'Données projet'!$B$88,BD101+BC102-BL101)))</f>
        <v>392.7999999999999</v>
      </c>
      <c r="BE102" s="13">
        <f>BD102*VLOOKUP('Données projet'!$B$11,Paramètres!$A$1:$I$89,3,0)*VLOOKUP('Données projet'!$B$11,Paramètres!$A$1:$I$89,5,0)</f>
        <v>337.02239999999995</v>
      </c>
      <c r="BF102" s="13">
        <f t="shared" si="91"/>
        <v>78.884440823098231</v>
      </c>
      <c r="BG102" s="20">
        <f t="shared" si="61"/>
        <v>724.37108110022928</v>
      </c>
      <c r="BH102" s="59">
        <f t="shared" si="62"/>
        <v>1017.7044144335625</v>
      </c>
      <c r="BI102" s="59">
        <f ca="1">AVERAGE(OFFSET($BH$3,0,0,'Données projet'!$E$11+1,1))-AVERAGE(OFFSET($H$3,0,0,'Données projet'!$E$11+1,1))</f>
        <v>352.61091660077574</v>
      </c>
      <c r="BJ102" s="59">
        <f t="shared" si="92"/>
        <v>186.48649111821521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97.243536465934227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97.243536465934227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266.99999999999983</v>
      </c>
      <c r="BZ102" s="13">
        <f>BY102*VLOOKUP('Données projet'!$B$12,Paramètres!$A$1:$I$89,3,0)*VLOOKUP('Données projet'!$B$12,Paramètres!$A$1:$I$89,5,0)</f>
        <v>212.42519999999985</v>
      </c>
      <c r="CA102" s="13">
        <f t="shared" si="93"/>
        <v>52.465198231787184</v>
      </c>
      <c r="CB102" s="20">
        <f t="shared" si="64"/>
        <v>461.35077692036231</v>
      </c>
      <c r="CC102" s="59">
        <f t="shared" si="65"/>
        <v>754.68411025369562</v>
      </c>
      <c r="CD102" s="59">
        <f ca="1">AVERAGE(OFFSET($CC$3,0,0,'Données projet'!$E$12+1,1))-AVERAGE(OFFSET($H$3,0,0,'Données projet'!$E$12+1,1))</f>
        <v>225.2323446080772</v>
      </c>
      <c r="CE102" s="59">
        <f t="shared" si="94"/>
        <v>222.29030402759292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29.781125399363081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29.781125399363081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213.00000000000003</v>
      </c>
      <c r="CU102" s="17">
        <f>CT102*VLOOKUP('Données projet'!$B$13,Paramètres!$A$1:$I$89,3,0)*VLOOKUP('Données projet'!$B$13,Paramètres!$A$1:$I$89,5,0)</f>
        <v>206.01360000000005</v>
      </c>
      <c r="CV102" s="13">
        <f t="shared" si="95"/>
        <v>51.063487709141484</v>
      </c>
      <c r="CW102" s="20">
        <f t="shared" si="67"/>
        <v>447.74259442675481</v>
      </c>
      <c r="CX102" s="59">
        <f t="shared" si="68"/>
        <v>741.07592776008812</v>
      </c>
      <c r="CY102" s="59">
        <f ca="1">AVERAGE(OFFSET($CX$3,0,0,'Données projet'!$E$13+1,1))-AVERAGE(OFFSET($H$3,0,0,'Données projet'!$E$13+1,1))</f>
        <v>212.32823943192528</v>
      </c>
      <c r="CZ102" s="59">
        <f t="shared" si="96"/>
        <v>209.60834138503003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22.693062087291711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22.693062087291711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285.99999999999972</v>
      </c>
      <c r="DP102" s="17">
        <f>DO102*VLOOKUP('Données projet'!$B$14,Paramètres!$A$1:$I$89,3,0)*VLOOKUP('Données projet'!$B$14,Paramètres!$A$1:$I$89,5,0)</f>
        <v>223.07999999999979</v>
      </c>
      <c r="DQ102" s="13">
        <f t="shared" si="97"/>
        <v>54.783765878062617</v>
      </c>
      <c r="DR102" s="20">
        <f t="shared" si="70"/>
        <v>483.94605890429199</v>
      </c>
      <c r="DS102" s="59">
        <f t="shared" si="71"/>
        <v>777.2793922376253</v>
      </c>
      <c r="DT102" s="59">
        <f ca="1">AVERAGE(OFFSET($DS$3,0,0,'Données projet'!$E$14+1,1))-AVERAGE(OFFSET($H$3,0,0,'Données projet'!$E$14+1,1))</f>
        <v>215.84581110302656</v>
      </c>
      <c r="DU102" s="59">
        <f t="shared" si="98"/>
        <v>193.88588526156104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33.03632987115931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33.03632987115931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6">
        <f t="shared" si="56"/>
        <v>401.70327403235842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401</v>
      </c>
      <c r="O103" s="13">
        <f>N103*VLOOKUP('Données projet'!$B$9,Paramètres!$A$1:$I$89,3,0)*VLOOKUP('Données projet'!$B$9,Paramètres!$A$1:$I$89,5,0)</f>
        <v>250.22399999999999</v>
      </c>
      <c r="P103" s="13">
        <f t="shared" si="87"/>
        <v>60.633904580527918</v>
      </c>
      <c r="Q103" s="20">
        <f t="shared" si="107"/>
        <v>541.41085047775289</v>
      </c>
      <c r="R103" s="59">
        <f t="shared" si="55"/>
        <v>834.74418381108626</v>
      </c>
      <c r="S103" s="59">
        <f ca="1">AVERAGE(OFFSET($R$3,0,0,'Données projet'!$E$9+1,1))-AVERAGE(OFFSET($H$3,0,0,'Données projet'!$E$9+1,1))</f>
        <v>269.77739619445515</v>
      </c>
      <c r="T103" s="59">
        <f t="shared" si="88"/>
        <v>347.56964743629885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34.679412711116036</v>
      </c>
      <c r="AA103" s="21">
        <f>EXP(-LN(2)/25)*AA102+(1-EXP(-LN(2)/25))/(LN(2)/25)*Calculateur!V103*Calculateur!X103*VLOOKUP('Données projet'!$B$9,Paramètres!$A$1:$I$89,3,0)*0.475*44/12</f>
        <v>13.173013123726165</v>
      </c>
      <c r="AB103" s="21">
        <f>EXP(-LN(2)/2)*AB102+(1-EXP(-LN(2)/2))/(LN(2)/2)*V103*Y103*VLOOKUP('Données projet'!$B$9,Paramètres!$A$1:$I$89,3,0)*0.475*44/12</f>
        <v>7.228910115951106E-13</v>
      </c>
      <c r="AC103" s="22">
        <f t="shared" si="57"/>
        <v>47.852425834842926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789</v>
      </c>
      <c r="AJ103" s="13">
        <f>AI103*VLOOKUP('Données projet'!$B$10,Paramètres!$A$1:$I$89,3,0)*VLOOKUP('Données projet'!$B$10,Paramètres!$A$1:$I$89,5,0)</f>
        <v>389.76600000000002</v>
      </c>
      <c r="AK103" s="13">
        <f t="shared" si="89"/>
        <v>89.698759503620408</v>
      </c>
      <c r="AL103" s="20">
        <f t="shared" si="58"/>
        <v>835.06778946880547</v>
      </c>
      <c r="AM103" s="59">
        <f t="shared" si="59"/>
        <v>1128.4011228021388</v>
      </c>
      <c r="AN103" s="59">
        <f ca="1">AVERAGE(OFFSET($AM$3,0,0,'Données projet'!$E$10+1,1))-AVERAGE(OFFSET($H$3,0,0,'Données projet'!$E$10+1,1))</f>
        <v>396.27049617044378</v>
      </c>
      <c r="AO103" s="59">
        <f t="shared" si="90"/>
        <v>335.2680289568774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96.991344590355382</v>
      </c>
      <c r="AV103" s="21">
        <f>EXP(-LN(2)/25)*AV102+(1-EXP(-LN(2)/25))/(LN(2)/25)*Calculateur!AQ103*Calculateur!AS103*VLOOKUP('Données projet'!$B$10,Paramètres!$A$1:$I$89,3,0)*0.475*44/12</f>
        <v>6.7497570486236942</v>
      </c>
      <c r="AW103" s="21">
        <f>EXP(-LN(2)/2)*AW102+(1-EXP(-LN(2)/2))/(LN(2)/2)*AQ103*AT103*VLOOKUP('Données projet'!$B$10,Paramètres!$A$1:$I$89,3,0)*0.475*44/12</f>
        <v>1.1191423809139123E-11</v>
      </c>
      <c r="AX103" s="21">
        <f t="shared" si="60"/>
        <v>103.74110163899027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400</v>
      </c>
      <c r="BB103" s="12">
        <f>VLOOKUP(A103,'Données projet'!$A$87:$I$107,9,0)</f>
        <v>7.2</v>
      </c>
      <c r="BC103" s="12">
        <f t="array" ref="BC103">INDEX(BB:BB,MIN(IF(ISNUMBER(BB103:BB299),ROW(BB103:BB299),"")))</f>
        <v>7.2</v>
      </c>
      <c r="BD103" s="12">
        <f>IF('Données projet'!$A$88&gt;35,BD102+BC103-BL102,IF(A103&lt;'Données projet'!$A$88,$BA$205^A103,IF(A103='Données projet'!$A$88,'Données projet'!$B$88,BD102+BC103-BL102)))</f>
        <v>399.99999999999989</v>
      </c>
      <c r="BE103" s="13">
        <f>BD103*VLOOKUP('Données projet'!$B$11,Paramètres!$A$1:$I$89,3,0)*VLOOKUP('Données projet'!$B$11,Paramètres!$A$1:$I$89,5,0)</f>
        <v>343.19999999999993</v>
      </c>
      <c r="BF103" s="13">
        <f t="shared" si="91"/>
        <v>80.160725794932105</v>
      </c>
      <c r="BG103" s="20">
        <f t="shared" si="61"/>
        <v>737.35326409283982</v>
      </c>
      <c r="BH103" s="59">
        <f t="shared" si="62"/>
        <v>1030.6865974261732</v>
      </c>
      <c r="BI103" s="59">
        <f ca="1">AVERAGE(OFFSET($BH$3,0,0,'Données projet'!$E$11+1,1))-AVERAGE(OFFSET($H$3,0,0,'Données projet'!$E$11+1,1))</f>
        <v>352.61091660077574</v>
      </c>
      <c r="BJ103" s="59">
        <f t="shared" si="92"/>
        <v>186.48649111821521</v>
      </c>
      <c r="BK103" s="15">
        <f>IF(ISNA(VLOOKUP(A103,'Données projet'!$A$87:$I$107,3,0)),0,VLOOKUP(A103,'Données projet'!$A$87:$I$107,3,0))</f>
        <v>16</v>
      </c>
      <c r="BL103" s="15">
        <f>IF(ISNA(VLOOKUP(A103,'Données projet'!$A$87:$I$107,4,0)),0,VLOOKUP(A103,'Données projet'!$A$87:$I$107,4,0))</f>
        <v>24</v>
      </c>
      <c r="BM103" s="16">
        <f>IF(ISNA(VLOOKUP(A103,'Données projet'!$A$87:$I$107,5,0)),0%,VLOOKUP(A103,'Données projet'!$A$87:$I$107,5,0)*VLOOKUP('Données projet'!$B$11,Paramètres!$A$1:$I$89,7,0))</f>
        <v>0.53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107.40148843786939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107.40148843786939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266.99999999999983</v>
      </c>
      <c r="BZ103" s="13">
        <f>BY103*VLOOKUP('Données projet'!$B$12,Paramètres!$A$1:$I$89,3,0)*VLOOKUP('Données projet'!$B$12,Paramètres!$A$1:$I$89,5,0)</f>
        <v>212.42519999999985</v>
      </c>
      <c r="CA103" s="13">
        <f t="shared" si="93"/>
        <v>52.465198231787184</v>
      </c>
      <c r="CB103" s="20">
        <f t="shared" si="64"/>
        <v>461.35077692036231</v>
      </c>
      <c r="CC103" s="59">
        <f t="shared" si="65"/>
        <v>754.68411025369562</v>
      </c>
      <c r="CD103" s="59">
        <f ca="1">AVERAGE(OFFSET($CC$3,0,0,'Données projet'!$E$12+1,1))-AVERAGE(OFFSET($H$3,0,0,'Données projet'!$E$12+1,1))</f>
        <v>225.2323446080772</v>
      </c>
      <c r="CE103" s="59">
        <f t="shared" si="94"/>
        <v>222.29030402759292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29.197135694974449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29.197135694974449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213.00000000000003</v>
      </c>
      <c r="CU103" s="17">
        <f>CT103*VLOOKUP('Données projet'!$B$13,Paramètres!$A$1:$I$89,3,0)*VLOOKUP('Données projet'!$B$13,Paramètres!$A$1:$I$89,5,0)</f>
        <v>206.01360000000005</v>
      </c>
      <c r="CV103" s="13">
        <f t="shared" si="95"/>
        <v>51.063487709141484</v>
      </c>
      <c r="CW103" s="20">
        <f t="shared" si="67"/>
        <v>447.74259442675481</v>
      </c>
      <c r="CX103" s="59">
        <f t="shared" si="68"/>
        <v>741.07592776008812</v>
      </c>
      <c r="CY103" s="59">
        <f ca="1">AVERAGE(OFFSET($CX$3,0,0,'Données projet'!$E$13+1,1))-AVERAGE(OFFSET($H$3,0,0,'Données projet'!$E$13+1,1))</f>
        <v>212.32823943192528</v>
      </c>
      <c r="CZ103" s="59">
        <f t="shared" si="96"/>
        <v>209.60834138503003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22.248064981161068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22.248064981161068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285.99999999999972</v>
      </c>
      <c r="DP103" s="17">
        <f>DO103*VLOOKUP('Données projet'!$B$14,Paramètres!$A$1:$I$89,3,0)*VLOOKUP('Données projet'!$B$14,Paramètres!$A$1:$I$89,5,0)</f>
        <v>223.07999999999979</v>
      </c>
      <c r="DQ103" s="13">
        <f t="shared" si="97"/>
        <v>54.783765878062617</v>
      </c>
      <c r="DR103" s="20">
        <f t="shared" si="70"/>
        <v>483.94605890429199</v>
      </c>
      <c r="DS103" s="59">
        <f t="shared" si="71"/>
        <v>777.2793922376253</v>
      </c>
      <c r="DT103" s="59">
        <f ca="1">AVERAGE(OFFSET($DS$3,0,0,'Données projet'!$E$14+1,1))-AVERAGE(OFFSET($H$3,0,0,'Données projet'!$E$14+1,1))</f>
        <v>215.84581110302656</v>
      </c>
      <c r="DU103" s="59">
        <f t="shared" si="98"/>
        <v>193.88588526156104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32.388507592557431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32.388507592557431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6">
        <f t="shared" si="56"/>
        <v>402.75821794154609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401</v>
      </c>
      <c r="O104" s="13">
        <f>N104*VLOOKUP('Données projet'!$B$9,Paramètres!$A$1:$I$89,3,0)*VLOOKUP('Données projet'!$B$9,Paramètres!$A$1:$I$89,5,0)</f>
        <v>250.22399999999999</v>
      </c>
      <c r="P104" s="13">
        <f t="shared" si="87"/>
        <v>60.633904580527918</v>
      </c>
      <c r="Q104" s="20">
        <f t="shared" si="107"/>
        <v>541.41085047775289</v>
      </c>
      <c r="R104" s="59">
        <f t="shared" si="55"/>
        <v>834.74418381108626</v>
      </c>
      <c r="S104" s="59">
        <f ca="1">AVERAGE(OFFSET($R$3,0,0,'Données projet'!$E$9+1,1))-AVERAGE(OFFSET($H$3,0,0,'Données projet'!$E$9+1,1))</f>
        <v>269.77739619445515</v>
      </c>
      <c r="T104" s="59">
        <f t="shared" si="88"/>
        <v>347.56964743629885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33.999370580204186</v>
      </c>
      <c r="AA104" s="21">
        <f>EXP(-LN(2)/25)*AA103+(1-EXP(-LN(2)/25))/(LN(2)/25)*Calculateur!V104*Calculateur!X104*VLOOKUP('Données projet'!$B$9,Paramètres!$A$1:$I$89,3,0)*0.475*44/12</f>
        <v>12.812796387119219</v>
      </c>
      <c r="AB104" s="21">
        <f>EXP(-LN(2)/2)*AB103+(1-EXP(-LN(2)/2))/(LN(2)/2)*V104*Y104*VLOOKUP('Données projet'!$B$9,Paramètres!$A$1:$I$89,3,0)*0.475*44/12</f>
        <v>5.1116113635770585E-13</v>
      </c>
      <c r="AC104" s="22">
        <f t="shared" si="57"/>
        <v>46.812166967323918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789</v>
      </c>
      <c r="AJ104" s="13">
        <f>AI104*VLOOKUP('Données projet'!$B$10,Paramètres!$A$1:$I$89,3,0)*VLOOKUP('Données projet'!$B$10,Paramètres!$A$1:$I$89,5,0)</f>
        <v>389.76600000000002</v>
      </c>
      <c r="AK104" s="13">
        <f t="shared" si="89"/>
        <v>89.698759503620408</v>
      </c>
      <c r="AL104" s="20">
        <f t="shared" si="58"/>
        <v>835.06778946880547</v>
      </c>
      <c r="AM104" s="59">
        <f t="shared" si="59"/>
        <v>1128.4011228021388</v>
      </c>
      <c r="AN104" s="59">
        <f ca="1">AVERAGE(OFFSET($AM$3,0,0,'Données projet'!$E$10+1,1))-AVERAGE(OFFSET($H$3,0,0,'Données projet'!$E$10+1,1))</f>
        <v>396.27049617044378</v>
      </c>
      <c r="AO104" s="59">
        <f t="shared" si="90"/>
        <v>335.2680289568774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95.089403481817257</v>
      </c>
      <c r="AV104" s="21">
        <f>EXP(-LN(2)/25)*AV103+(1-EXP(-LN(2)/25))/(LN(2)/25)*Calculateur!AQ104*Calculateur!AS104*VLOOKUP('Données projet'!$B$10,Paramètres!$A$1:$I$89,3,0)*0.475*44/12</f>
        <v>6.5651845871747829</v>
      </c>
      <c r="AW104" s="21">
        <f>EXP(-LN(2)/2)*AW103+(1-EXP(-LN(2)/2))/(LN(2)/2)*AQ104*AT104*VLOOKUP('Données projet'!$B$10,Paramètres!$A$1:$I$89,3,0)*0.475*44/12</f>
        <v>7.9135316665748559E-12</v>
      </c>
      <c r="AX104" s="21">
        <f t="shared" si="60"/>
        <v>101.65458806899996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6.6</v>
      </c>
      <c r="BD104" s="12">
        <f>IF('Données projet'!$A$88&gt;35,BD103+BC104-BL103,IF(A104&lt;'Données projet'!$A$88,$BA$205^A104,IF(A104='Données projet'!$A$88,'Données projet'!$B$88,BD103+BC104-BL103)))</f>
        <v>382.59999999999991</v>
      </c>
      <c r="BE104" s="13">
        <f>BD104*VLOOKUP('Données projet'!$B$11,Paramètres!$A$1:$I$89,3,0)*VLOOKUP('Données projet'!$B$11,Paramètres!$A$1:$I$89,5,0)</f>
        <v>328.27079999999995</v>
      </c>
      <c r="BF104" s="13">
        <f t="shared" si="91"/>
        <v>77.071690347038668</v>
      </c>
      <c r="BG104" s="20">
        <f t="shared" si="61"/>
        <v>705.97150402109219</v>
      </c>
      <c r="BH104" s="59">
        <f t="shared" si="62"/>
        <v>999.30483735442544</v>
      </c>
      <c r="BI104" s="59">
        <f ca="1">AVERAGE(OFFSET($BH$3,0,0,'Données projet'!$E$11+1,1))-AVERAGE(OFFSET($H$3,0,0,'Données projet'!$E$11+1,1))</f>
        <v>352.61091660077574</v>
      </c>
      <c r="BJ104" s="59">
        <f t="shared" si="92"/>
        <v>186.48649111821521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105.29541075804229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105.29541075804229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266.99999999999983</v>
      </c>
      <c r="BZ104" s="13">
        <f>BY104*VLOOKUP('Données projet'!$B$12,Paramètres!$A$1:$I$89,3,0)*VLOOKUP('Données projet'!$B$12,Paramètres!$A$1:$I$89,5,0)</f>
        <v>212.42519999999985</v>
      </c>
      <c r="CA104" s="13">
        <f t="shared" si="93"/>
        <v>52.465198231787184</v>
      </c>
      <c r="CB104" s="20">
        <f t="shared" si="64"/>
        <v>461.35077692036231</v>
      </c>
      <c r="CC104" s="59">
        <f t="shared" si="65"/>
        <v>754.68411025369562</v>
      </c>
      <c r="CD104" s="59">
        <f ca="1">AVERAGE(OFFSET($CC$3,0,0,'Données projet'!$E$12+1,1))-AVERAGE(OFFSET($H$3,0,0,'Données projet'!$E$12+1,1))</f>
        <v>225.2323446080772</v>
      </c>
      <c r="CE104" s="59">
        <f t="shared" si="94"/>
        <v>222.29030402759292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28.624597672490331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28.624597672490331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213.00000000000003</v>
      </c>
      <c r="CU104" s="17">
        <f>CT104*VLOOKUP('Données projet'!$B$13,Paramètres!$A$1:$I$89,3,0)*VLOOKUP('Données projet'!$B$13,Paramètres!$A$1:$I$89,5,0)</f>
        <v>206.01360000000005</v>
      </c>
      <c r="CV104" s="13">
        <f t="shared" si="95"/>
        <v>51.063487709141484</v>
      </c>
      <c r="CW104" s="20">
        <f t="shared" si="67"/>
        <v>447.74259442675481</v>
      </c>
      <c r="CX104" s="59">
        <f t="shared" si="68"/>
        <v>741.07592776008812</v>
      </c>
      <c r="CY104" s="59">
        <f ca="1">AVERAGE(OFFSET($CX$3,0,0,'Données projet'!$E$13+1,1))-AVERAGE(OFFSET($H$3,0,0,'Données projet'!$E$13+1,1))</f>
        <v>212.32823943192528</v>
      </c>
      <c r="CZ104" s="59">
        <f t="shared" si="96"/>
        <v>209.60834138503003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21.811793996860214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21.811793996860214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285.99999999999972</v>
      </c>
      <c r="DP104" s="17">
        <f>DO104*VLOOKUP('Données projet'!$B$14,Paramètres!$A$1:$I$89,3,0)*VLOOKUP('Données projet'!$B$14,Paramètres!$A$1:$I$89,5,0)</f>
        <v>223.07999999999979</v>
      </c>
      <c r="DQ104" s="13">
        <f t="shared" si="97"/>
        <v>54.783765878062617</v>
      </c>
      <c r="DR104" s="20">
        <f t="shared" si="70"/>
        <v>483.94605890429199</v>
      </c>
      <c r="DS104" s="59">
        <f t="shared" si="71"/>
        <v>777.2793922376253</v>
      </c>
      <c r="DT104" s="59">
        <f ca="1">AVERAGE(OFFSET($DS$3,0,0,'Données projet'!$E$14+1,1))-AVERAGE(OFFSET($H$3,0,0,'Données projet'!$E$14+1,1))</f>
        <v>215.84581110302656</v>
      </c>
      <c r="DU104" s="59">
        <f t="shared" si="98"/>
        <v>193.88588526156104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31.753388713706364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31.753388713706364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6">
        <f t="shared" si="56"/>
        <v>403.81291167039103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401</v>
      </c>
      <c r="O105" s="13">
        <f>N105*VLOOKUP('Données projet'!$B$9,Paramètres!$A$1:$I$89,3,0)*VLOOKUP('Données projet'!$B$9,Paramètres!$A$1:$I$89,5,0)</f>
        <v>250.22399999999999</v>
      </c>
      <c r="P105" s="13">
        <f t="shared" si="87"/>
        <v>60.633904580527918</v>
      </c>
      <c r="Q105" s="20">
        <f t="shared" si="107"/>
        <v>541.41085047775289</v>
      </c>
      <c r="R105" s="59">
        <f t="shared" si="55"/>
        <v>834.74418381108626</v>
      </c>
      <c r="S105" s="59">
        <f ca="1">AVERAGE(OFFSET($R$3,0,0,'Données projet'!$E$9+1,1))-AVERAGE(OFFSET($H$3,0,0,'Données projet'!$E$9+1,1))</f>
        <v>269.77739619445515</v>
      </c>
      <c r="T105" s="59">
        <f t="shared" si="88"/>
        <v>347.56964743629885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33.33266366069477</v>
      </c>
      <c r="AA105" s="21">
        <f>EXP(-LN(2)/25)*AA104+(1-EXP(-LN(2)/25))/(LN(2)/25)*Calculateur!V105*Calculateur!X105*VLOOKUP('Données projet'!$B$9,Paramètres!$A$1:$I$89,3,0)*0.475*44/12</f>
        <v>12.462429796117766</v>
      </c>
      <c r="AB105" s="21">
        <f>EXP(-LN(2)/2)*AB104+(1-EXP(-LN(2)/2))/(LN(2)/2)*V105*Y105*VLOOKUP('Données projet'!$B$9,Paramètres!$A$1:$I$89,3,0)*0.475*44/12</f>
        <v>3.614455057975553E-13</v>
      </c>
      <c r="AC105" s="22">
        <f t="shared" si="57"/>
        <v>45.7950934568129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789</v>
      </c>
      <c r="AJ105" s="13">
        <f>AI105*VLOOKUP('Données projet'!$B$10,Paramètres!$A$1:$I$89,3,0)*VLOOKUP('Données projet'!$B$10,Paramètres!$A$1:$I$89,5,0)</f>
        <v>389.76600000000002</v>
      </c>
      <c r="AK105" s="13">
        <f t="shared" si="89"/>
        <v>89.698759503620408</v>
      </c>
      <c r="AL105" s="20">
        <f t="shared" si="58"/>
        <v>835.06778946880547</v>
      </c>
      <c r="AM105" s="59">
        <f t="shared" si="59"/>
        <v>1128.4011228021388</v>
      </c>
      <c r="AN105" s="59">
        <f ca="1">AVERAGE(OFFSET($AM$3,0,0,'Données projet'!$E$10+1,1))-AVERAGE(OFFSET($H$3,0,0,'Données projet'!$E$10+1,1))</f>
        <v>396.27049617044378</v>
      </c>
      <c r="AO105" s="59">
        <f t="shared" si="90"/>
        <v>335.2680289568774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93.224758278348034</v>
      </c>
      <c r="AV105" s="21">
        <f>EXP(-LN(2)/25)*AV104+(1-EXP(-LN(2)/25))/(LN(2)/25)*Calculateur!AQ105*Calculateur!AS105*VLOOKUP('Données projet'!$B$10,Paramètres!$A$1:$I$89,3,0)*0.475*44/12</f>
        <v>6.3856592693904357</v>
      </c>
      <c r="AW105" s="21">
        <f>EXP(-LN(2)/2)*AW104+(1-EXP(-LN(2)/2))/(LN(2)/2)*AQ105*AT105*VLOOKUP('Données projet'!$B$10,Paramètres!$A$1:$I$89,3,0)*0.475*44/12</f>
        <v>5.5957119045695615E-12</v>
      </c>
      <c r="AX105" s="21">
        <f t="shared" si="60"/>
        <v>99.610417547744063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6.6</v>
      </c>
      <c r="BD105" s="12">
        <f>IF('Données projet'!$A$88&gt;35,BD104+BC105-BL104,IF(A105&lt;'Données projet'!$A$88,$BA$205^A105,IF(A105='Données projet'!$A$88,'Données projet'!$B$88,BD104+BC105-BL104)))</f>
        <v>389.19999999999993</v>
      </c>
      <c r="BE105" s="13">
        <f>BD105*VLOOKUP('Données projet'!$B$11,Paramètres!$A$1:$I$89,3,0)*VLOOKUP('Données projet'!$B$11,Paramètres!$A$1:$I$89,5,0)</f>
        <v>333.93359999999996</v>
      </c>
      <c r="BF105" s="13">
        <f t="shared" si="91"/>
        <v>78.245279532276854</v>
      </c>
      <c r="BG105" s="20">
        <f t="shared" si="61"/>
        <v>717.87821518538203</v>
      </c>
      <c r="BH105" s="59">
        <f t="shared" si="62"/>
        <v>1011.2115485187153</v>
      </c>
      <c r="BI105" s="59">
        <f ca="1">AVERAGE(OFFSET($BH$3,0,0,'Données projet'!$E$11+1,1))-AVERAGE(OFFSET($H$3,0,0,'Données projet'!$E$11+1,1))</f>
        <v>352.61091660077574</v>
      </c>
      <c r="BJ105" s="59">
        <f t="shared" si="92"/>
        <v>186.48649111821521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103.23063197693607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103.23063197693607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266.99999999999983</v>
      </c>
      <c r="BZ105" s="13">
        <f>BY105*VLOOKUP('Données projet'!$B$12,Paramètres!$A$1:$I$89,3,0)*VLOOKUP('Données projet'!$B$12,Paramètres!$A$1:$I$89,5,0)</f>
        <v>212.42519999999985</v>
      </c>
      <c r="CA105" s="13">
        <f t="shared" si="93"/>
        <v>52.465198231787184</v>
      </c>
      <c r="CB105" s="20">
        <f t="shared" si="64"/>
        <v>461.35077692036231</v>
      </c>
      <c r="CC105" s="59">
        <f t="shared" si="65"/>
        <v>754.68411025369562</v>
      </c>
      <c r="CD105" s="59">
        <f ca="1">AVERAGE(OFFSET($CC$3,0,0,'Données projet'!$E$12+1,1))-AVERAGE(OFFSET($H$3,0,0,'Données projet'!$E$12+1,1))</f>
        <v>225.2323446080772</v>
      </c>
      <c r="CE105" s="59">
        <f t="shared" si="94"/>
        <v>222.29030402759292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28.063286771413416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28.063286771413416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213.00000000000003</v>
      </c>
      <c r="CU105" s="17">
        <f>CT105*VLOOKUP('Données projet'!$B$13,Paramètres!$A$1:$I$89,3,0)*VLOOKUP('Données projet'!$B$13,Paramètres!$A$1:$I$89,5,0)</f>
        <v>206.01360000000005</v>
      </c>
      <c r="CV105" s="13">
        <f t="shared" si="95"/>
        <v>51.063487709141484</v>
      </c>
      <c r="CW105" s="20">
        <f t="shared" si="67"/>
        <v>447.74259442675481</v>
      </c>
      <c r="CX105" s="59">
        <f t="shared" si="68"/>
        <v>741.07592776008812</v>
      </c>
      <c r="CY105" s="59">
        <f ca="1">AVERAGE(OFFSET($CX$3,0,0,'Données projet'!$E$13+1,1))-AVERAGE(OFFSET($H$3,0,0,'Données projet'!$E$13+1,1))</f>
        <v>212.32823943192528</v>
      </c>
      <c r="CZ105" s="59">
        <f t="shared" si="96"/>
        <v>209.60834138503003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21.384078020462475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21.384078020462475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285.99999999999972</v>
      </c>
      <c r="DP105" s="17">
        <f>DO105*VLOOKUP('Données projet'!$B$14,Paramètres!$A$1:$I$89,3,0)*VLOOKUP('Données projet'!$B$14,Paramètres!$A$1:$I$89,5,0)</f>
        <v>223.07999999999979</v>
      </c>
      <c r="DQ105" s="13">
        <f t="shared" si="97"/>
        <v>54.783765878062617</v>
      </c>
      <c r="DR105" s="20">
        <f t="shared" si="70"/>
        <v>483.94605890429199</v>
      </c>
      <c r="DS105" s="59">
        <f t="shared" si="71"/>
        <v>777.2793922376253</v>
      </c>
      <c r="DT105" s="59">
        <f ca="1">AVERAGE(OFFSET($DS$3,0,0,'Données projet'!$E$14+1,1))-AVERAGE(OFFSET($H$3,0,0,'Données projet'!$E$14+1,1))</f>
        <v>215.84581110302656</v>
      </c>
      <c r="DU105" s="59">
        <f t="shared" si="98"/>
        <v>193.88588526156104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31.130724128685301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31.130724128685301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6">
        <f t="shared" si="56"/>
        <v>404.8673579556679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401</v>
      </c>
      <c r="O106" s="13">
        <f>N106*VLOOKUP('Données projet'!$B$9,Paramètres!$A$1:$I$89,3,0)*VLOOKUP('Données projet'!$B$9,Paramètres!$A$1:$I$89,5,0)</f>
        <v>250.22399999999999</v>
      </c>
      <c r="P106" s="13">
        <f t="shared" si="87"/>
        <v>60.633904580527918</v>
      </c>
      <c r="Q106" s="20">
        <f t="shared" si="107"/>
        <v>541.41085047775289</v>
      </c>
      <c r="R106" s="59">
        <f t="shared" si="55"/>
        <v>834.74418381108626</v>
      </c>
      <c r="S106" s="59">
        <f ca="1">AVERAGE(OFFSET($R$3,0,0,'Données projet'!$E$9+1,1))-AVERAGE(OFFSET($H$3,0,0,'Données projet'!$E$9+1,1))</f>
        <v>269.77739619445515</v>
      </c>
      <c r="T106" s="59">
        <f t="shared" si="88"/>
        <v>347.56964743629885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32.679030457225871</v>
      </c>
      <c r="AA106" s="21">
        <f>EXP(-LN(2)/25)*AA105+(1-EXP(-LN(2)/25))/(LN(2)/25)*Calculateur!V106*Calculateur!X106*VLOOKUP('Données projet'!$B$9,Paramètres!$A$1:$I$89,3,0)*0.475*44/12</f>
        <v>12.121643997972226</v>
      </c>
      <c r="AB106" s="21">
        <f>EXP(-LN(2)/2)*AB105+(1-EXP(-LN(2)/2))/(LN(2)/2)*V106*Y106*VLOOKUP('Données projet'!$B$9,Paramètres!$A$1:$I$89,3,0)*0.475*44/12</f>
        <v>2.5558056817885292E-13</v>
      </c>
      <c r="AC106" s="22">
        <f t="shared" si="57"/>
        <v>44.800674455198354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789</v>
      </c>
      <c r="AJ106" s="13">
        <f>AI106*VLOOKUP('Données projet'!$B$10,Paramètres!$A$1:$I$89,3,0)*VLOOKUP('Données projet'!$B$10,Paramètres!$A$1:$I$89,5,0)</f>
        <v>389.76600000000002</v>
      </c>
      <c r="AK106" s="13">
        <f t="shared" si="89"/>
        <v>89.698759503620408</v>
      </c>
      <c r="AL106" s="20">
        <f t="shared" si="58"/>
        <v>835.06778946880547</v>
      </c>
      <c r="AM106" s="59">
        <f t="shared" si="59"/>
        <v>1128.4011228021388</v>
      </c>
      <c r="AN106" s="59">
        <f ca="1">AVERAGE(OFFSET($AM$3,0,0,'Données projet'!$E$10+1,1))-AVERAGE(OFFSET($H$3,0,0,'Données projet'!$E$10+1,1))</f>
        <v>396.27049617044378</v>
      </c>
      <c r="AO106" s="59">
        <f t="shared" si="90"/>
        <v>335.2680289568774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91.396677629997569</v>
      </c>
      <c r="AV106" s="21">
        <f>EXP(-LN(2)/25)*AV105+(1-EXP(-LN(2)/25))/(LN(2)/25)*Calculateur!AQ106*Calculateur!AS106*VLOOKUP('Données projet'!$B$10,Paramètres!$A$1:$I$89,3,0)*0.475*44/12</f>
        <v>6.2110430808617281</v>
      </c>
      <c r="AW106" s="21">
        <f>EXP(-LN(2)/2)*AW105+(1-EXP(-LN(2)/2))/(LN(2)/2)*AQ106*AT106*VLOOKUP('Données projet'!$B$10,Paramètres!$A$1:$I$89,3,0)*0.475*44/12</f>
        <v>3.956765833287428E-12</v>
      </c>
      <c r="AX106" s="21">
        <f t="shared" si="60"/>
        <v>97.607720710863248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6.6</v>
      </c>
      <c r="BD106" s="12">
        <f>IF('Données projet'!$A$88&gt;35,BD105+BC106-BL105,IF(A106&lt;'Données projet'!$A$88,$BA$205^A106,IF(A106='Données projet'!$A$88,'Données projet'!$B$88,BD105+BC106-BL105)))</f>
        <v>395.79999999999995</v>
      </c>
      <c r="BE106" s="13">
        <f>BD106*VLOOKUP('Données projet'!$B$11,Paramètres!$A$1:$I$89,3,0)*VLOOKUP('Données projet'!$B$11,Paramètres!$A$1:$I$89,5,0)</f>
        <v>339.59640000000002</v>
      </c>
      <c r="BF106" s="13">
        <f t="shared" si="91"/>
        <v>79.416554343021332</v>
      </c>
      <c r="BG106" s="20">
        <f t="shared" si="61"/>
        <v>729.7808954807623</v>
      </c>
      <c r="BH106" s="59">
        <f t="shared" si="62"/>
        <v>1023.1142288140957</v>
      </c>
      <c r="BI106" s="59">
        <f ca="1">AVERAGE(OFFSET($BH$3,0,0,'Données projet'!$E$11+1,1))-AVERAGE(OFFSET($H$3,0,0,'Données projet'!$E$11+1,1))</f>
        <v>352.61091660077574</v>
      </c>
      <c r="BJ106" s="59">
        <f t="shared" si="92"/>
        <v>186.48649111821521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101.20634224833663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101.20634224833663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266.99999999999983</v>
      </c>
      <c r="BZ106" s="13">
        <f>BY106*VLOOKUP('Données projet'!$B$12,Paramètres!$A$1:$I$89,3,0)*VLOOKUP('Données projet'!$B$12,Paramètres!$A$1:$I$89,5,0)</f>
        <v>212.42519999999985</v>
      </c>
      <c r="CA106" s="13">
        <f t="shared" si="93"/>
        <v>52.465198231787184</v>
      </c>
      <c r="CB106" s="20">
        <f t="shared" si="64"/>
        <v>461.35077692036231</v>
      </c>
      <c r="CC106" s="59">
        <f t="shared" si="65"/>
        <v>754.68411025369562</v>
      </c>
      <c r="CD106" s="59">
        <f ca="1">AVERAGE(OFFSET($CC$3,0,0,'Données projet'!$E$12+1,1))-AVERAGE(OFFSET($H$3,0,0,'Données projet'!$E$12+1,1))</f>
        <v>225.2323446080772</v>
      </c>
      <c r="CE106" s="59">
        <f t="shared" si="94"/>
        <v>222.29030402759292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27.512982834740775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27.512982834740775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213.00000000000003</v>
      </c>
      <c r="CU106" s="17">
        <f>CT106*VLOOKUP('Données projet'!$B$13,Paramètres!$A$1:$I$89,3,0)*VLOOKUP('Données projet'!$B$13,Paramètres!$A$1:$I$89,5,0)</f>
        <v>206.01360000000005</v>
      </c>
      <c r="CV106" s="13">
        <f t="shared" si="95"/>
        <v>51.063487709141484</v>
      </c>
      <c r="CW106" s="20">
        <f t="shared" si="67"/>
        <v>447.74259442675481</v>
      </c>
      <c r="CX106" s="59">
        <f t="shared" si="68"/>
        <v>741.07592776008812</v>
      </c>
      <c r="CY106" s="59">
        <f ca="1">AVERAGE(OFFSET($CX$3,0,0,'Données projet'!$E$13+1,1))-AVERAGE(OFFSET($H$3,0,0,'Données projet'!$E$13+1,1))</f>
        <v>212.32823943192528</v>
      </c>
      <c r="CZ106" s="59">
        <f t="shared" si="96"/>
        <v>209.60834138503003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20.96474929348091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20.96474929348091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285.99999999999972</v>
      </c>
      <c r="DP106" s="17">
        <f>DO106*VLOOKUP('Données projet'!$B$14,Paramètres!$A$1:$I$89,3,0)*VLOOKUP('Données projet'!$B$14,Paramètres!$A$1:$I$89,5,0)</f>
        <v>223.07999999999979</v>
      </c>
      <c r="DQ106" s="13">
        <f t="shared" si="97"/>
        <v>54.783765878062617</v>
      </c>
      <c r="DR106" s="20">
        <f t="shared" si="70"/>
        <v>483.94605890429199</v>
      </c>
      <c r="DS106" s="59">
        <f t="shared" si="71"/>
        <v>777.2793922376253</v>
      </c>
      <c r="DT106" s="59">
        <f ca="1">AVERAGE(OFFSET($DS$3,0,0,'Données projet'!$E$14+1,1))-AVERAGE(OFFSET($H$3,0,0,'Données projet'!$E$14+1,1))</f>
        <v>215.84581110302656</v>
      </c>
      <c r="DU106" s="59">
        <f t="shared" si="98"/>
        <v>193.88588526156104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30.520269616388607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30.520269616388607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6">
        <f t="shared" si="56"/>
        <v>405.92155947794635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401</v>
      </c>
      <c r="O107" s="13">
        <f>N107*VLOOKUP('Données projet'!$B$9,Paramètres!$A$1:$I$89,3,0)*VLOOKUP('Données projet'!$B$9,Paramètres!$A$1:$I$89,5,0)</f>
        <v>250.22399999999999</v>
      </c>
      <c r="P107" s="13">
        <f t="shared" si="87"/>
        <v>60.633904580527918</v>
      </c>
      <c r="Q107" s="20">
        <f t="shared" si="107"/>
        <v>541.41085047775289</v>
      </c>
      <c r="R107" s="59">
        <f t="shared" si="55"/>
        <v>834.74418381108626</v>
      </c>
      <c r="S107" s="59">
        <f ca="1">AVERAGE(OFFSET($R$3,0,0,'Données projet'!$E$9+1,1))-AVERAGE(OFFSET($H$3,0,0,'Données projet'!$E$9+1,1))</f>
        <v>269.77739619445515</v>
      </c>
      <c r="T107" s="59">
        <f t="shared" si="88"/>
        <v>347.56964743629885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32.038214602200107</v>
      </c>
      <c r="AA107" s="21">
        <f>EXP(-LN(2)/25)*AA106+(1-EXP(-LN(2)/25))/(LN(2)/25)*Calculateur!V107*Calculateur!X107*VLOOKUP('Données projet'!$B$9,Paramètres!$A$1:$I$89,3,0)*0.475*44/12</f>
        <v>11.790177005398123</v>
      </c>
      <c r="AB107" s="21">
        <f>EXP(-LN(2)/2)*AB106+(1-EXP(-LN(2)/2))/(LN(2)/2)*V107*Y107*VLOOKUP('Données projet'!$B$9,Paramètres!$A$1:$I$89,3,0)*0.475*44/12</f>
        <v>1.8072275289877765E-13</v>
      </c>
      <c r="AC107" s="22">
        <f t="shared" si="57"/>
        <v>43.828391607598405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789</v>
      </c>
      <c r="AJ107" s="13">
        <f>AI107*VLOOKUP('Données projet'!$B$10,Paramètres!$A$1:$I$89,3,0)*VLOOKUP('Données projet'!$B$10,Paramètres!$A$1:$I$89,5,0)</f>
        <v>389.76600000000002</v>
      </c>
      <c r="AK107" s="13">
        <f t="shared" si="89"/>
        <v>89.698759503620408</v>
      </c>
      <c r="AL107" s="20">
        <f t="shared" si="58"/>
        <v>835.06778946880547</v>
      </c>
      <c r="AM107" s="59">
        <f t="shared" si="59"/>
        <v>1128.4011228021388</v>
      </c>
      <c r="AN107" s="59">
        <f ca="1">AVERAGE(OFFSET($AM$3,0,0,'Données projet'!$E$10+1,1))-AVERAGE(OFFSET($H$3,0,0,'Données projet'!$E$10+1,1))</f>
        <v>396.27049617044378</v>
      </c>
      <c r="AO107" s="59">
        <f t="shared" si="90"/>
        <v>335.2680289568774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89.604444528142167</v>
      </c>
      <c r="AV107" s="21">
        <f>EXP(-LN(2)/25)*AV106+(1-EXP(-LN(2)/25))/(LN(2)/25)*Calculateur!AQ107*Calculateur!AS107*VLOOKUP('Données projet'!$B$10,Paramètres!$A$1:$I$89,3,0)*0.475*44/12</f>
        <v>6.0412017811910044</v>
      </c>
      <c r="AW107" s="21">
        <f>EXP(-LN(2)/2)*AW106+(1-EXP(-LN(2)/2))/(LN(2)/2)*AQ107*AT107*VLOOKUP('Données projet'!$B$10,Paramètres!$A$1:$I$89,3,0)*0.475*44/12</f>
        <v>2.7978559522847807E-12</v>
      </c>
      <c r="AX107" s="21">
        <f t="shared" si="60"/>
        <v>95.645646309335973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6.6</v>
      </c>
      <c r="BD107" s="12">
        <f>IF('Données projet'!$A$88&gt;35,BD106+BC107-BL106,IF(A107&lt;'Données projet'!$A$88,$BA$205^A107,IF(A107='Données projet'!$A$88,'Données projet'!$B$88,BD106+BC107-BL106)))</f>
        <v>402.4</v>
      </c>
      <c r="BE107" s="13">
        <f>BD107*VLOOKUP('Données projet'!$B$11,Paramètres!$A$1:$I$89,3,0)*VLOOKUP('Données projet'!$B$11,Paramètres!$A$1:$I$89,5,0)</f>
        <v>345.25920000000002</v>
      </c>
      <c r="BF107" s="13">
        <f t="shared" si="91"/>
        <v>80.585557826060622</v>
      </c>
      <c r="BG107" s="20">
        <f t="shared" si="61"/>
        <v>741.67961988038894</v>
      </c>
      <c r="BH107" s="59">
        <f t="shared" si="62"/>
        <v>1035.0129532137223</v>
      </c>
      <c r="BI107" s="59">
        <f ca="1">AVERAGE(OFFSET($BH$3,0,0,'Données projet'!$E$11+1,1))-AVERAGE(OFFSET($H$3,0,0,'Données projet'!$E$11+1,1))</f>
        <v>352.61091660077574</v>
      </c>
      <c r="BJ107" s="59">
        <f t="shared" si="92"/>
        <v>186.48649111821521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99.221747606620212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99.221747606620212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266.99999999999983</v>
      </c>
      <c r="BZ107" s="13">
        <f>BY107*VLOOKUP('Données projet'!$B$12,Paramètres!$A$1:$I$89,3,0)*VLOOKUP('Données projet'!$B$12,Paramètres!$A$1:$I$89,5,0)</f>
        <v>212.42519999999985</v>
      </c>
      <c r="CA107" s="13">
        <f t="shared" si="93"/>
        <v>52.465198231787184</v>
      </c>
      <c r="CB107" s="20">
        <f t="shared" si="64"/>
        <v>461.35077692036231</v>
      </c>
      <c r="CC107" s="59">
        <f t="shared" si="65"/>
        <v>754.68411025369562</v>
      </c>
      <c r="CD107" s="59">
        <f ca="1">AVERAGE(OFFSET($CC$3,0,0,'Données projet'!$E$12+1,1))-AVERAGE(OFFSET($H$3,0,0,'Données projet'!$E$12+1,1))</f>
        <v>225.2323446080772</v>
      </c>
      <c r="CE107" s="59">
        <f t="shared" si="94"/>
        <v>222.29030402759292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26.973470022614027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26.973470022614027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213.00000000000003</v>
      </c>
      <c r="CU107" s="17">
        <f>CT107*VLOOKUP('Données projet'!$B$13,Paramètres!$A$1:$I$89,3,0)*VLOOKUP('Données projet'!$B$13,Paramètres!$A$1:$I$89,5,0)</f>
        <v>206.01360000000005</v>
      </c>
      <c r="CV107" s="13">
        <f t="shared" si="95"/>
        <v>51.063487709141484</v>
      </c>
      <c r="CW107" s="20">
        <f t="shared" si="67"/>
        <v>447.74259442675481</v>
      </c>
      <c r="CX107" s="59">
        <f t="shared" si="68"/>
        <v>741.07592776008812</v>
      </c>
      <c r="CY107" s="59">
        <f ca="1">AVERAGE(OFFSET($CX$3,0,0,'Données projet'!$E$13+1,1))-AVERAGE(OFFSET($H$3,0,0,'Données projet'!$E$13+1,1))</f>
        <v>212.32823943192528</v>
      </c>
      <c r="CZ107" s="59">
        <f t="shared" si="96"/>
        <v>209.60834138503003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20.553643347070185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20.553643347070185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285.99999999999972</v>
      </c>
      <c r="DP107" s="17">
        <f>DO107*VLOOKUP('Données projet'!$B$14,Paramètres!$A$1:$I$89,3,0)*VLOOKUP('Données projet'!$B$14,Paramètres!$A$1:$I$89,5,0)</f>
        <v>223.07999999999979</v>
      </c>
      <c r="DQ107" s="13">
        <f t="shared" si="97"/>
        <v>54.783765878062617</v>
      </c>
      <c r="DR107" s="20">
        <f t="shared" si="70"/>
        <v>483.94605890429199</v>
      </c>
      <c r="DS107" s="59">
        <f t="shared" si="71"/>
        <v>777.2793922376253</v>
      </c>
      <c r="DT107" s="59">
        <f ca="1">AVERAGE(OFFSET($DS$3,0,0,'Données projet'!$E$14+1,1))-AVERAGE(OFFSET($H$3,0,0,'Données projet'!$E$14+1,1))</f>
        <v>215.84581110302656</v>
      </c>
      <c r="DU107" s="59">
        <f t="shared" si="98"/>
        <v>193.88588526156104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29.921785744737562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29.921785744737562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6">
        <f t="shared" si="56"/>
        <v>406.9755188632746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401</v>
      </c>
      <c r="O108" s="13">
        <f>N108*VLOOKUP('Données projet'!$B$9,Paramètres!$A$1:$I$89,3,0)*VLOOKUP('Données projet'!$B$9,Paramètres!$A$1:$I$89,5,0)</f>
        <v>250.22399999999999</v>
      </c>
      <c r="P108" s="13">
        <f t="shared" si="87"/>
        <v>60.633904580527918</v>
      </c>
      <c r="Q108" s="20">
        <f t="shared" si="107"/>
        <v>541.41085047775289</v>
      </c>
      <c r="R108" s="59">
        <f t="shared" si="55"/>
        <v>834.74418381108626</v>
      </c>
      <c r="S108" s="59">
        <f ca="1">AVERAGE(OFFSET($R$3,0,0,'Données projet'!$E$9+1,1))-AVERAGE(OFFSET($H$3,0,0,'Données projet'!$E$9+1,1))</f>
        <v>269.77739619445515</v>
      </c>
      <c r="T108" s="59">
        <f t="shared" si="88"/>
        <v>347.56964743629885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31.40996475523232</v>
      </c>
      <c r="AA108" s="21">
        <f>EXP(-LN(2)/25)*AA107+(1-EXP(-LN(2)/25))/(LN(2)/25)*Calculateur!V108*Calculateur!X108*VLOOKUP('Données projet'!$B$9,Paramètres!$A$1:$I$89,3,0)*0.475*44/12</f>
        <v>11.467773995167049</v>
      </c>
      <c r="AB108" s="21">
        <f>EXP(-LN(2)/2)*AB107+(1-EXP(-LN(2)/2))/(LN(2)/2)*V108*Y108*VLOOKUP('Données projet'!$B$9,Paramètres!$A$1:$I$89,3,0)*0.475*44/12</f>
        <v>1.2779028408942646E-13</v>
      </c>
      <c r="AC108" s="22">
        <f t="shared" si="57"/>
        <v>42.877738750399494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789</v>
      </c>
      <c r="AJ108" s="13">
        <f>AI108*VLOOKUP('Données projet'!$B$10,Paramètres!$A$1:$I$89,3,0)*VLOOKUP('Données projet'!$B$10,Paramètres!$A$1:$I$89,5,0)</f>
        <v>389.76600000000002</v>
      </c>
      <c r="AK108" s="13">
        <f t="shared" si="89"/>
        <v>89.698759503620408</v>
      </c>
      <c r="AL108" s="20">
        <f t="shared" si="58"/>
        <v>835.06778946880547</v>
      </c>
      <c r="AM108" s="59">
        <f t="shared" si="59"/>
        <v>1128.4011228021388</v>
      </c>
      <c r="AN108" s="59">
        <f ca="1">AVERAGE(OFFSET($AM$3,0,0,'Données projet'!$E$10+1,1))-AVERAGE(OFFSET($H$3,0,0,'Données projet'!$E$10+1,1))</f>
        <v>396.27049617044378</v>
      </c>
      <c r="AO108" s="59">
        <f t="shared" si="90"/>
        <v>335.2680289568774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87.847356024259895</v>
      </c>
      <c r="AV108" s="21">
        <f>EXP(-LN(2)/25)*AV107+(1-EXP(-LN(2)/25))/(LN(2)/25)*Calculateur!AQ108*Calculateur!AS108*VLOOKUP('Données projet'!$B$10,Paramètres!$A$1:$I$89,3,0)*0.475*44/12</f>
        <v>5.8760048007913417</v>
      </c>
      <c r="AW108" s="21">
        <f>EXP(-LN(2)/2)*AW107+(1-EXP(-LN(2)/2))/(LN(2)/2)*AQ108*AT108*VLOOKUP('Données projet'!$B$10,Paramètres!$A$1:$I$89,3,0)*0.475*44/12</f>
        <v>1.978382916643714E-12</v>
      </c>
      <c r="AX108" s="21">
        <f t="shared" si="60"/>
        <v>93.723360825053206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>
        <f>VLOOKUP(A108,'Données projet'!$A$87:$I$107,2,0)</f>
        <v>409</v>
      </c>
      <c r="BB108" s="12">
        <f>VLOOKUP(A108,'Données projet'!$A$87:$I$107,9,0)</f>
        <v>6.6</v>
      </c>
      <c r="BC108" s="12">
        <f t="array" ref="BC108">INDEX(BB:BB,MIN(IF(ISNUMBER(BB108:BB304),ROW(BB108:BB304),"")))</f>
        <v>6.6</v>
      </c>
      <c r="BD108" s="12">
        <f>IF('Données projet'!$A$88&gt;35,BD107+BC108-BL107,IF(A108&lt;'Données projet'!$A$88,$BA$205^A108,IF(A108='Données projet'!$A$88,'Données projet'!$B$88,BD107+BC108-BL107)))</f>
        <v>409</v>
      </c>
      <c r="BE108" s="13">
        <f>BD108*VLOOKUP('Données projet'!$B$11,Paramètres!$A$1:$I$89,3,0)*VLOOKUP('Données projet'!$B$11,Paramètres!$A$1:$I$89,5,0)</f>
        <v>350.92200000000003</v>
      </c>
      <c r="BF108" s="13">
        <f t="shared" si="91"/>
        <v>81.752331535154511</v>
      </c>
      <c r="BG108" s="20">
        <f t="shared" si="61"/>
        <v>753.57446075706082</v>
      </c>
      <c r="BH108" s="59">
        <f t="shared" si="62"/>
        <v>1046.9077940903942</v>
      </c>
      <c r="BI108" s="59">
        <f ca="1">AVERAGE(OFFSET($BH$3,0,0,'Données projet'!$E$11+1,1))-AVERAGE(OFFSET($H$3,0,0,'Données projet'!$E$11+1,1))</f>
        <v>352.61091660077574</v>
      </c>
      <c r="BJ108" s="59">
        <f t="shared" si="92"/>
        <v>186.48649111821521</v>
      </c>
      <c r="BK108" s="15">
        <f>IF(ISNA(VLOOKUP(A108,'Données projet'!$A$87:$I$107,3,0)),0,VLOOKUP(A108,'Données projet'!$A$87:$I$107,3,0))</f>
        <v>17</v>
      </c>
      <c r="BL108" s="15">
        <f>IF(ISNA(VLOOKUP(A108,'Données projet'!$A$87:$I$107,4,0)),0,VLOOKUP(A108,'Données projet'!$A$87:$I$107,4,0))</f>
        <v>23</v>
      </c>
      <c r="BM108" s="16">
        <f>IF(ISNA(VLOOKUP(A108,'Données projet'!$A$87:$I$107,5,0)),0%,VLOOKUP(A108,'Données projet'!$A$87:$I$107,5,0)*VLOOKUP('Données projet'!$B$11,Paramètres!$A$1:$I$89,7,0))</f>
        <v>0.53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108.83820646428737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108.83820646428737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266.99999999999983</v>
      </c>
      <c r="BZ108" s="13">
        <f>BY108*VLOOKUP('Données projet'!$B$12,Paramètres!$A$1:$I$89,3,0)*VLOOKUP('Données projet'!$B$12,Paramètres!$A$1:$I$89,5,0)</f>
        <v>212.42519999999985</v>
      </c>
      <c r="CA108" s="13">
        <f t="shared" si="93"/>
        <v>52.465198231787184</v>
      </c>
      <c r="CB108" s="20">
        <f t="shared" si="64"/>
        <v>461.35077692036231</v>
      </c>
      <c r="CC108" s="59">
        <f t="shared" si="65"/>
        <v>754.68411025369562</v>
      </c>
      <c r="CD108" s="59">
        <f ca="1">AVERAGE(OFFSET($CC$3,0,0,'Données projet'!$E$12+1,1))-AVERAGE(OFFSET($H$3,0,0,'Données projet'!$E$12+1,1))</f>
        <v>225.2323446080772</v>
      </c>
      <c r="CE108" s="59">
        <f t="shared" si="94"/>
        <v>222.29030402759292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26.444536727662761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26.444536727662761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213.00000000000003</v>
      </c>
      <c r="CU108" s="17">
        <f>CT108*VLOOKUP('Données projet'!$B$13,Paramètres!$A$1:$I$89,3,0)*VLOOKUP('Données projet'!$B$13,Paramètres!$A$1:$I$89,5,0)</f>
        <v>206.01360000000005</v>
      </c>
      <c r="CV108" s="13">
        <f t="shared" si="95"/>
        <v>51.063487709141484</v>
      </c>
      <c r="CW108" s="20">
        <f t="shared" si="67"/>
        <v>447.74259442675481</v>
      </c>
      <c r="CX108" s="59">
        <f t="shared" si="68"/>
        <v>741.07592776008812</v>
      </c>
      <c r="CY108" s="59">
        <f ca="1">AVERAGE(OFFSET($CX$3,0,0,'Données projet'!$E$13+1,1))-AVERAGE(OFFSET($H$3,0,0,'Données projet'!$E$13+1,1))</f>
        <v>212.32823943192528</v>
      </c>
      <c r="CZ108" s="59">
        <f t="shared" si="96"/>
        <v>209.60834138503003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20.150598937518705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20.150598937518705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285.99999999999972</v>
      </c>
      <c r="DP108" s="17">
        <f>DO108*VLOOKUP('Données projet'!$B$14,Paramètres!$A$1:$I$89,3,0)*VLOOKUP('Données projet'!$B$14,Paramètres!$A$1:$I$89,5,0)</f>
        <v>223.07999999999979</v>
      </c>
      <c r="DQ108" s="13">
        <f t="shared" si="97"/>
        <v>54.783765878062617</v>
      </c>
      <c r="DR108" s="20">
        <f t="shared" si="70"/>
        <v>483.94605890429199</v>
      </c>
      <c r="DS108" s="59">
        <f t="shared" si="71"/>
        <v>777.2793922376253</v>
      </c>
      <c r="DT108" s="59">
        <f ca="1">AVERAGE(OFFSET($DS$3,0,0,'Données projet'!$E$14+1,1))-AVERAGE(OFFSET($H$3,0,0,'Données projet'!$E$14+1,1))</f>
        <v>215.84581110302656</v>
      </c>
      <c r="DU108" s="59">
        <f t="shared" si="98"/>
        <v>193.88588526156104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29.335037776770477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29.335037776770477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6">
        <f t="shared" si="56"/>
        <v>408.0292386847965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401</v>
      </c>
      <c r="O109" s="13">
        <f>N109*VLOOKUP('Données projet'!$B$9,Paramètres!$A$1:$I$89,3,0)*VLOOKUP('Données projet'!$B$9,Paramètres!$A$1:$I$89,5,0)</f>
        <v>250.22399999999999</v>
      </c>
      <c r="P109" s="13">
        <f t="shared" si="87"/>
        <v>60.633904580527918</v>
      </c>
      <c r="Q109" s="20">
        <f t="shared" si="107"/>
        <v>541.41085047775289</v>
      </c>
      <c r="R109" s="59">
        <f t="shared" si="55"/>
        <v>834.74418381108626</v>
      </c>
      <c r="S109" s="59">
        <f ca="1">AVERAGE(OFFSET($R$3,0,0,'Données projet'!$E$9+1,1))-AVERAGE(OFFSET($H$3,0,0,'Données projet'!$E$9+1,1))</f>
        <v>269.77739619445515</v>
      </c>
      <c r="T109" s="59">
        <f t="shared" si="88"/>
        <v>347.56964743629885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30.794034504569002</v>
      </c>
      <c r="AA109" s="21">
        <f>EXP(-LN(2)/25)*AA108+(1-EXP(-LN(2)/25))/(LN(2)/25)*Calculateur!V109*Calculateur!X109*VLOOKUP('Données projet'!$B$9,Paramètres!$A$1:$I$89,3,0)*0.475*44/12</f>
        <v>11.154187112205181</v>
      </c>
      <c r="AB109" s="21">
        <f>EXP(-LN(2)/2)*AB108+(1-EXP(-LN(2)/2))/(LN(2)/2)*V109*Y109*VLOOKUP('Données projet'!$B$9,Paramètres!$A$1:$I$89,3,0)*0.475*44/12</f>
        <v>9.0361376449388825E-14</v>
      </c>
      <c r="AC109" s="22">
        <f t="shared" si="57"/>
        <v>41.948221616774276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789</v>
      </c>
      <c r="AJ109" s="13">
        <f>AI109*VLOOKUP('Données projet'!$B$10,Paramètres!$A$1:$I$89,3,0)*VLOOKUP('Données projet'!$B$10,Paramètres!$A$1:$I$89,5,0)</f>
        <v>389.76600000000002</v>
      </c>
      <c r="AK109" s="13">
        <f t="shared" si="89"/>
        <v>89.698759503620408</v>
      </c>
      <c r="AL109" s="20">
        <f t="shared" si="58"/>
        <v>835.06778946880547</v>
      </c>
      <c r="AM109" s="59">
        <f t="shared" si="59"/>
        <v>1128.4011228021388</v>
      </c>
      <c r="AN109" s="59">
        <f ca="1">AVERAGE(OFFSET($AM$3,0,0,'Données projet'!$E$10+1,1))-AVERAGE(OFFSET($H$3,0,0,'Données projet'!$E$10+1,1))</f>
        <v>396.27049617044378</v>
      </c>
      <c r="AO109" s="59">
        <f t="shared" si="90"/>
        <v>335.2680289568774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86.124722954220587</v>
      </c>
      <c r="AV109" s="21">
        <f>EXP(-LN(2)/25)*AV108+(1-EXP(-LN(2)/25))/(LN(2)/25)*Calculateur!AQ109*Calculateur!AS109*VLOOKUP('Données projet'!$B$10,Paramètres!$A$1:$I$89,3,0)*0.475*44/12</f>
        <v>5.7153251405080399</v>
      </c>
      <c r="AW109" s="21">
        <f>EXP(-LN(2)/2)*AW108+(1-EXP(-LN(2)/2))/(LN(2)/2)*AQ109*AT109*VLOOKUP('Données projet'!$B$10,Paramètres!$A$1:$I$89,3,0)*0.475*44/12</f>
        <v>1.3989279761423904E-12</v>
      </c>
      <c r="AX109" s="21">
        <f t="shared" si="60"/>
        <v>91.840048094730022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6.4</v>
      </c>
      <c r="BD109" s="12">
        <f>IF('Données projet'!$A$88&gt;35,BD108+BC109-BL108,IF(A109&lt;'Données projet'!$A$88,$BA$205^A109,IF(A109='Données projet'!$A$88,'Données projet'!$B$88,BD108+BC109-BL108)))</f>
        <v>392.4</v>
      </c>
      <c r="BE109" s="13">
        <f>BD109*VLOOKUP('Données projet'!$B$11,Paramètres!$A$1:$I$89,3,0)*VLOOKUP('Données projet'!$B$11,Paramètres!$A$1:$I$89,5,0)</f>
        <v>336.67919999999998</v>
      </c>
      <c r="BF109" s="13">
        <f t="shared" si="91"/>
        <v>78.813456684086404</v>
      </c>
      <c r="BG109" s="20">
        <f t="shared" si="61"/>
        <v>723.64971039145041</v>
      </c>
      <c r="BH109" s="59">
        <f t="shared" si="62"/>
        <v>1016.9830437247838</v>
      </c>
      <c r="BI109" s="59">
        <f ca="1">AVERAGE(OFFSET($BH$3,0,0,'Données projet'!$E$11+1,1))-AVERAGE(OFFSET($H$3,0,0,'Données projet'!$E$11+1,1))</f>
        <v>352.61091660077574</v>
      </c>
      <c r="BJ109" s="59">
        <f t="shared" si="92"/>
        <v>186.48649111821521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106.70395562027369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106.70395562027369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266.99999999999983</v>
      </c>
      <c r="BZ109" s="13">
        <f>BY109*VLOOKUP('Données projet'!$B$12,Paramètres!$A$1:$I$89,3,0)*VLOOKUP('Données projet'!$B$12,Paramètres!$A$1:$I$89,5,0)</f>
        <v>212.42519999999985</v>
      </c>
      <c r="CA109" s="13">
        <f t="shared" si="93"/>
        <v>52.465198231787184</v>
      </c>
      <c r="CB109" s="20">
        <f t="shared" si="64"/>
        <v>461.35077692036231</v>
      </c>
      <c r="CC109" s="59">
        <f t="shared" si="65"/>
        <v>754.68411025369562</v>
      </c>
      <c r="CD109" s="59">
        <f ca="1">AVERAGE(OFFSET($CC$3,0,0,'Données projet'!$E$12+1,1))-AVERAGE(OFFSET($H$3,0,0,'Données projet'!$E$12+1,1))</f>
        <v>225.2323446080772</v>
      </c>
      <c r="CE109" s="59">
        <f t="shared" si="94"/>
        <v>222.29030402759292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25.925975492008035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25.925975492008035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213.00000000000003</v>
      </c>
      <c r="CU109" s="17">
        <f>CT109*VLOOKUP('Données projet'!$B$13,Paramètres!$A$1:$I$89,3,0)*VLOOKUP('Données projet'!$B$13,Paramètres!$A$1:$I$89,5,0)</f>
        <v>206.01360000000005</v>
      </c>
      <c r="CV109" s="13">
        <f t="shared" si="95"/>
        <v>51.063487709141484</v>
      </c>
      <c r="CW109" s="20">
        <f t="shared" si="67"/>
        <v>447.74259442675481</v>
      </c>
      <c r="CX109" s="59">
        <f t="shared" si="68"/>
        <v>741.07592776008812</v>
      </c>
      <c r="CY109" s="59">
        <f ca="1">AVERAGE(OFFSET($CX$3,0,0,'Données projet'!$E$13+1,1))-AVERAGE(OFFSET($H$3,0,0,'Données projet'!$E$13+1,1))</f>
        <v>212.32823943192528</v>
      </c>
      <c r="CZ109" s="59">
        <f t="shared" si="96"/>
        <v>209.60834138503003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19.755457983005712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19.755457983005712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285.99999999999972</v>
      </c>
      <c r="DP109" s="17">
        <f>DO109*VLOOKUP('Données projet'!$B$14,Paramètres!$A$1:$I$89,3,0)*VLOOKUP('Données projet'!$B$14,Paramètres!$A$1:$I$89,5,0)</f>
        <v>223.07999999999979</v>
      </c>
      <c r="DQ109" s="13">
        <f t="shared" si="97"/>
        <v>54.783765878062617</v>
      </c>
      <c r="DR109" s="20">
        <f t="shared" si="70"/>
        <v>483.94605890429199</v>
      </c>
      <c r="DS109" s="59">
        <f t="shared" si="71"/>
        <v>777.2793922376253</v>
      </c>
      <c r="DT109" s="59">
        <f ca="1">AVERAGE(OFFSET($DS$3,0,0,'Données projet'!$E$14+1,1))-AVERAGE(OFFSET($H$3,0,0,'Données projet'!$E$14+1,1))</f>
        <v>215.84581110302656</v>
      </c>
      <c r="DU109" s="59">
        <f t="shared" si="98"/>
        <v>193.88588526156104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28.759795578574305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28.759795578574305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6">
        <f t="shared" si="56"/>
        <v>409.08272146430653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401</v>
      </c>
      <c r="O110" s="13">
        <f>N110*VLOOKUP('Données projet'!$B$9,Paramètres!$A$1:$I$89,3,0)*VLOOKUP('Données projet'!$B$9,Paramètres!$A$1:$I$89,5,0)</f>
        <v>250.22399999999999</v>
      </c>
      <c r="P110" s="13">
        <f t="shared" si="87"/>
        <v>60.633904580527918</v>
      </c>
      <c r="Q110" s="20">
        <f t="shared" si="107"/>
        <v>541.41085047775289</v>
      </c>
      <c r="R110" s="59">
        <f t="shared" si="55"/>
        <v>834.74418381108626</v>
      </c>
      <c r="S110" s="59">
        <f ca="1">AVERAGE(OFFSET($R$3,0,0,'Données projet'!$E$9+1,1))-AVERAGE(OFFSET($H$3,0,0,'Données projet'!$E$9+1,1))</f>
        <v>269.77739619445515</v>
      </c>
      <c r="T110" s="59">
        <f t="shared" si="88"/>
        <v>347.56964743629885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30.190182270440832</v>
      </c>
      <c r="AA110" s="21">
        <f>EXP(-LN(2)/25)*AA109+(1-EXP(-LN(2)/25))/(LN(2)/25)*Calculateur!V110*Calculateur!X110*VLOOKUP('Données projet'!$B$9,Paramètres!$A$1:$I$89,3,0)*0.475*44/12</f>
        <v>10.849175279048723</v>
      </c>
      <c r="AB110" s="21">
        <f>EXP(-LN(2)/2)*AB109+(1-EXP(-LN(2)/2))/(LN(2)/2)*V110*Y110*VLOOKUP('Données projet'!$B$9,Paramètres!$A$1:$I$89,3,0)*0.475*44/12</f>
        <v>6.3895142044713231E-14</v>
      </c>
      <c r="AC110" s="22">
        <f t="shared" si="57"/>
        <v>41.039357549489615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789</v>
      </c>
      <c r="AJ110" s="13">
        <f>AI110*VLOOKUP('Données projet'!$B$10,Paramètres!$A$1:$I$89,3,0)*VLOOKUP('Données projet'!$B$10,Paramètres!$A$1:$I$89,5,0)</f>
        <v>389.76600000000002</v>
      </c>
      <c r="AK110" s="13">
        <f t="shared" si="89"/>
        <v>89.698759503620408</v>
      </c>
      <c r="AL110" s="20">
        <f t="shared" si="58"/>
        <v>835.06778946880547</v>
      </c>
      <c r="AM110" s="59">
        <f t="shared" si="59"/>
        <v>1128.4011228021388</v>
      </c>
      <c r="AN110" s="59">
        <f ca="1">AVERAGE(OFFSET($AM$3,0,0,'Données projet'!$E$10+1,1))-AVERAGE(OFFSET($H$3,0,0,'Données projet'!$E$10+1,1))</f>
        <v>396.27049617044378</v>
      </c>
      <c r="AO110" s="59">
        <f t="shared" si="90"/>
        <v>335.2680289568774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84.435869667982331</v>
      </c>
      <c r="AV110" s="21">
        <f>EXP(-LN(2)/25)*AV109+(1-EXP(-LN(2)/25))/(LN(2)/25)*Calculateur!AQ110*Calculateur!AS110*VLOOKUP('Données projet'!$B$10,Paramètres!$A$1:$I$89,3,0)*0.475*44/12</f>
        <v>5.5590392739849612</v>
      </c>
      <c r="AW110" s="21">
        <f>EXP(-LN(2)/2)*AW109+(1-EXP(-LN(2)/2))/(LN(2)/2)*AQ110*AT110*VLOOKUP('Données projet'!$B$10,Paramètres!$A$1:$I$89,3,0)*0.475*44/12</f>
        <v>9.8919145832185699E-13</v>
      </c>
      <c r="AX110" s="21">
        <f t="shared" si="60"/>
        <v>89.994908941968291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6.4</v>
      </c>
      <c r="BD110" s="12">
        <f>IF('Données projet'!$A$88&gt;35,BD109+BC110-BL109,IF(A110&lt;'Données projet'!$A$88,$BA$205^A110,IF(A110='Données projet'!$A$88,'Données projet'!$B$88,BD109+BC110-BL109)))</f>
        <v>398.79999999999995</v>
      </c>
      <c r="BE110" s="13">
        <f>BD110*VLOOKUP('Données projet'!$B$11,Paramètres!$A$1:$I$89,3,0)*VLOOKUP('Données projet'!$B$11,Paramètres!$A$1:$I$89,5,0)</f>
        <v>342.17040000000003</v>
      </c>
      <c r="BF110" s="13">
        <f t="shared" si="91"/>
        <v>79.948198600746707</v>
      </c>
      <c r="BG110" s="20">
        <f t="shared" si="61"/>
        <v>735.1898925629672</v>
      </c>
      <c r="BH110" s="59">
        <f t="shared" si="62"/>
        <v>1028.5232258963006</v>
      </c>
      <c r="BI110" s="59">
        <f ca="1">AVERAGE(OFFSET($BH$3,0,0,'Données projet'!$E$11+1,1))-AVERAGE(OFFSET($H$3,0,0,'Données projet'!$E$11+1,1))</f>
        <v>352.61091660077574</v>
      </c>
      <c r="BJ110" s="59">
        <f t="shared" si="92"/>
        <v>186.48649111821521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104.61155613354664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104.61155613354664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266.99999999999983</v>
      </c>
      <c r="BZ110" s="13">
        <f>BY110*VLOOKUP('Données projet'!$B$12,Paramètres!$A$1:$I$89,3,0)*VLOOKUP('Données projet'!$B$12,Paramètres!$A$1:$I$89,5,0)</f>
        <v>212.42519999999985</v>
      </c>
      <c r="CA110" s="13">
        <f t="shared" si="93"/>
        <v>52.465198231787184</v>
      </c>
      <c r="CB110" s="20">
        <f t="shared" si="64"/>
        <v>461.35077692036231</v>
      </c>
      <c r="CC110" s="59">
        <f t="shared" si="65"/>
        <v>754.68411025369562</v>
      </c>
      <c r="CD110" s="59">
        <f ca="1">AVERAGE(OFFSET($CC$3,0,0,'Données projet'!$E$12+1,1))-AVERAGE(OFFSET($H$3,0,0,'Données projet'!$E$12+1,1))</f>
        <v>225.2323446080772</v>
      </c>
      <c r="CE110" s="59">
        <f t="shared" si="94"/>
        <v>222.29030402759292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25.417582925893377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25.417582925893377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213.00000000000003</v>
      </c>
      <c r="CU110" s="17">
        <f>CT110*VLOOKUP('Données projet'!$B$13,Paramètres!$A$1:$I$89,3,0)*VLOOKUP('Données projet'!$B$13,Paramètres!$A$1:$I$89,5,0)</f>
        <v>206.01360000000005</v>
      </c>
      <c r="CV110" s="13">
        <f t="shared" si="95"/>
        <v>51.063487709141484</v>
      </c>
      <c r="CW110" s="20">
        <f t="shared" si="67"/>
        <v>447.74259442675481</v>
      </c>
      <c r="CX110" s="59">
        <f t="shared" si="68"/>
        <v>741.07592776008812</v>
      </c>
      <c r="CY110" s="59">
        <f ca="1">AVERAGE(OFFSET($CX$3,0,0,'Données projet'!$E$13+1,1))-AVERAGE(OFFSET($H$3,0,0,'Données projet'!$E$13+1,1))</f>
        <v>212.32823943192528</v>
      </c>
      <c r="CZ110" s="59">
        <f t="shared" si="96"/>
        <v>209.60834138503003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19.368065501598537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19.368065501598537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285.99999999999972</v>
      </c>
      <c r="DP110" s="17">
        <f>DO110*VLOOKUP('Données projet'!$B$14,Paramètres!$A$1:$I$89,3,0)*VLOOKUP('Données projet'!$B$14,Paramètres!$A$1:$I$89,5,0)</f>
        <v>223.07999999999979</v>
      </c>
      <c r="DQ110" s="13">
        <f t="shared" si="97"/>
        <v>54.783765878062617</v>
      </c>
      <c r="DR110" s="20">
        <f t="shared" si="70"/>
        <v>483.94605890429199</v>
      </c>
      <c r="DS110" s="59">
        <f t="shared" si="71"/>
        <v>777.2793922376253</v>
      </c>
      <c r="DT110" s="59">
        <f ca="1">AVERAGE(OFFSET($DS$3,0,0,'Données projet'!$E$14+1,1))-AVERAGE(OFFSET($H$3,0,0,'Données projet'!$E$14+1,1))</f>
        <v>215.84581110302656</v>
      </c>
      <c r="DU110" s="59">
        <f t="shared" si="98"/>
        <v>193.88588526156104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28.195833529021662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28.195833529021662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6">
        <f t="shared" si="56"/>
        <v>410.13596967374428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401</v>
      </c>
      <c r="O111" s="13">
        <f>N111*VLOOKUP('Données projet'!$B$9,Paramètres!$A$1:$I$89,3,0)*VLOOKUP('Données projet'!$B$9,Paramètres!$A$1:$I$89,5,0)</f>
        <v>250.22399999999999</v>
      </c>
      <c r="P111" s="13">
        <f t="shared" si="87"/>
        <v>60.633904580527918</v>
      </c>
      <c r="Q111" s="20">
        <f t="shared" si="107"/>
        <v>541.41085047775289</v>
      </c>
      <c r="R111" s="59">
        <f t="shared" si="55"/>
        <v>834.74418381108626</v>
      </c>
      <c r="S111" s="59">
        <f ca="1">AVERAGE(OFFSET($R$3,0,0,'Données projet'!$E$9+1,1))-AVERAGE(OFFSET($H$3,0,0,'Données projet'!$E$9+1,1))</f>
        <v>269.77739619445515</v>
      </c>
      <c r="T111" s="59">
        <f t="shared" si="88"/>
        <v>347.56964743629885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29.598171210310422</v>
      </c>
      <c r="AA111" s="21">
        <f>EXP(-LN(2)/25)*AA110+(1-EXP(-LN(2)/25))/(LN(2)/25)*Calculateur!V111*Calculateur!X111*VLOOKUP('Données projet'!$B$9,Paramètres!$A$1:$I$89,3,0)*0.475*44/12</f>
        <v>10.552504010509804</v>
      </c>
      <c r="AB111" s="21">
        <f>EXP(-LN(2)/2)*AB110+(1-EXP(-LN(2)/2))/(LN(2)/2)*V111*Y111*VLOOKUP('Données projet'!$B$9,Paramètres!$A$1:$I$89,3,0)*0.475*44/12</f>
        <v>4.5180688224694412E-14</v>
      </c>
      <c r="AC111" s="22">
        <f t="shared" si="57"/>
        <v>40.150675220820268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789</v>
      </c>
      <c r="AJ111" s="13">
        <f>AI111*VLOOKUP('Données projet'!$B$10,Paramètres!$A$1:$I$89,3,0)*VLOOKUP('Données projet'!$B$10,Paramètres!$A$1:$I$89,5,0)</f>
        <v>389.76600000000002</v>
      </c>
      <c r="AK111" s="13">
        <f t="shared" si="89"/>
        <v>89.698759503620408</v>
      </c>
      <c r="AL111" s="20">
        <f t="shared" si="58"/>
        <v>835.06778946880547</v>
      </c>
      <c r="AM111" s="59">
        <f t="shared" si="59"/>
        <v>1128.4011228021388</v>
      </c>
      <c r="AN111" s="59">
        <f ca="1">AVERAGE(OFFSET($AM$3,0,0,'Données projet'!$E$10+1,1))-AVERAGE(OFFSET($H$3,0,0,'Données projet'!$E$10+1,1))</f>
        <v>396.27049617044378</v>
      </c>
      <c r="AO111" s="59">
        <f t="shared" si="90"/>
        <v>335.2680289568774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82.780133764588413</v>
      </c>
      <c r="AV111" s="21">
        <f>EXP(-LN(2)/25)*AV110+(1-EXP(-LN(2)/25))/(LN(2)/25)*Calculateur!AQ111*Calculateur!AS111*VLOOKUP('Données projet'!$B$10,Paramètres!$A$1:$I$89,3,0)*0.475*44/12</f>
        <v>5.4070270527006725</v>
      </c>
      <c r="AW111" s="21">
        <f>EXP(-LN(2)/2)*AW110+(1-EXP(-LN(2)/2))/(LN(2)/2)*AQ111*AT111*VLOOKUP('Données projet'!$B$10,Paramètres!$A$1:$I$89,3,0)*0.475*44/12</f>
        <v>6.9946398807119518E-13</v>
      </c>
      <c r="AX111" s="21">
        <f t="shared" si="60"/>
        <v>88.187160817289779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6.4</v>
      </c>
      <c r="BD111" s="12">
        <f>IF('Données projet'!$A$88&gt;35,BD110+BC111-BL110,IF(A111&lt;'Données projet'!$A$88,$BA$205^A111,IF(A111='Données projet'!$A$88,'Données projet'!$B$88,BD110+BC111-BL110)))</f>
        <v>405.19999999999993</v>
      </c>
      <c r="BE111" s="13">
        <f>BD111*VLOOKUP('Données projet'!$B$11,Paramètres!$A$1:$I$89,3,0)*VLOOKUP('Données projet'!$B$11,Paramètres!$A$1:$I$89,5,0)</f>
        <v>347.66159999999996</v>
      </c>
      <c r="BF111" s="13">
        <f t="shared" si="91"/>
        <v>81.080822697416465</v>
      </c>
      <c r="BG111" s="20">
        <f t="shared" si="61"/>
        <v>746.72638619800034</v>
      </c>
      <c r="BH111" s="59">
        <f t="shared" si="62"/>
        <v>1040.0597195313337</v>
      </c>
      <c r="BI111" s="59">
        <f ca="1">AVERAGE(OFFSET($BH$3,0,0,'Données projet'!$E$11+1,1))-AVERAGE(OFFSET($H$3,0,0,'Données projet'!$E$11+1,1))</f>
        <v>352.61091660077574</v>
      </c>
      <c r="BJ111" s="59">
        <f t="shared" si="92"/>
        <v>186.48649111821521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102.56018732451665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102.56018732451665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266.99999999999983</v>
      </c>
      <c r="BZ111" s="13">
        <f>BY111*VLOOKUP('Données projet'!$B$12,Paramètres!$A$1:$I$89,3,0)*VLOOKUP('Données projet'!$B$12,Paramètres!$A$1:$I$89,5,0)</f>
        <v>212.42519999999985</v>
      </c>
      <c r="CA111" s="13">
        <f t="shared" si="93"/>
        <v>52.465198231787184</v>
      </c>
      <c r="CB111" s="20">
        <f t="shared" si="64"/>
        <v>461.35077692036231</v>
      </c>
      <c r="CC111" s="59">
        <f t="shared" si="65"/>
        <v>754.68411025369562</v>
      </c>
      <c r="CD111" s="59">
        <f ca="1">AVERAGE(OFFSET($CC$3,0,0,'Données projet'!$E$12+1,1))-AVERAGE(OFFSET($H$3,0,0,'Données projet'!$E$12+1,1))</f>
        <v>225.2323446080772</v>
      </c>
      <c r="CE111" s="59">
        <f t="shared" si="94"/>
        <v>222.29030402759292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24.91915962791138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24.91915962791138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213.00000000000003</v>
      </c>
      <c r="CU111" s="17">
        <f>CT111*VLOOKUP('Données projet'!$B$13,Paramètres!$A$1:$I$89,3,0)*VLOOKUP('Données projet'!$B$13,Paramètres!$A$1:$I$89,5,0)</f>
        <v>206.01360000000005</v>
      </c>
      <c r="CV111" s="13">
        <f t="shared" si="95"/>
        <v>51.063487709141484</v>
      </c>
      <c r="CW111" s="20">
        <f t="shared" si="67"/>
        <v>447.74259442675481</v>
      </c>
      <c r="CX111" s="59">
        <f t="shared" si="68"/>
        <v>741.07592776008812</v>
      </c>
      <c r="CY111" s="59">
        <f ca="1">AVERAGE(OFFSET($CX$3,0,0,'Données projet'!$E$13+1,1))-AVERAGE(OFFSET($H$3,0,0,'Données projet'!$E$13+1,1))</f>
        <v>212.32823943192528</v>
      </c>
      <c r="CZ111" s="59">
        <f t="shared" si="96"/>
        <v>209.60834138503003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18.988269550465674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18.988269550465674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285.99999999999972</v>
      </c>
      <c r="DP111" s="17">
        <f>DO111*VLOOKUP('Données projet'!$B$14,Paramètres!$A$1:$I$89,3,0)*VLOOKUP('Données projet'!$B$14,Paramètres!$A$1:$I$89,5,0)</f>
        <v>223.07999999999979</v>
      </c>
      <c r="DQ111" s="13">
        <f t="shared" si="97"/>
        <v>54.783765878062617</v>
      </c>
      <c r="DR111" s="20">
        <f t="shared" si="70"/>
        <v>483.94605890429199</v>
      </c>
      <c r="DS111" s="59">
        <f t="shared" si="71"/>
        <v>777.2793922376253</v>
      </c>
      <c r="DT111" s="59">
        <f ca="1">AVERAGE(OFFSET($DS$3,0,0,'Données projet'!$E$14+1,1))-AVERAGE(OFFSET($H$3,0,0,'Données projet'!$E$14+1,1))</f>
        <v>215.84581110302656</v>
      </c>
      <c r="DU111" s="59">
        <f t="shared" si="98"/>
        <v>193.88588526156104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27.642930431277861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27.642930431277861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6">
        <f t="shared" si="56"/>
        <v>411.18898573663273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401</v>
      </c>
      <c r="O112" s="13">
        <f>N112*VLOOKUP('Données projet'!$B$9,Paramètres!$A$1:$I$89,3,0)*VLOOKUP('Données projet'!$B$9,Paramètres!$A$1:$I$89,5,0)</f>
        <v>250.22399999999999</v>
      </c>
      <c r="P112" s="13">
        <f t="shared" si="87"/>
        <v>60.633904580527918</v>
      </c>
      <c r="Q112" s="20">
        <f t="shared" si="107"/>
        <v>541.41085047775289</v>
      </c>
      <c r="R112" s="59">
        <f t="shared" si="55"/>
        <v>834.74418381108626</v>
      </c>
      <c r="S112" s="59">
        <f ca="1">AVERAGE(OFFSET($R$3,0,0,'Données projet'!$E$9+1,1))-AVERAGE(OFFSET($H$3,0,0,'Données projet'!$E$9+1,1))</f>
        <v>269.77739619445515</v>
      </c>
      <c r="T112" s="59">
        <f t="shared" si="88"/>
        <v>347.56964743629885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29.017769125978077</v>
      </c>
      <c r="AA112" s="21">
        <f>EXP(-LN(2)/25)*AA111+(1-EXP(-LN(2)/25))/(LN(2)/25)*Calculateur!V112*Calculateur!X112*VLOOKUP('Données projet'!$B$9,Paramètres!$A$1:$I$89,3,0)*0.475*44/12</f>
        <v>10.263945233410345</v>
      </c>
      <c r="AB112" s="21">
        <f>EXP(-LN(2)/2)*AB111+(1-EXP(-LN(2)/2))/(LN(2)/2)*V112*Y112*VLOOKUP('Données projet'!$B$9,Paramètres!$A$1:$I$89,3,0)*0.475*44/12</f>
        <v>3.1947571022356615E-14</v>
      </c>
      <c r="AC112" s="22">
        <f t="shared" si="57"/>
        <v>39.281714359388452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789</v>
      </c>
      <c r="AJ112" s="13">
        <f>AI112*VLOOKUP('Données projet'!$B$10,Paramètres!$A$1:$I$89,3,0)*VLOOKUP('Données projet'!$B$10,Paramètres!$A$1:$I$89,5,0)</f>
        <v>389.76600000000002</v>
      </c>
      <c r="AK112" s="13">
        <f t="shared" si="89"/>
        <v>89.698759503620408</v>
      </c>
      <c r="AL112" s="20">
        <f t="shared" si="58"/>
        <v>835.06778946880547</v>
      </c>
      <c r="AM112" s="59">
        <f t="shared" si="59"/>
        <v>1128.4011228021388</v>
      </c>
      <c r="AN112" s="59">
        <f ca="1">AVERAGE(OFFSET($AM$3,0,0,'Données projet'!$E$10+1,1))-AVERAGE(OFFSET($H$3,0,0,'Données projet'!$E$10+1,1))</f>
        <v>396.27049617044378</v>
      </c>
      <c r="AO112" s="59">
        <f t="shared" si="90"/>
        <v>335.2680289568774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81.156865832360864</v>
      </c>
      <c r="AV112" s="21">
        <f>EXP(-LN(2)/25)*AV111+(1-EXP(-LN(2)/25))/(LN(2)/25)*Calculateur!AQ112*Calculateur!AS112*VLOOKUP('Données projet'!$B$10,Paramètres!$A$1:$I$89,3,0)*0.475*44/12</f>
        <v>5.259171613601378</v>
      </c>
      <c r="AW112" s="21">
        <f>EXP(-LN(2)/2)*AW111+(1-EXP(-LN(2)/2))/(LN(2)/2)*AQ112*AT112*VLOOKUP('Données projet'!$B$10,Paramètres!$A$1:$I$89,3,0)*0.475*44/12</f>
        <v>4.945957291609285E-13</v>
      </c>
      <c r="AX112" s="21">
        <f t="shared" si="60"/>
        <v>86.416037445962743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6.4</v>
      </c>
      <c r="BD112" s="12">
        <f>IF('Données projet'!$A$88&gt;35,BD111+BC112-BL111,IF(A112&lt;'Données projet'!$A$88,$BA$205^A112,IF(A112='Données projet'!$A$88,'Données projet'!$B$88,BD111+BC112-BL111)))</f>
        <v>411.59999999999991</v>
      </c>
      <c r="BE112" s="13">
        <f>BD112*VLOOKUP('Données projet'!$B$11,Paramètres!$A$1:$I$89,3,0)*VLOOKUP('Données projet'!$B$11,Paramètres!$A$1:$I$89,5,0)</f>
        <v>353.15279999999996</v>
      </c>
      <c r="BF112" s="13">
        <f t="shared" si="91"/>
        <v>82.211366286790636</v>
      </c>
      <c r="BG112" s="20">
        <f t="shared" si="61"/>
        <v>758.25925628282687</v>
      </c>
      <c r="BH112" s="59">
        <f t="shared" si="62"/>
        <v>1051.5925896161602</v>
      </c>
      <c r="BI112" s="59">
        <f ca="1">AVERAGE(OFFSET($BH$3,0,0,'Données projet'!$E$11+1,1))-AVERAGE(OFFSET($H$3,0,0,'Données projet'!$E$11+1,1))</f>
        <v>352.61091660077574</v>
      </c>
      <c r="BJ112" s="59">
        <f t="shared" si="92"/>
        <v>186.48649111821521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100.5490446066203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100.5490446066203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266.99999999999983</v>
      </c>
      <c r="BZ112" s="13">
        <f>BY112*VLOOKUP('Données projet'!$B$12,Paramètres!$A$1:$I$89,3,0)*VLOOKUP('Données projet'!$B$12,Paramètres!$A$1:$I$89,5,0)</f>
        <v>212.42519999999985</v>
      </c>
      <c r="CA112" s="13">
        <f t="shared" si="93"/>
        <v>52.465198231787184</v>
      </c>
      <c r="CB112" s="20">
        <f t="shared" si="64"/>
        <v>461.35077692036231</v>
      </c>
      <c r="CC112" s="59">
        <f t="shared" si="65"/>
        <v>754.68411025369562</v>
      </c>
      <c r="CD112" s="59">
        <f ca="1">AVERAGE(OFFSET($CC$3,0,0,'Données projet'!$E$12+1,1))-AVERAGE(OFFSET($H$3,0,0,'Données projet'!$E$12+1,1))</f>
        <v>225.2323446080772</v>
      </c>
      <c r="CE112" s="59">
        <f t="shared" si="94"/>
        <v>222.29030402759292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24.430510106794618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24.430510106794618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213.00000000000003</v>
      </c>
      <c r="CU112" s="17">
        <f>CT112*VLOOKUP('Données projet'!$B$13,Paramètres!$A$1:$I$89,3,0)*VLOOKUP('Données projet'!$B$13,Paramètres!$A$1:$I$89,5,0)</f>
        <v>206.01360000000005</v>
      </c>
      <c r="CV112" s="13">
        <f t="shared" si="95"/>
        <v>51.063487709141484</v>
      </c>
      <c r="CW112" s="20">
        <f t="shared" si="67"/>
        <v>447.74259442675481</v>
      </c>
      <c r="CX112" s="59">
        <f t="shared" si="68"/>
        <v>741.07592776008812</v>
      </c>
      <c r="CY112" s="59">
        <f ca="1">AVERAGE(OFFSET($CX$3,0,0,'Données projet'!$E$13+1,1))-AVERAGE(OFFSET($H$3,0,0,'Données projet'!$E$13+1,1))</f>
        <v>212.32823943192528</v>
      </c>
      <c r="CZ112" s="59">
        <f t="shared" si="96"/>
        <v>209.60834138503003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18.615921166281868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18.615921166281868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285.99999999999972</v>
      </c>
      <c r="DP112" s="17">
        <f>DO112*VLOOKUP('Données projet'!$B$14,Paramètres!$A$1:$I$89,3,0)*VLOOKUP('Données projet'!$B$14,Paramètres!$A$1:$I$89,5,0)</f>
        <v>223.07999999999979</v>
      </c>
      <c r="DQ112" s="13">
        <f t="shared" si="97"/>
        <v>54.783765878062617</v>
      </c>
      <c r="DR112" s="20">
        <f t="shared" si="70"/>
        <v>483.94605890429199</v>
      </c>
      <c r="DS112" s="59">
        <f t="shared" si="71"/>
        <v>777.2793922376253</v>
      </c>
      <c r="DT112" s="59">
        <f ca="1">AVERAGE(OFFSET($DS$3,0,0,'Données projet'!$E$14+1,1))-AVERAGE(OFFSET($H$3,0,0,'Données projet'!$E$14+1,1))</f>
        <v>215.84581110302656</v>
      </c>
      <c r="DU112" s="59">
        <f t="shared" si="98"/>
        <v>193.88588526156104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27.100869426043229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27.100869426043229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6">
        <f t="shared" si="56"/>
        <v>412.2417720294614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401</v>
      </c>
      <c r="O113" s="13">
        <f>N113*VLOOKUP('Données projet'!$B$9,Paramètres!$A$1:$I$89,3,0)*VLOOKUP('Données projet'!$B$9,Paramètres!$A$1:$I$89,5,0)</f>
        <v>250.22399999999999</v>
      </c>
      <c r="P113" s="13">
        <f t="shared" si="87"/>
        <v>60.633904580527918</v>
      </c>
      <c r="Q113" s="20">
        <f t="shared" si="107"/>
        <v>541.41085047775289</v>
      </c>
      <c r="R113" s="59">
        <f t="shared" si="55"/>
        <v>834.74418381108626</v>
      </c>
      <c r="S113" s="59">
        <f ca="1">AVERAGE(OFFSET($R$3,0,0,'Données projet'!$E$9+1,1))-AVERAGE(OFFSET($H$3,0,0,'Données projet'!$E$9+1,1))</f>
        <v>269.77739619445515</v>
      </c>
      <c r="T113" s="59">
        <f t="shared" si="88"/>
        <v>347.56964743629885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28.448748372509172</v>
      </c>
      <c r="AA113" s="21">
        <f>EXP(-LN(2)/25)*AA112+(1-EXP(-LN(2)/25))/(LN(2)/25)*Calculateur!V113*Calculateur!X113*VLOOKUP('Données projet'!$B$9,Paramètres!$A$1:$I$89,3,0)*0.475*44/12</f>
        <v>9.983277111245318</v>
      </c>
      <c r="AB113" s="21">
        <f>EXP(-LN(2)/2)*AB112+(1-EXP(-LN(2)/2))/(LN(2)/2)*V113*Y113*VLOOKUP('Données projet'!$B$9,Paramètres!$A$1:$I$89,3,0)*0.475*44/12</f>
        <v>2.2590344112347206E-14</v>
      </c>
      <c r="AC113" s="22">
        <f t="shared" si="57"/>
        <v>38.432025483754508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789</v>
      </c>
      <c r="AJ113" s="13">
        <f>AI113*VLOOKUP('Données projet'!$B$10,Paramètres!$A$1:$I$89,3,0)*VLOOKUP('Données projet'!$B$10,Paramètres!$A$1:$I$89,5,0)</f>
        <v>389.76600000000002</v>
      </c>
      <c r="AK113" s="13">
        <f t="shared" si="89"/>
        <v>89.698759503620408</v>
      </c>
      <c r="AL113" s="20">
        <f t="shared" si="58"/>
        <v>835.06778946880547</v>
      </c>
      <c r="AM113" s="59">
        <f t="shared" si="59"/>
        <v>1128.4011228021388</v>
      </c>
      <c r="AN113" s="59">
        <f ca="1">AVERAGE(OFFSET($AM$3,0,0,'Données projet'!$E$10+1,1))-AVERAGE(OFFSET($H$3,0,0,'Données projet'!$E$10+1,1))</f>
        <v>396.27049617044378</v>
      </c>
      <c r="AO113" s="59">
        <f t="shared" si="90"/>
        <v>335.2680289568774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79.565429194188624</v>
      </c>
      <c r="AV113" s="21">
        <f>EXP(-LN(2)/25)*AV112+(1-EXP(-LN(2)/25))/(LN(2)/25)*Calculateur!AQ113*Calculateur!AS113*VLOOKUP('Données projet'!$B$10,Paramètres!$A$1:$I$89,3,0)*0.475*44/12</f>
        <v>5.1153592892596329</v>
      </c>
      <c r="AW113" s="21">
        <f>EXP(-LN(2)/2)*AW112+(1-EXP(-LN(2)/2))/(LN(2)/2)*AQ113*AT113*VLOOKUP('Données projet'!$B$10,Paramètres!$A$1:$I$89,3,0)*0.475*44/12</f>
        <v>3.4973199403559759E-13</v>
      </c>
      <c r="AX113" s="21">
        <f t="shared" si="60"/>
        <v>84.680788483448609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418</v>
      </c>
      <c r="BB113" s="12">
        <f>VLOOKUP(A113,'Données projet'!$A$87:$I$107,9,0)</f>
        <v>6.4</v>
      </c>
      <c r="BC113" s="12">
        <f t="array" ref="BC113">INDEX(BB:BB,MIN(IF(ISNUMBER(BB113:BB309),ROW(BB113:BB309),"")))</f>
        <v>6.4</v>
      </c>
      <c r="BD113" s="12">
        <f>IF('Données projet'!$A$88&gt;35,BD112+BC113-BL112,IF(A113&lt;'Données projet'!$A$88,$BA$205^A113,IF(A113='Données projet'!$A$88,'Données projet'!$B$88,BD112+BC113-BL112)))</f>
        <v>417.99999999999989</v>
      </c>
      <c r="BE113" s="13">
        <f>BD113*VLOOKUP('Données projet'!$B$11,Paramètres!$A$1:$I$89,3,0)*VLOOKUP('Données projet'!$B$11,Paramètres!$A$1:$I$89,5,0)</f>
        <v>358.64399999999995</v>
      </c>
      <c r="BF113" s="13">
        <f t="shared" si="91"/>
        <v>83.339865454638698</v>
      </c>
      <c r="BG113" s="20">
        <f t="shared" si="61"/>
        <v>769.78856566682896</v>
      </c>
      <c r="BH113" s="59">
        <f t="shared" si="62"/>
        <v>1063.1218990001623</v>
      </c>
      <c r="BI113" s="59">
        <f ca="1">AVERAGE(OFFSET($BH$3,0,0,'Données projet'!$E$11+1,1))-AVERAGE(OFFSET($H$3,0,0,'Données projet'!$E$11+1,1))</f>
        <v>352.61091660077574</v>
      </c>
      <c r="BJ113" s="59">
        <f t="shared" si="92"/>
        <v>186.48649111821521</v>
      </c>
      <c r="BK113" s="15">
        <f>IF(ISNA(VLOOKUP(A113,'Données projet'!$A$87:$I$107,3,0)),0,VLOOKUP(A113,'Données projet'!$A$87:$I$107,3,0))</f>
        <v>18</v>
      </c>
      <c r="BL113" s="15">
        <f>IF(ISNA(VLOOKUP(A113,'Données projet'!$A$87:$I$107,4,0)),0,VLOOKUP(A113,'Données projet'!$A$87:$I$107,4,0))</f>
        <v>22</v>
      </c>
      <c r="BM113" s="16">
        <f>IF(ISNA(VLOOKUP(A113,'Données projet'!$A$87:$I$107,5,0)),0%,VLOOKUP(A113,'Données projet'!$A$87:$I$107,5,0)*VLOOKUP('Données projet'!$B$11,Paramètres!$A$1:$I$89,7,0))</f>
        <v>0.53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109.63677437929987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109.63677437929987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266.99999999999983</v>
      </c>
      <c r="BZ113" s="13">
        <f>BY113*VLOOKUP('Données projet'!$B$12,Paramètres!$A$1:$I$89,3,0)*VLOOKUP('Données projet'!$B$12,Paramètres!$A$1:$I$89,5,0)</f>
        <v>212.42519999999985</v>
      </c>
      <c r="CA113" s="13">
        <f t="shared" si="93"/>
        <v>52.465198231787184</v>
      </c>
      <c r="CB113" s="20">
        <f t="shared" si="64"/>
        <v>461.35077692036231</v>
      </c>
      <c r="CC113" s="59">
        <f t="shared" si="65"/>
        <v>754.68411025369562</v>
      </c>
      <c r="CD113" s="59">
        <f ca="1">AVERAGE(OFFSET($CC$3,0,0,'Données projet'!$E$12+1,1))-AVERAGE(OFFSET($H$3,0,0,'Données projet'!$E$12+1,1))</f>
        <v>225.2323446080772</v>
      </c>
      <c r="CE113" s="59">
        <f t="shared" si="94"/>
        <v>222.29030402759292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23.951442704740174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23.951442704740174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213.00000000000003</v>
      </c>
      <c r="CU113" s="17">
        <f>CT113*VLOOKUP('Données projet'!$B$13,Paramètres!$A$1:$I$89,3,0)*VLOOKUP('Données projet'!$B$13,Paramètres!$A$1:$I$89,5,0)</f>
        <v>206.01360000000005</v>
      </c>
      <c r="CV113" s="13">
        <f t="shared" si="95"/>
        <v>51.063487709141484</v>
      </c>
      <c r="CW113" s="20">
        <f t="shared" si="67"/>
        <v>447.74259442675481</v>
      </c>
      <c r="CX113" s="59">
        <f t="shared" si="68"/>
        <v>741.07592776008812</v>
      </c>
      <c r="CY113" s="59">
        <f ca="1">AVERAGE(OFFSET($CX$3,0,0,'Données projet'!$E$13+1,1))-AVERAGE(OFFSET($H$3,0,0,'Données projet'!$E$13+1,1))</f>
        <v>212.32823943192528</v>
      </c>
      <c r="CZ113" s="59">
        <f t="shared" si="96"/>
        <v>209.60834138503003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18.250874306801819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18.250874306801819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285.99999999999972</v>
      </c>
      <c r="DP113" s="17">
        <f>DO113*VLOOKUP('Données projet'!$B$14,Paramètres!$A$1:$I$89,3,0)*VLOOKUP('Données projet'!$B$14,Paramètres!$A$1:$I$89,5,0)</f>
        <v>223.07999999999979</v>
      </c>
      <c r="DQ113" s="13">
        <f t="shared" si="97"/>
        <v>54.783765878062617</v>
      </c>
      <c r="DR113" s="20">
        <f t="shared" si="70"/>
        <v>483.94605890429199</v>
      </c>
      <c r="DS113" s="59">
        <f t="shared" si="71"/>
        <v>777.2793922376253</v>
      </c>
      <c r="DT113" s="59">
        <f ca="1">AVERAGE(OFFSET($DS$3,0,0,'Données projet'!$E$14+1,1))-AVERAGE(OFFSET($H$3,0,0,'Données projet'!$E$14+1,1))</f>
        <v>215.84581110302656</v>
      </c>
      <c r="DU113" s="59">
        <f t="shared" si="98"/>
        <v>193.88588526156104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26.569437906496677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26.569437906496677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6">
        <f t="shared" si="56"/>
        <v>413.29433088301869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401</v>
      </c>
      <c r="O114" s="13">
        <f>N114*VLOOKUP('Données projet'!$B$9,Paramètres!$A$1:$I$89,3,0)*VLOOKUP('Données projet'!$B$9,Paramètres!$A$1:$I$89,5,0)</f>
        <v>250.22399999999999</v>
      </c>
      <c r="P114" s="13">
        <f t="shared" si="87"/>
        <v>60.633904580527918</v>
      </c>
      <c r="Q114" s="20">
        <f t="shared" si="107"/>
        <v>541.41085047775289</v>
      </c>
      <c r="R114" s="59">
        <f t="shared" si="55"/>
        <v>834.74418381108626</v>
      </c>
      <c r="S114" s="59">
        <f ca="1">AVERAGE(OFFSET($R$3,0,0,'Données projet'!$E$9+1,1))-AVERAGE(OFFSET($H$3,0,0,'Données projet'!$E$9+1,1))</f>
        <v>269.77739619445515</v>
      </c>
      <c r="T114" s="59">
        <f t="shared" si="88"/>
        <v>347.56964743629885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27.890885768947406</v>
      </c>
      <c r="AA114" s="21">
        <f>EXP(-LN(2)/25)*AA113+(1-EXP(-LN(2)/25))/(LN(2)/25)*Calculateur!V114*Calculateur!X114*VLOOKUP('Données projet'!$B$9,Paramètres!$A$1:$I$89,3,0)*0.475*44/12</f>
        <v>9.7102838736405879</v>
      </c>
      <c r="AB114" s="21">
        <f>EXP(-LN(2)/2)*AB113+(1-EXP(-LN(2)/2))/(LN(2)/2)*V114*Y114*VLOOKUP('Données projet'!$B$9,Paramètres!$A$1:$I$89,3,0)*0.475*44/12</f>
        <v>1.5973785511178308E-14</v>
      </c>
      <c r="AC114" s="22">
        <f t="shared" si="57"/>
        <v>37.601169642588005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789</v>
      </c>
      <c r="AJ114" s="13">
        <f>AI114*VLOOKUP('Données projet'!$B$10,Paramètres!$A$1:$I$89,3,0)*VLOOKUP('Données projet'!$B$10,Paramètres!$A$1:$I$89,5,0)</f>
        <v>389.76600000000002</v>
      </c>
      <c r="AK114" s="13">
        <f t="shared" si="89"/>
        <v>89.698759503620408</v>
      </c>
      <c r="AL114" s="20">
        <f t="shared" si="58"/>
        <v>835.06778946880547</v>
      </c>
      <c r="AM114" s="59">
        <f t="shared" si="59"/>
        <v>1128.4011228021388</v>
      </c>
      <c r="AN114" s="59">
        <f ca="1">AVERAGE(OFFSET($AM$3,0,0,'Données projet'!$E$10+1,1))-AVERAGE(OFFSET($H$3,0,0,'Données projet'!$E$10+1,1))</f>
        <v>396.27049617044378</v>
      </c>
      <c r="AO114" s="59">
        <f t="shared" si="90"/>
        <v>335.2680289568774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78.005199657810437</v>
      </c>
      <c r="AV114" s="21">
        <f>EXP(-LN(2)/25)*AV113+(1-EXP(-LN(2)/25))/(LN(2)/25)*Calculateur!AQ114*Calculateur!AS114*VLOOKUP('Données projet'!$B$10,Paramètres!$A$1:$I$89,3,0)*0.475*44/12</f>
        <v>4.9754795204897748</v>
      </c>
      <c r="AW114" s="21">
        <f>EXP(-LN(2)/2)*AW113+(1-EXP(-LN(2)/2))/(LN(2)/2)*AQ114*AT114*VLOOKUP('Données projet'!$B$10,Paramètres!$A$1:$I$89,3,0)*0.475*44/12</f>
        <v>2.4729786458046425E-13</v>
      </c>
      <c r="AX114" s="21">
        <f t="shared" si="60"/>
        <v>82.980679178300448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6</v>
      </c>
      <c r="BD114" s="12">
        <f>IF('Données projet'!$A$88&gt;35,BD113+BC114-BL113,IF(A114&lt;'Données projet'!$A$88,$BA$205^A114,IF(A114='Données projet'!$A$88,'Données projet'!$B$88,BD113+BC114-BL113)))</f>
        <v>401.99999999999989</v>
      </c>
      <c r="BE114" s="13">
        <f>BD114*VLOOKUP('Données projet'!$B$11,Paramètres!$A$1:$I$89,3,0)*VLOOKUP('Données projet'!$B$11,Paramètres!$A$1:$I$89,5,0)</f>
        <v>344.91599999999994</v>
      </c>
      <c r="BF114" s="13">
        <f t="shared" si="91"/>
        <v>80.51477301506921</v>
      </c>
      <c r="BG114" s="20">
        <f t="shared" si="61"/>
        <v>740.9585963345786</v>
      </c>
      <c r="BH114" s="59">
        <f t="shared" si="62"/>
        <v>1034.291929667912</v>
      </c>
      <c r="BI114" s="59">
        <f ca="1">AVERAGE(OFFSET($BH$3,0,0,'Données projet'!$E$11+1,1))-AVERAGE(OFFSET($H$3,0,0,'Données projet'!$E$11+1,1))</f>
        <v>352.61091660077574</v>
      </c>
      <c r="BJ114" s="59">
        <f t="shared" si="92"/>
        <v>186.48649111821521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107.48686410555112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107.48686410555112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266.99999999999983</v>
      </c>
      <c r="BZ114" s="13">
        <f>BY114*VLOOKUP('Données projet'!$B$12,Paramètres!$A$1:$I$89,3,0)*VLOOKUP('Données projet'!$B$12,Paramètres!$A$1:$I$89,5,0)</f>
        <v>212.42519999999985</v>
      </c>
      <c r="CA114" s="13">
        <f t="shared" si="93"/>
        <v>52.465198231787184</v>
      </c>
      <c r="CB114" s="20">
        <f t="shared" si="64"/>
        <v>461.35077692036231</v>
      </c>
      <c r="CC114" s="59">
        <f t="shared" si="65"/>
        <v>754.68411025369562</v>
      </c>
      <c r="CD114" s="59">
        <f ca="1">AVERAGE(OFFSET($CC$3,0,0,'Données projet'!$E$12+1,1))-AVERAGE(OFFSET($H$3,0,0,'Données projet'!$E$12+1,1))</f>
        <v>225.2323446080772</v>
      </c>
      <c r="CE114" s="59">
        <f t="shared" si="94"/>
        <v>222.29030402759292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23.481769522237755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23.481769522237755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213.00000000000003</v>
      </c>
      <c r="CU114" s="17">
        <f>CT114*VLOOKUP('Données projet'!$B$13,Paramètres!$A$1:$I$89,3,0)*VLOOKUP('Données projet'!$B$13,Paramètres!$A$1:$I$89,5,0)</f>
        <v>206.01360000000005</v>
      </c>
      <c r="CV114" s="13">
        <f t="shared" si="95"/>
        <v>51.063487709141484</v>
      </c>
      <c r="CW114" s="20">
        <f t="shared" si="67"/>
        <v>447.74259442675481</v>
      </c>
      <c r="CX114" s="59">
        <f t="shared" si="68"/>
        <v>741.07592776008812</v>
      </c>
      <c r="CY114" s="59">
        <f ca="1">AVERAGE(OFFSET($CX$3,0,0,'Données projet'!$E$13+1,1))-AVERAGE(OFFSET($H$3,0,0,'Données projet'!$E$13+1,1))</f>
        <v>212.32823943192528</v>
      </c>
      <c r="CZ114" s="59">
        <f t="shared" si="96"/>
        <v>209.60834138503003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17.892985793579577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17.892985793579577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285.99999999999972</v>
      </c>
      <c r="DP114" s="17">
        <f>DO114*VLOOKUP('Données projet'!$B$14,Paramètres!$A$1:$I$89,3,0)*VLOOKUP('Données projet'!$B$14,Paramètres!$A$1:$I$89,5,0)</f>
        <v>223.07999999999979</v>
      </c>
      <c r="DQ114" s="13">
        <f t="shared" si="97"/>
        <v>54.783765878062617</v>
      </c>
      <c r="DR114" s="20">
        <f t="shared" si="70"/>
        <v>483.94605890429199</v>
      </c>
      <c r="DS114" s="59">
        <f t="shared" si="71"/>
        <v>777.2793922376253</v>
      </c>
      <c r="DT114" s="59">
        <f ca="1">AVERAGE(OFFSET($DS$3,0,0,'Données projet'!$E$14+1,1))-AVERAGE(OFFSET($H$3,0,0,'Données projet'!$E$14+1,1))</f>
        <v>215.84581110302656</v>
      </c>
      <c r="DU114" s="59">
        <f t="shared" si="98"/>
        <v>193.88588526156104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26.048427434907214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26.048427434907214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6">
        <f t="shared" si="56"/>
        <v>414.34666458367406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401</v>
      </c>
      <c r="O115" s="13">
        <f>N115*VLOOKUP('Données projet'!$B$9,Paramètres!$A$1:$I$89,3,0)*VLOOKUP('Données projet'!$B$9,Paramètres!$A$1:$I$89,5,0)</f>
        <v>250.22399999999999</v>
      </c>
      <c r="P115" s="13">
        <f t="shared" si="87"/>
        <v>60.633904580527918</v>
      </c>
      <c r="Q115" s="20">
        <f t="shared" si="107"/>
        <v>541.41085047775289</v>
      </c>
      <c r="R115" s="59">
        <f t="shared" si="55"/>
        <v>834.74418381108626</v>
      </c>
      <c r="S115" s="59">
        <f ca="1">AVERAGE(OFFSET($R$3,0,0,'Données projet'!$E$9+1,1))-AVERAGE(OFFSET($H$3,0,0,'Données projet'!$E$9+1,1))</f>
        <v>269.77739619445515</v>
      </c>
      <c r="T115" s="59">
        <f t="shared" si="88"/>
        <v>347.56964743629885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27.343962510778894</v>
      </c>
      <c r="AA115" s="21">
        <f>EXP(-LN(2)/25)*AA114+(1-EXP(-LN(2)/25))/(LN(2)/25)*Calculateur!V115*Calculateur!X115*VLOOKUP('Données projet'!$B$9,Paramètres!$A$1:$I$89,3,0)*0.475*44/12</f>
        <v>9.4447556504742494</v>
      </c>
      <c r="AB115" s="21">
        <f>EXP(-LN(2)/2)*AB114+(1-EXP(-LN(2)/2))/(LN(2)/2)*V115*Y115*VLOOKUP('Données projet'!$B$9,Paramètres!$A$1:$I$89,3,0)*0.475*44/12</f>
        <v>1.1295172056173603E-14</v>
      </c>
      <c r="AC115" s="22">
        <f t="shared" si="57"/>
        <v>36.788718161253158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789</v>
      </c>
      <c r="AJ115" s="13">
        <f>AI115*VLOOKUP('Données projet'!$B$10,Paramètres!$A$1:$I$89,3,0)*VLOOKUP('Données projet'!$B$10,Paramètres!$A$1:$I$89,5,0)</f>
        <v>389.76600000000002</v>
      </c>
      <c r="AK115" s="13">
        <f t="shared" si="89"/>
        <v>89.698759503620408</v>
      </c>
      <c r="AL115" s="20">
        <f t="shared" si="58"/>
        <v>835.06778946880547</v>
      </c>
      <c r="AM115" s="59">
        <f t="shared" si="59"/>
        <v>1128.4011228021388</v>
      </c>
      <c r="AN115" s="59">
        <f ca="1">AVERAGE(OFFSET($AM$3,0,0,'Données projet'!$E$10+1,1))-AVERAGE(OFFSET($H$3,0,0,'Données projet'!$E$10+1,1))</f>
        <v>396.27049617044378</v>
      </c>
      <c r="AO115" s="59">
        <f t="shared" si="90"/>
        <v>335.2680289568774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76.475565270994579</v>
      </c>
      <c r="AV115" s="21">
        <f>EXP(-LN(2)/25)*AV114+(1-EXP(-LN(2)/25))/(LN(2)/25)*Calculateur!AQ115*Calculateur!AS115*VLOOKUP('Données projet'!$B$10,Paramètres!$A$1:$I$89,3,0)*0.475*44/12</f>
        <v>4.8394247713528857</v>
      </c>
      <c r="AW115" s="21">
        <f>EXP(-LN(2)/2)*AW114+(1-EXP(-LN(2)/2))/(LN(2)/2)*AQ115*AT115*VLOOKUP('Données projet'!$B$10,Paramètres!$A$1:$I$89,3,0)*0.475*44/12</f>
        <v>1.748659970177988E-13</v>
      </c>
      <c r="AX115" s="21">
        <f t="shared" si="60"/>
        <v>81.314990042347631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6</v>
      </c>
      <c r="BD115" s="12">
        <f>IF('Données projet'!$A$88&gt;35,BD114+BC115-BL114,IF(A115&lt;'Données projet'!$A$88,$BA$205^A115,IF(A115='Données projet'!$A$88,'Données projet'!$B$88,BD114+BC115-BL114)))</f>
        <v>407.99999999999989</v>
      </c>
      <c r="BE115" s="13">
        <f>BD115*VLOOKUP('Données projet'!$B$11,Paramètres!$A$1:$I$89,3,0)*VLOOKUP('Données projet'!$B$11,Paramètres!$A$1:$I$89,5,0)</f>
        <v>350.06399999999991</v>
      </c>
      <c r="BF115" s="13">
        <f t="shared" si="91"/>
        <v>81.575689362490522</v>
      </c>
      <c r="BG115" s="20">
        <f t="shared" si="61"/>
        <v>751.77245897300418</v>
      </c>
      <c r="BH115" s="59">
        <f t="shared" si="62"/>
        <v>1045.1057923063374</v>
      </c>
      <c r="BI115" s="59">
        <f ca="1">AVERAGE(OFFSET($BH$3,0,0,'Données projet'!$E$11+1,1))-AVERAGE(OFFSET($H$3,0,0,'Données projet'!$E$11+1,1))</f>
        <v>352.61091660077574</v>
      </c>
      <c r="BJ115" s="59">
        <f t="shared" si="92"/>
        <v>186.48649111821521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105.3791122609548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105.3791122609548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266.99999999999983</v>
      </c>
      <c r="BZ115" s="13">
        <f>BY115*VLOOKUP('Données projet'!$B$12,Paramètres!$A$1:$I$89,3,0)*VLOOKUP('Données projet'!$B$12,Paramètres!$A$1:$I$89,5,0)</f>
        <v>212.42519999999985</v>
      </c>
      <c r="CA115" s="13">
        <f t="shared" si="93"/>
        <v>52.465198231787184</v>
      </c>
      <c r="CB115" s="20">
        <f t="shared" si="64"/>
        <v>461.35077692036231</v>
      </c>
      <c r="CC115" s="59">
        <f t="shared" si="65"/>
        <v>754.68411025369562</v>
      </c>
      <c r="CD115" s="59">
        <f ca="1">AVERAGE(OFFSET($CC$3,0,0,'Données projet'!$E$12+1,1))-AVERAGE(OFFSET($H$3,0,0,'Données projet'!$E$12+1,1))</f>
        <v>225.2323446080772</v>
      </c>
      <c r="CE115" s="59">
        <f t="shared" si="94"/>
        <v>222.29030402759292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23.021306344371855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23.021306344371855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213.00000000000003</v>
      </c>
      <c r="CU115" s="17">
        <f>CT115*VLOOKUP('Données projet'!$B$13,Paramètres!$A$1:$I$89,3,0)*VLOOKUP('Données projet'!$B$13,Paramètres!$A$1:$I$89,5,0)</f>
        <v>206.01360000000005</v>
      </c>
      <c r="CV115" s="13">
        <f t="shared" si="95"/>
        <v>51.063487709141484</v>
      </c>
      <c r="CW115" s="20">
        <f t="shared" si="67"/>
        <v>447.74259442675481</v>
      </c>
      <c r="CX115" s="59">
        <f t="shared" si="68"/>
        <v>741.07592776008812</v>
      </c>
      <c r="CY115" s="59">
        <f ca="1">AVERAGE(OFFSET($CX$3,0,0,'Données projet'!$E$13+1,1))-AVERAGE(OFFSET($H$3,0,0,'Données projet'!$E$13+1,1))</f>
        <v>212.32823943192528</v>
      </c>
      <c r="CZ115" s="59">
        <f t="shared" si="96"/>
        <v>209.60834138503003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17.542115255811183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17.542115255811183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285.99999999999972</v>
      </c>
      <c r="DP115" s="17">
        <f>DO115*VLOOKUP('Données projet'!$B$14,Paramètres!$A$1:$I$89,3,0)*VLOOKUP('Données projet'!$B$14,Paramètres!$A$1:$I$89,5,0)</f>
        <v>223.07999999999979</v>
      </c>
      <c r="DQ115" s="13">
        <f t="shared" si="97"/>
        <v>54.783765878062617</v>
      </c>
      <c r="DR115" s="20">
        <f t="shared" si="70"/>
        <v>483.94605890429199</v>
      </c>
      <c r="DS115" s="59">
        <f t="shared" si="71"/>
        <v>777.2793922376253</v>
      </c>
      <c r="DT115" s="59">
        <f ca="1">AVERAGE(OFFSET($DS$3,0,0,'Données projet'!$E$14+1,1))-AVERAGE(OFFSET($H$3,0,0,'Données projet'!$E$14+1,1))</f>
        <v>215.84581110302656</v>
      </c>
      <c r="DU115" s="59">
        <f t="shared" si="98"/>
        <v>193.88588526156104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25.537633660880612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25.537633660880612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6">
        <f t="shared" si="56"/>
        <v>415.39877537461348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401</v>
      </c>
      <c r="O116" s="13">
        <f>N116*VLOOKUP('Données projet'!$B$9,Paramètres!$A$1:$I$89,3,0)*VLOOKUP('Données projet'!$B$9,Paramètres!$A$1:$I$89,5,0)</f>
        <v>250.22399999999999</v>
      </c>
      <c r="P116" s="13">
        <f t="shared" si="87"/>
        <v>60.633904580527918</v>
      </c>
      <c r="Q116" s="20">
        <f t="shared" si="107"/>
        <v>541.41085047775289</v>
      </c>
      <c r="R116" s="59">
        <f t="shared" si="55"/>
        <v>834.74418381108626</v>
      </c>
      <c r="S116" s="59">
        <f ca="1">AVERAGE(OFFSET($R$3,0,0,'Données projet'!$E$9+1,1))-AVERAGE(OFFSET($H$3,0,0,'Données projet'!$E$9+1,1))</f>
        <v>269.77739619445515</v>
      </c>
      <c r="T116" s="59">
        <f t="shared" si="88"/>
        <v>347.56964743629885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26.807764084112819</v>
      </c>
      <c r="AA116" s="21">
        <f>EXP(-LN(2)/25)*AA115+(1-EXP(-LN(2)/25))/(LN(2)/25)*Calculateur!V116*Calculateur!X116*VLOOKUP('Données projet'!$B$9,Paramètres!$A$1:$I$89,3,0)*0.475*44/12</f>
        <v>9.1864883105339175</v>
      </c>
      <c r="AB116" s="21">
        <f>EXP(-LN(2)/2)*AB115+(1-EXP(-LN(2)/2))/(LN(2)/2)*V116*Y116*VLOOKUP('Données projet'!$B$9,Paramètres!$A$1:$I$89,3,0)*0.475*44/12</f>
        <v>7.9868927555891539E-15</v>
      </c>
      <c r="AC116" s="22">
        <f t="shared" si="57"/>
        <v>35.994252394646743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789</v>
      </c>
      <c r="AJ116" s="13">
        <f>AI116*VLOOKUP('Données projet'!$B$10,Paramètres!$A$1:$I$89,3,0)*VLOOKUP('Données projet'!$B$10,Paramètres!$A$1:$I$89,5,0)</f>
        <v>389.76600000000002</v>
      </c>
      <c r="AK116" s="13">
        <f t="shared" si="89"/>
        <v>89.698759503620408</v>
      </c>
      <c r="AL116" s="20">
        <f t="shared" si="58"/>
        <v>835.06778946880547</v>
      </c>
      <c r="AM116" s="59">
        <f t="shared" si="59"/>
        <v>1128.4011228021388</v>
      </c>
      <c r="AN116" s="59">
        <f ca="1">AVERAGE(OFFSET($AM$3,0,0,'Données projet'!$E$10+1,1))-AVERAGE(OFFSET($H$3,0,0,'Données projet'!$E$10+1,1))</f>
        <v>396.27049617044378</v>
      </c>
      <c r="AO116" s="59">
        <f t="shared" si="90"/>
        <v>335.2680289568774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74.975926081519333</v>
      </c>
      <c r="AV116" s="21">
        <f>EXP(-LN(2)/25)*AV115+(1-EXP(-LN(2)/25))/(LN(2)/25)*Calculateur!AQ116*Calculateur!AS116*VLOOKUP('Données projet'!$B$10,Paramètres!$A$1:$I$89,3,0)*0.475*44/12</f>
        <v>4.7070904464859531</v>
      </c>
      <c r="AW116" s="21">
        <f>EXP(-LN(2)/2)*AW115+(1-EXP(-LN(2)/2))/(LN(2)/2)*AQ116*AT116*VLOOKUP('Données projet'!$B$10,Paramètres!$A$1:$I$89,3,0)*0.475*44/12</f>
        <v>1.2364893229023212E-13</v>
      </c>
      <c r="AX116" s="21">
        <f t="shared" si="60"/>
        <v>79.68301652800541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6</v>
      </c>
      <c r="BD116" s="12">
        <f>IF('Données projet'!$A$88&gt;35,BD115+BC116-BL115,IF(A116&lt;'Données projet'!$A$88,$BA$205^A116,IF(A116='Données projet'!$A$88,'Données projet'!$B$88,BD115+BC116-BL115)))</f>
        <v>413.99999999999989</v>
      </c>
      <c r="BE116" s="13">
        <f>BD116*VLOOKUP('Données projet'!$B$11,Paramètres!$A$1:$I$89,3,0)*VLOOKUP('Données projet'!$B$11,Paramètres!$A$1:$I$89,5,0)</f>
        <v>355.21199999999993</v>
      </c>
      <c r="BF116" s="13">
        <f t="shared" si="91"/>
        <v>82.634791155027401</v>
      </c>
      <c r="BG116" s="20">
        <f t="shared" si="61"/>
        <v>762.58316126167256</v>
      </c>
      <c r="BH116" s="59">
        <f t="shared" si="62"/>
        <v>1055.9164945950058</v>
      </c>
      <c r="BI116" s="59">
        <f ca="1">AVERAGE(OFFSET($BH$3,0,0,'Données projet'!$E$11+1,1))-AVERAGE(OFFSET($H$3,0,0,'Données projet'!$E$11+1,1))</f>
        <v>352.61091660077574</v>
      </c>
      <c r="BJ116" s="59">
        <f t="shared" si="92"/>
        <v>186.48649111821521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103.31269214442933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103.31269214442933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266.99999999999983</v>
      </c>
      <c r="BZ116" s="13">
        <f>BY116*VLOOKUP('Données projet'!$B$12,Paramètres!$A$1:$I$89,3,0)*VLOOKUP('Données projet'!$B$12,Paramètres!$A$1:$I$89,5,0)</f>
        <v>212.42519999999985</v>
      </c>
      <c r="CA116" s="13">
        <f t="shared" si="93"/>
        <v>52.465198231787184</v>
      </c>
      <c r="CB116" s="20">
        <f t="shared" si="64"/>
        <v>461.35077692036231</v>
      </c>
      <c r="CC116" s="59">
        <f t="shared" si="65"/>
        <v>754.68411025369562</v>
      </c>
      <c r="CD116" s="59">
        <f ca="1">AVERAGE(OFFSET($CC$3,0,0,'Données projet'!$E$12+1,1))-AVERAGE(OFFSET($H$3,0,0,'Données projet'!$E$12+1,1))</f>
        <v>225.2323446080772</v>
      </c>
      <c r="CE116" s="59">
        <f t="shared" si="94"/>
        <v>222.29030402759292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22.5698725685691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22.5698725685691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213.00000000000003</v>
      </c>
      <c r="CU116" s="17">
        <f>CT116*VLOOKUP('Données projet'!$B$13,Paramètres!$A$1:$I$89,3,0)*VLOOKUP('Données projet'!$B$13,Paramètres!$A$1:$I$89,5,0)</f>
        <v>206.01360000000005</v>
      </c>
      <c r="CV116" s="13">
        <f t="shared" si="95"/>
        <v>51.063487709141484</v>
      </c>
      <c r="CW116" s="20">
        <f t="shared" si="67"/>
        <v>447.74259442675481</v>
      </c>
      <c r="CX116" s="59">
        <f t="shared" si="68"/>
        <v>741.07592776008812</v>
      </c>
      <c r="CY116" s="59">
        <f ca="1">AVERAGE(OFFSET($CX$3,0,0,'Données projet'!$E$13+1,1))-AVERAGE(OFFSET($H$3,0,0,'Données projet'!$E$13+1,1))</f>
        <v>212.32823943192528</v>
      </c>
      <c r="CZ116" s="59">
        <f t="shared" si="96"/>
        <v>209.60834138503003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17.198125075278529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17.198125075278529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285.99999999999972</v>
      </c>
      <c r="DP116" s="17">
        <f>DO116*VLOOKUP('Données projet'!$B$14,Paramètres!$A$1:$I$89,3,0)*VLOOKUP('Données projet'!$B$14,Paramètres!$A$1:$I$89,5,0)</f>
        <v>223.07999999999979</v>
      </c>
      <c r="DQ116" s="13">
        <f t="shared" si="97"/>
        <v>54.783765878062617</v>
      </c>
      <c r="DR116" s="20">
        <f t="shared" si="70"/>
        <v>483.94605890429199</v>
      </c>
      <c r="DS116" s="59">
        <f t="shared" si="71"/>
        <v>777.2793922376253</v>
      </c>
      <c r="DT116" s="59">
        <f ca="1">AVERAGE(OFFSET($DS$3,0,0,'Données projet'!$E$14+1,1))-AVERAGE(OFFSET($H$3,0,0,'Données projet'!$E$14+1,1))</f>
        <v>215.84581110302656</v>
      </c>
      <c r="DU116" s="59">
        <f t="shared" si="98"/>
        <v>193.88588526156104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25.036856241209232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25.036856241209232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6">
        <f t="shared" si="56"/>
        <v>416.45066545702986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401</v>
      </c>
      <c r="O117" s="13">
        <f>N117*VLOOKUP('Données projet'!$B$9,Paramètres!$A$1:$I$89,3,0)*VLOOKUP('Données projet'!$B$9,Paramètres!$A$1:$I$89,5,0)</f>
        <v>250.22399999999999</v>
      </c>
      <c r="P117" s="13">
        <f t="shared" si="87"/>
        <v>60.633904580527918</v>
      </c>
      <c r="Q117" s="20">
        <f t="shared" si="107"/>
        <v>541.41085047775289</v>
      </c>
      <c r="R117" s="59">
        <f t="shared" si="55"/>
        <v>834.74418381108626</v>
      </c>
      <c r="S117" s="59">
        <f ca="1">AVERAGE(OFFSET($R$3,0,0,'Données projet'!$E$9+1,1))-AVERAGE(OFFSET($H$3,0,0,'Données projet'!$E$9+1,1))</f>
        <v>269.77739619445515</v>
      </c>
      <c r="T117" s="59">
        <f t="shared" si="88"/>
        <v>347.56964743629885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26.28208018154492</v>
      </c>
      <c r="AA117" s="21">
        <f>EXP(-LN(2)/25)*AA116+(1-EXP(-LN(2)/25))/(LN(2)/25)*Calculateur!V117*Calculateur!X117*VLOOKUP('Données projet'!$B$9,Paramètres!$A$1:$I$89,3,0)*0.475*44/12</f>
        <v>8.9352833045859441</v>
      </c>
      <c r="AB117" s="21">
        <f>EXP(-LN(2)/2)*AB116+(1-EXP(-LN(2)/2))/(LN(2)/2)*V117*Y117*VLOOKUP('Données projet'!$B$9,Paramètres!$A$1:$I$89,3,0)*0.475*44/12</f>
        <v>5.6475860280868015E-15</v>
      </c>
      <c r="AC117" s="22">
        <f t="shared" si="57"/>
        <v>35.217363486130871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789</v>
      </c>
      <c r="AJ117" s="13">
        <f>AI117*VLOOKUP('Données projet'!$B$10,Paramètres!$A$1:$I$89,3,0)*VLOOKUP('Données projet'!$B$10,Paramètres!$A$1:$I$89,5,0)</f>
        <v>389.76600000000002</v>
      </c>
      <c r="AK117" s="13">
        <f t="shared" si="89"/>
        <v>89.698759503620408</v>
      </c>
      <c r="AL117" s="20">
        <f t="shared" si="58"/>
        <v>835.06778946880547</v>
      </c>
      <c r="AM117" s="59">
        <f t="shared" si="59"/>
        <v>1128.4011228021388</v>
      </c>
      <c r="AN117" s="59">
        <f ca="1">AVERAGE(OFFSET($AM$3,0,0,'Données projet'!$E$10+1,1))-AVERAGE(OFFSET($H$3,0,0,'Données projet'!$E$10+1,1))</f>
        <v>396.27049617044378</v>
      </c>
      <c r="AO117" s="59">
        <f t="shared" si="90"/>
        <v>335.2680289568774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73.505693901860113</v>
      </c>
      <c r="AV117" s="21">
        <f>EXP(-LN(2)/25)*AV116+(1-EXP(-LN(2)/25))/(LN(2)/25)*Calculateur!AQ117*Calculateur!AS117*VLOOKUP('Données projet'!$B$10,Paramètres!$A$1:$I$89,3,0)*0.475*44/12</f>
        <v>4.578374810691666</v>
      </c>
      <c r="AW117" s="21">
        <f>EXP(-LN(2)/2)*AW116+(1-EXP(-LN(2)/2))/(LN(2)/2)*AQ117*AT117*VLOOKUP('Données projet'!$B$10,Paramètres!$A$1:$I$89,3,0)*0.475*44/12</f>
        <v>8.7432998508899398E-14</v>
      </c>
      <c r="AX117" s="21">
        <f t="shared" si="60"/>
        <v>78.084068712551868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6</v>
      </c>
      <c r="BD117" s="12">
        <f>IF('Données projet'!$A$88&gt;35,BD116+BC117-BL116,IF(A117&lt;'Données projet'!$A$88,$BA$205^A117,IF(A117='Données projet'!$A$88,'Données projet'!$B$88,BD116+BC117-BL116)))</f>
        <v>419.99999999999989</v>
      </c>
      <c r="BE117" s="13">
        <f>BD117*VLOOKUP('Données projet'!$B$11,Paramètres!$A$1:$I$89,3,0)*VLOOKUP('Données projet'!$B$11,Paramètres!$A$1:$I$89,5,0)</f>
        <v>360.3599999999999</v>
      </c>
      <c r="BF117" s="13">
        <f t="shared" si="91"/>
        <v>83.692107728969532</v>
      </c>
      <c r="BG117" s="20">
        <f t="shared" si="61"/>
        <v>773.39075429462173</v>
      </c>
      <c r="BH117" s="59">
        <f t="shared" si="62"/>
        <v>1066.724087627955</v>
      </c>
      <c r="BI117" s="59">
        <f ca="1">AVERAGE(OFFSET($BH$3,0,0,'Données projet'!$E$11+1,1))-AVERAGE(OFFSET($H$3,0,0,'Données projet'!$E$11+1,1))</f>
        <v>352.61091660077574</v>
      </c>
      <c r="BJ117" s="59">
        <f t="shared" si="92"/>
        <v>186.48649111821521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101.28679326599712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101.28679326599712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266.99999999999983</v>
      </c>
      <c r="BZ117" s="13">
        <f>BY117*VLOOKUP('Données projet'!$B$12,Paramètres!$A$1:$I$89,3,0)*VLOOKUP('Données projet'!$B$12,Paramètres!$A$1:$I$89,5,0)</f>
        <v>212.42519999999985</v>
      </c>
      <c r="CA117" s="13">
        <f t="shared" si="93"/>
        <v>52.465198231787184</v>
      </c>
      <c r="CB117" s="20">
        <f t="shared" si="64"/>
        <v>461.35077692036231</v>
      </c>
      <c r="CC117" s="59">
        <f t="shared" si="65"/>
        <v>754.68411025369562</v>
      </c>
      <c r="CD117" s="59">
        <f ca="1">AVERAGE(OFFSET($CC$3,0,0,'Données projet'!$E$12+1,1))-AVERAGE(OFFSET($H$3,0,0,'Données projet'!$E$12+1,1))</f>
        <v>225.2323446080772</v>
      </c>
      <c r="CE117" s="59">
        <f t="shared" si="94"/>
        <v>222.29030402759292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22.127291133762419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22.127291133762419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213.00000000000003</v>
      </c>
      <c r="CU117" s="17">
        <f>CT117*VLOOKUP('Données projet'!$B$13,Paramètres!$A$1:$I$89,3,0)*VLOOKUP('Données projet'!$B$13,Paramètres!$A$1:$I$89,5,0)</f>
        <v>206.01360000000005</v>
      </c>
      <c r="CV117" s="13">
        <f t="shared" si="95"/>
        <v>51.063487709141484</v>
      </c>
      <c r="CW117" s="20">
        <f t="shared" si="67"/>
        <v>447.74259442675481</v>
      </c>
      <c r="CX117" s="59">
        <f t="shared" si="68"/>
        <v>741.07592776008812</v>
      </c>
      <c r="CY117" s="59">
        <f ca="1">AVERAGE(OFFSET($CX$3,0,0,'Données projet'!$E$13+1,1))-AVERAGE(OFFSET($H$3,0,0,'Données projet'!$E$13+1,1))</f>
        <v>212.32823943192528</v>
      </c>
      <c r="CZ117" s="59">
        <f t="shared" si="96"/>
        <v>209.60834138503003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16.86088033237283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16.86088033237283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285.99999999999972</v>
      </c>
      <c r="DP117" s="17">
        <f>DO117*VLOOKUP('Données projet'!$B$14,Paramètres!$A$1:$I$89,3,0)*VLOOKUP('Données projet'!$B$14,Paramètres!$A$1:$I$89,5,0)</f>
        <v>223.07999999999979</v>
      </c>
      <c r="DQ117" s="13">
        <f t="shared" si="97"/>
        <v>54.783765878062617</v>
      </c>
      <c r="DR117" s="20">
        <f t="shared" si="70"/>
        <v>483.94605890429199</v>
      </c>
      <c r="DS117" s="59">
        <f t="shared" si="71"/>
        <v>777.2793922376253</v>
      </c>
      <c r="DT117" s="59">
        <f ca="1">AVERAGE(OFFSET($DS$3,0,0,'Données projet'!$E$14+1,1))-AVERAGE(OFFSET($H$3,0,0,'Données projet'!$E$14+1,1))</f>
        <v>215.84581110302656</v>
      </c>
      <c r="DU117" s="59">
        <f t="shared" si="98"/>
        <v>193.88588526156104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24.545898761293543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24.545898761293543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6">
        <f t="shared" si="56"/>
        <v>417.5023369912704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401</v>
      </c>
      <c r="O118" s="13">
        <f>N118*VLOOKUP('Données projet'!$B$9,Paramètres!$A$1:$I$89,3,0)*VLOOKUP('Données projet'!$B$9,Paramètres!$A$1:$I$89,5,0)</f>
        <v>250.22399999999999</v>
      </c>
      <c r="P118" s="13">
        <f t="shared" si="87"/>
        <v>60.633904580527918</v>
      </c>
      <c r="Q118" s="20">
        <f t="shared" si="107"/>
        <v>541.41085047775289</v>
      </c>
      <c r="R118" s="59">
        <f t="shared" si="55"/>
        <v>834.74418381108626</v>
      </c>
      <c r="S118" s="59">
        <f ca="1">AVERAGE(OFFSET($R$3,0,0,'Données projet'!$E$9+1,1))-AVERAGE(OFFSET($H$3,0,0,'Données projet'!$E$9+1,1))</f>
        <v>269.77739619445515</v>
      </c>
      <c r="T118" s="59">
        <f t="shared" si="88"/>
        <v>347.56964743629885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25.766704619670858</v>
      </c>
      <c r="AA118" s="21">
        <f>EXP(-LN(2)/25)*AA117+(1-EXP(-LN(2)/25))/(LN(2)/25)*Calculateur!V118*Calculateur!X118*VLOOKUP('Données projet'!$B$9,Paramètres!$A$1:$I$89,3,0)*0.475*44/12</f>
        <v>8.6909475127359137</v>
      </c>
      <c r="AB118" s="21">
        <f>EXP(-LN(2)/2)*AB117+(1-EXP(-LN(2)/2))/(LN(2)/2)*V118*Y118*VLOOKUP('Données projet'!$B$9,Paramètres!$A$1:$I$89,3,0)*0.475*44/12</f>
        <v>3.9934463777945769E-15</v>
      </c>
      <c r="AC118" s="22">
        <f t="shared" si="57"/>
        <v>34.457652132406778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789</v>
      </c>
      <c r="AJ118" s="13">
        <f>AI118*VLOOKUP('Données projet'!$B$10,Paramètres!$A$1:$I$89,3,0)*VLOOKUP('Données projet'!$B$10,Paramètres!$A$1:$I$89,5,0)</f>
        <v>389.76600000000002</v>
      </c>
      <c r="AK118" s="13">
        <f t="shared" si="89"/>
        <v>89.698759503620408</v>
      </c>
      <c r="AL118" s="20">
        <f t="shared" si="58"/>
        <v>835.06778946880547</v>
      </c>
      <c r="AM118" s="59">
        <f t="shared" si="59"/>
        <v>1128.4011228021388</v>
      </c>
      <c r="AN118" s="59">
        <f ca="1">AVERAGE(OFFSET($AM$3,0,0,'Données projet'!$E$10+1,1))-AVERAGE(OFFSET($H$3,0,0,'Données projet'!$E$10+1,1))</f>
        <v>396.27049617044378</v>
      </c>
      <c r="AO118" s="59">
        <f t="shared" si="90"/>
        <v>335.2680289568774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72.064292078490922</v>
      </c>
      <c r="AV118" s="21">
        <f>EXP(-LN(2)/25)*AV117+(1-EXP(-LN(2)/25))/(LN(2)/25)*Calculateur!AQ118*Calculateur!AS118*VLOOKUP('Données projet'!$B$10,Paramètres!$A$1:$I$89,3,0)*0.475*44/12</f>
        <v>4.4531789107270354</v>
      </c>
      <c r="AW118" s="21">
        <f>EXP(-LN(2)/2)*AW117+(1-EXP(-LN(2)/2))/(LN(2)/2)*AQ118*AT118*VLOOKUP('Données projet'!$B$10,Paramètres!$A$1:$I$89,3,0)*0.475*44/12</f>
        <v>6.1824466145116062E-14</v>
      </c>
      <c r="AX118" s="21">
        <f t="shared" si="60"/>
        <v>76.517470989218012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>
        <f>VLOOKUP(A118,'Données projet'!$A$87:$I$107,2,0)</f>
        <v>426</v>
      </c>
      <c r="BB118" s="12">
        <f>VLOOKUP(A118,'Données projet'!$A$87:$I$107,9,0)</f>
        <v>6</v>
      </c>
      <c r="BC118" s="12">
        <f t="array" ref="BC118">INDEX(BB:BB,MIN(IF(ISNUMBER(BB118:BB314),ROW(BB118:BB314),"")))</f>
        <v>6</v>
      </c>
      <c r="BD118" s="12">
        <f>IF('Données projet'!$A$88&gt;35,BD117+BC118-BL117,IF(A118&lt;'Données projet'!$A$88,$BA$205^A118,IF(A118='Données projet'!$A$88,'Données projet'!$B$88,BD117+BC118-BL117)))</f>
        <v>425.99999999999989</v>
      </c>
      <c r="BE118" s="13">
        <f>BD118*VLOOKUP('Données projet'!$B$11,Paramètres!$A$1:$I$89,3,0)*VLOOKUP('Données projet'!$B$11,Paramètres!$A$1:$I$89,5,0)</f>
        <v>365.50799999999992</v>
      </c>
      <c r="BF118" s="13">
        <f t="shared" si="91"/>
        <v>84.747667534292106</v>
      </c>
      <c r="BG118" s="20">
        <f t="shared" si="61"/>
        <v>784.19528762222524</v>
      </c>
      <c r="BH118" s="59">
        <f t="shared" si="62"/>
        <v>1077.5286209555586</v>
      </c>
      <c r="BI118" s="59">
        <f ca="1">AVERAGE(OFFSET($BH$3,0,0,'Données projet'!$E$11+1,1))-AVERAGE(OFFSET($H$3,0,0,'Données projet'!$E$11+1,1))</f>
        <v>352.61091660077574</v>
      </c>
      <c r="BJ118" s="59">
        <f t="shared" si="92"/>
        <v>186.48649111821521</v>
      </c>
      <c r="BK118" s="15">
        <f>IF(ISNA(VLOOKUP(A118,'Données projet'!$A$87:$I$107,3,0)),0,VLOOKUP(A118,'Données projet'!$A$87:$I$107,3,0))</f>
        <v>19</v>
      </c>
      <c r="BL118" s="15">
        <f>IF(ISNA(VLOOKUP(A118,'Données projet'!$A$87:$I$107,4,0)),0,VLOOKUP(A118,'Données projet'!$A$87:$I$107,4,0))</f>
        <v>22</v>
      </c>
      <c r="BM118" s="16">
        <f>IF(ISNA(VLOOKUP(A118,'Données projet'!$A$87:$I$107,5,0)),0%,VLOOKUP(A118,'Données projet'!$A$87:$I$107,5,0)*VLOOKUP('Données projet'!$B$11,Paramètres!$A$1:$I$89,7,0))</f>
        <v>0.53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110.36005623744856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110.36005623744856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266.99999999999983</v>
      </c>
      <c r="BZ118" s="13">
        <f>BY118*VLOOKUP('Données projet'!$B$12,Paramètres!$A$1:$I$89,3,0)*VLOOKUP('Données projet'!$B$12,Paramètres!$A$1:$I$89,5,0)</f>
        <v>212.42519999999985</v>
      </c>
      <c r="CA118" s="13">
        <f t="shared" si="93"/>
        <v>52.465198231787184</v>
      </c>
      <c r="CB118" s="20">
        <f t="shared" si="64"/>
        <v>461.35077692036231</v>
      </c>
      <c r="CC118" s="59">
        <f t="shared" si="65"/>
        <v>754.68411025369562</v>
      </c>
      <c r="CD118" s="59">
        <f ca="1">AVERAGE(OFFSET($CC$3,0,0,'Données projet'!$E$12+1,1))-AVERAGE(OFFSET($H$3,0,0,'Données projet'!$E$12+1,1))</f>
        <v>225.2323446080772</v>
      </c>
      <c r="CE118" s="59">
        <f t="shared" si="94"/>
        <v>222.29030402759292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21.69338845094428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21.69338845094428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213.00000000000003</v>
      </c>
      <c r="CU118" s="17">
        <f>CT118*VLOOKUP('Données projet'!$B$13,Paramètres!$A$1:$I$89,3,0)*VLOOKUP('Données projet'!$B$13,Paramètres!$A$1:$I$89,5,0)</f>
        <v>206.01360000000005</v>
      </c>
      <c r="CV118" s="13">
        <f t="shared" si="95"/>
        <v>51.063487709141484</v>
      </c>
      <c r="CW118" s="20">
        <f t="shared" si="67"/>
        <v>447.74259442675481</v>
      </c>
      <c r="CX118" s="59">
        <f t="shared" si="68"/>
        <v>741.07592776008812</v>
      </c>
      <c r="CY118" s="59">
        <f ca="1">AVERAGE(OFFSET($CX$3,0,0,'Données projet'!$E$13+1,1))-AVERAGE(OFFSET($H$3,0,0,'Données projet'!$E$13+1,1))</f>
        <v>212.32823943192528</v>
      </c>
      <c r="CZ118" s="59">
        <f t="shared" si="96"/>
        <v>209.60834138503003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16.530248753176529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16.530248753176529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285.99999999999972</v>
      </c>
      <c r="DP118" s="17">
        <f>DO118*VLOOKUP('Données projet'!$B$14,Paramètres!$A$1:$I$89,3,0)*VLOOKUP('Données projet'!$B$14,Paramètres!$A$1:$I$89,5,0)</f>
        <v>223.07999999999979</v>
      </c>
      <c r="DQ118" s="13">
        <f t="shared" si="97"/>
        <v>54.783765878062617</v>
      </c>
      <c r="DR118" s="20">
        <f t="shared" si="70"/>
        <v>483.94605890429199</v>
      </c>
      <c r="DS118" s="59">
        <f t="shared" si="71"/>
        <v>777.2793922376253</v>
      </c>
      <c r="DT118" s="59">
        <f ca="1">AVERAGE(OFFSET($DS$3,0,0,'Données projet'!$E$14+1,1))-AVERAGE(OFFSET($H$3,0,0,'Données projet'!$E$14+1,1))</f>
        <v>215.84581110302656</v>
      </c>
      <c r="DU118" s="59">
        <f t="shared" si="98"/>
        <v>193.88588526156104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24.064568658104506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24.064568658104506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6">
        <f t="shared" si="56"/>
        <v>418.55379209794313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401</v>
      </c>
      <c r="O119" s="13">
        <f>N119*VLOOKUP('Données projet'!$B$9,Paramètres!$A$1:$I$89,3,0)*VLOOKUP('Données projet'!$B$9,Paramètres!$A$1:$I$89,5,0)</f>
        <v>250.22399999999999</v>
      </c>
      <c r="P119" s="13">
        <f t="shared" si="87"/>
        <v>60.633904580527918</v>
      </c>
      <c r="Q119" s="20">
        <f t="shared" si="107"/>
        <v>541.41085047775289</v>
      </c>
      <c r="R119" s="59">
        <f t="shared" si="55"/>
        <v>834.74418381108626</v>
      </c>
      <c r="S119" s="59">
        <f ca="1">AVERAGE(OFFSET($R$3,0,0,'Données projet'!$E$9+1,1))-AVERAGE(OFFSET($H$3,0,0,'Données projet'!$E$9+1,1))</f>
        <v>269.77739619445515</v>
      </c>
      <c r="T119" s="59">
        <f t="shared" si="88"/>
        <v>347.56964743629885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25.261435258217091</v>
      </c>
      <c r="AA119" s="21">
        <f>EXP(-LN(2)/25)*AA118+(1-EXP(-LN(2)/25))/(LN(2)/25)*Calculateur!V119*Calculateur!X119*VLOOKUP('Données projet'!$B$9,Paramètres!$A$1:$I$89,3,0)*0.475*44/12</f>
        <v>8.4532930959630832</v>
      </c>
      <c r="AB119" s="21">
        <f>EXP(-LN(2)/2)*AB118+(1-EXP(-LN(2)/2))/(LN(2)/2)*V119*Y119*VLOOKUP('Données projet'!$B$9,Paramètres!$A$1:$I$89,3,0)*0.475*44/12</f>
        <v>2.8237930140434008E-15</v>
      </c>
      <c r="AC119" s="22">
        <f t="shared" si="57"/>
        <v>33.714728354180174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789</v>
      </c>
      <c r="AJ119" s="13">
        <f>AI119*VLOOKUP('Données projet'!$B$10,Paramètres!$A$1:$I$89,3,0)*VLOOKUP('Données projet'!$B$10,Paramètres!$A$1:$I$89,5,0)</f>
        <v>389.76600000000002</v>
      </c>
      <c r="AK119" s="13">
        <f t="shared" si="89"/>
        <v>89.698759503620408</v>
      </c>
      <c r="AL119" s="20">
        <f t="shared" si="58"/>
        <v>835.06778946880547</v>
      </c>
      <c r="AM119" s="59">
        <f t="shared" si="59"/>
        <v>1128.4011228021388</v>
      </c>
      <c r="AN119" s="59">
        <f ca="1">AVERAGE(OFFSET($AM$3,0,0,'Données projet'!$E$10+1,1))-AVERAGE(OFFSET($H$3,0,0,'Données projet'!$E$10+1,1))</f>
        <v>396.27049617044378</v>
      </c>
      <c r="AO119" s="59">
        <f t="shared" si="90"/>
        <v>335.2680289568774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70.651155265709704</v>
      </c>
      <c r="AV119" s="21">
        <f>EXP(-LN(2)/25)*AV118+(1-EXP(-LN(2)/25))/(LN(2)/25)*Calculateur!AQ119*Calculateur!AS119*VLOOKUP('Données projet'!$B$10,Paramètres!$A$1:$I$89,3,0)*0.475*44/12</f>
        <v>4.3314064992307033</v>
      </c>
      <c r="AW119" s="21">
        <f>EXP(-LN(2)/2)*AW118+(1-EXP(-LN(2)/2))/(LN(2)/2)*AQ119*AT119*VLOOKUP('Données projet'!$B$10,Paramètres!$A$1:$I$89,3,0)*0.475*44/12</f>
        <v>4.3716499254449699E-14</v>
      </c>
      <c r="AX119" s="21">
        <f t="shared" si="60"/>
        <v>74.982561764940456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403.99999999999989</v>
      </c>
      <c r="BE119" s="13">
        <f>BD119*VLOOKUP('Données projet'!$B$11,Paramètres!$A$1:$I$89,3,0)*VLOOKUP('Données projet'!$B$11,Paramètres!$A$1:$I$89,5,0)</f>
        <v>346.63199999999995</v>
      </c>
      <c r="BF119" s="13">
        <f t="shared" si="91"/>
        <v>80.868615263336864</v>
      </c>
      <c r="BG119" s="20">
        <f t="shared" si="61"/>
        <v>744.56357158364483</v>
      </c>
      <c r="BH119" s="59">
        <f t="shared" si="62"/>
        <v>1037.8969049169782</v>
      </c>
      <c r="BI119" s="59">
        <f ca="1">AVERAGE(OFFSET($BH$3,0,0,'Données projet'!$E$11+1,1))-AVERAGE(OFFSET($H$3,0,0,'Données projet'!$E$11+1,1))</f>
        <v>352.61091660077574</v>
      </c>
      <c r="BJ119" s="59">
        <f t="shared" si="92"/>
        <v>186.48649111821521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108.1959628476199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108.1959628476199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266.99999999999983</v>
      </c>
      <c r="BZ119" s="13">
        <f>BY119*VLOOKUP('Données projet'!$B$12,Paramètres!$A$1:$I$89,3,0)*VLOOKUP('Données projet'!$B$12,Paramètres!$A$1:$I$89,5,0)</f>
        <v>212.42519999999985</v>
      </c>
      <c r="CA119" s="13">
        <f t="shared" si="93"/>
        <v>52.465198231787184</v>
      </c>
      <c r="CB119" s="20">
        <f t="shared" si="64"/>
        <v>461.35077692036231</v>
      </c>
      <c r="CC119" s="59">
        <f t="shared" si="65"/>
        <v>754.68411025369562</v>
      </c>
      <c r="CD119" s="59">
        <f ca="1">AVERAGE(OFFSET($CC$3,0,0,'Données projet'!$E$12+1,1))-AVERAGE(OFFSET($H$3,0,0,'Données projet'!$E$12+1,1))</f>
        <v>225.2323446080772</v>
      </c>
      <c r="CE119" s="59">
        <f t="shared" si="94"/>
        <v>222.29030402759292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21.267994335081699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21.267994335081699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213.00000000000003</v>
      </c>
      <c r="CU119" s="17">
        <f>CT119*VLOOKUP('Données projet'!$B$13,Paramètres!$A$1:$I$89,3,0)*VLOOKUP('Données projet'!$B$13,Paramètres!$A$1:$I$89,5,0)</f>
        <v>206.01360000000005</v>
      </c>
      <c r="CV119" s="13">
        <f t="shared" si="95"/>
        <v>51.063487709141484</v>
      </c>
      <c r="CW119" s="20">
        <f t="shared" si="67"/>
        <v>447.74259442675481</v>
      </c>
      <c r="CX119" s="59">
        <f t="shared" si="68"/>
        <v>741.07592776008812</v>
      </c>
      <c r="CY119" s="59">
        <f ca="1">AVERAGE(OFFSET($CX$3,0,0,'Données projet'!$E$13+1,1))-AVERAGE(OFFSET($H$3,0,0,'Données projet'!$E$13+1,1))</f>
        <v>212.32823943192528</v>
      </c>
      <c r="CZ119" s="59">
        <f t="shared" si="96"/>
        <v>209.60834138503003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16.206100657582919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16.206100657582919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285.99999999999972</v>
      </c>
      <c r="DP119" s="17">
        <f>DO119*VLOOKUP('Données projet'!$B$14,Paramètres!$A$1:$I$89,3,0)*VLOOKUP('Données projet'!$B$14,Paramètres!$A$1:$I$89,5,0)</f>
        <v>223.07999999999979</v>
      </c>
      <c r="DQ119" s="13">
        <f t="shared" si="97"/>
        <v>54.783765878062617</v>
      </c>
      <c r="DR119" s="20">
        <f t="shared" si="70"/>
        <v>483.94605890429199</v>
      </c>
      <c r="DS119" s="59">
        <f t="shared" si="71"/>
        <v>777.2793922376253</v>
      </c>
      <c r="DT119" s="59">
        <f ca="1">AVERAGE(OFFSET($DS$3,0,0,'Données projet'!$E$14+1,1))-AVERAGE(OFFSET($H$3,0,0,'Données projet'!$E$14+1,1))</f>
        <v>215.84581110302656</v>
      </c>
      <c r="DU119" s="59">
        <f t="shared" si="98"/>
        <v>193.88588526156104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23.59267714465663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23.59267714465663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6">
        <f t="shared" si="56"/>
        <v>419.60503285898386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401</v>
      </c>
      <c r="O120" s="13">
        <f>N120*VLOOKUP('Données projet'!$B$9,Paramètres!$A$1:$I$89,3,0)*VLOOKUP('Données projet'!$B$9,Paramètres!$A$1:$I$89,5,0)</f>
        <v>250.22399999999999</v>
      </c>
      <c r="P120" s="13">
        <f t="shared" si="87"/>
        <v>60.633904580527918</v>
      </c>
      <c r="Q120" s="20">
        <f t="shared" si="107"/>
        <v>541.41085047775289</v>
      </c>
      <c r="R120" s="59">
        <f t="shared" si="55"/>
        <v>834.74418381108626</v>
      </c>
      <c r="S120" s="59">
        <f ca="1">AVERAGE(OFFSET($R$3,0,0,'Données projet'!$E$9+1,1))-AVERAGE(OFFSET($H$3,0,0,'Données projet'!$E$9+1,1))</f>
        <v>269.77739619445515</v>
      </c>
      <c r="T120" s="59">
        <f t="shared" si="88"/>
        <v>347.56964743629885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24.766073920757552</v>
      </c>
      <c r="AA120" s="21">
        <f>EXP(-LN(2)/25)*AA119+(1-EXP(-LN(2)/25))/(LN(2)/25)*Calculateur!V120*Calculateur!X120*VLOOKUP('Données projet'!$B$9,Paramètres!$A$1:$I$89,3,0)*0.475*44/12</f>
        <v>8.2221373517146095</v>
      </c>
      <c r="AB120" s="21">
        <f>EXP(-LN(2)/2)*AB119+(1-EXP(-LN(2)/2))/(LN(2)/2)*V120*Y120*VLOOKUP('Données projet'!$B$9,Paramètres!$A$1:$I$89,3,0)*0.475*44/12</f>
        <v>1.9967231888972885E-15</v>
      </c>
      <c r="AC120" s="22">
        <f t="shared" si="57"/>
        <v>32.988211272472164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789</v>
      </c>
      <c r="AJ120" s="13">
        <f>AI120*VLOOKUP('Données projet'!$B$10,Paramètres!$A$1:$I$89,3,0)*VLOOKUP('Données projet'!$B$10,Paramètres!$A$1:$I$89,5,0)</f>
        <v>389.76600000000002</v>
      </c>
      <c r="AK120" s="13">
        <f t="shared" si="89"/>
        <v>89.698759503620408</v>
      </c>
      <c r="AL120" s="20">
        <f t="shared" si="58"/>
        <v>835.06778946880547</v>
      </c>
      <c r="AM120" s="59">
        <f t="shared" si="59"/>
        <v>1128.4011228021388</v>
      </c>
      <c r="AN120" s="59">
        <f ca="1">AVERAGE(OFFSET($AM$3,0,0,'Données projet'!$E$10+1,1))-AVERAGE(OFFSET($H$3,0,0,'Données projet'!$E$10+1,1))</f>
        <v>396.27049617044378</v>
      </c>
      <c r="AO120" s="59">
        <f t="shared" si="90"/>
        <v>335.2680289568774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69.265729203898772</v>
      </c>
      <c r="AV120" s="21">
        <f>EXP(-LN(2)/25)*AV119+(1-EXP(-LN(2)/25))/(LN(2)/25)*Calculateur!AQ120*Calculateur!AS120*VLOOKUP('Données projet'!$B$10,Paramètres!$A$1:$I$89,3,0)*0.475*44/12</f>
        <v>4.2129639607304714</v>
      </c>
      <c r="AW120" s="21">
        <f>EXP(-LN(2)/2)*AW119+(1-EXP(-LN(2)/2))/(LN(2)/2)*AQ120*AT120*VLOOKUP('Données projet'!$B$10,Paramètres!$A$1:$I$89,3,0)*0.475*44/12</f>
        <v>3.0912233072558031E-14</v>
      </c>
      <c r="AX120" s="21">
        <f t="shared" si="60"/>
        <v>73.478693164629277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403.99999999999989</v>
      </c>
      <c r="BE120" s="13">
        <f>BD120*VLOOKUP('Données projet'!$B$11,Paramètres!$A$1:$I$89,3,0)*VLOOKUP('Données projet'!$B$11,Paramètres!$A$1:$I$89,5,0)</f>
        <v>346.63199999999995</v>
      </c>
      <c r="BF120" s="13">
        <f t="shared" si="91"/>
        <v>80.868615263336864</v>
      </c>
      <c r="BG120" s="20">
        <f t="shared" si="61"/>
        <v>744.56357158364483</v>
      </c>
      <c r="BH120" s="59">
        <f t="shared" si="62"/>
        <v>1037.8969049169782</v>
      </c>
      <c r="BI120" s="59">
        <f ca="1">AVERAGE(OFFSET($BH$3,0,0,'Données projet'!$E$11+1,1))-AVERAGE(OFFSET($H$3,0,0,'Données projet'!$E$11+1,1))</f>
        <v>352.61091660077574</v>
      </c>
      <c r="BJ120" s="59">
        <f t="shared" si="92"/>
        <v>186.48649111821521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106.07430600919913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106.07430600919913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266.99999999999983</v>
      </c>
      <c r="BZ120" s="13">
        <f>BY120*VLOOKUP('Données projet'!$B$12,Paramètres!$A$1:$I$89,3,0)*VLOOKUP('Données projet'!$B$12,Paramètres!$A$1:$I$89,5,0)</f>
        <v>212.42519999999985</v>
      </c>
      <c r="CA120" s="13">
        <f t="shared" si="93"/>
        <v>52.465198231787184</v>
      </c>
      <c r="CB120" s="20">
        <f t="shared" si="64"/>
        <v>461.35077692036231</v>
      </c>
      <c r="CC120" s="59">
        <f t="shared" si="65"/>
        <v>754.68411025369562</v>
      </c>
      <c r="CD120" s="59">
        <f ca="1">AVERAGE(OFFSET($CC$3,0,0,'Données projet'!$E$12+1,1))-AVERAGE(OFFSET($H$3,0,0,'Données projet'!$E$12+1,1))</f>
        <v>225.2323446080772</v>
      </c>
      <c r="CE120" s="59">
        <f t="shared" si="94"/>
        <v>222.29030402759292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20.850941938366393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20.850941938366393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213.00000000000003</v>
      </c>
      <c r="CU120" s="17">
        <f>CT120*VLOOKUP('Données projet'!$B$13,Paramètres!$A$1:$I$89,3,0)*VLOOKUP('Données projet'!$B$13,Paramètres!$A$1:$I$89,5,0)</f>
        <v>206.01360000000005</v>
      </c>
      <c r="CV120" s="13">
        <f t="shared" si="95"/>
        <v>51.063487709141484</v>
      </c>
      <c r="CW120" s="20">
        <f t="shared" si="67"/>
        <v>447.74259442675481</v>
      </c>
      <c r="CX120" s="59">
        <f t="shared" si="68"/>
        <v>741.07592776008812</v>
      </c>
      <c r="CY120" s="59">
        <f ca="1">AVERAGE(OFFSET($CX$3,0,0,'Données projet'!$E$13+1,1))-AVERAGE(OFFSET($H$3,0,0,'Données projet'!$E$13+1,1))</f>
        <v>212.32823943192528</v>
      </c>
      <c r="CZ120" s="59">
        <f t="shared" si="96"/>
        <v>209.60834138503003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15.888308908433082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15.888308908433082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285.99999999999972</v>
      </c>
      <c r="DP120" s="17">
        <f>DO120*VLOOKUP('Données projet'!$B$14,Paramètres!$A$1:$I$89,3,0)*VLOOKUP('Données projet'!$B$14,Paramètres!$A$1:$I$89,5,0)</f>
        <v>223.07999999999979</v>
      </c>
      <c r="DQ120" s="13">
        <f t="shared" si="97"/>
        <v>54.783765878062617</v>
      </c>
      <c r="DR120" s="20">
        <f t="shared" si="70"/>
        <v>483.94605890429199</v>
      </c>
      <c r="DS120" s="59">
        <f t="shared" si="71"/>
        <v>777.2793922376253</v>
      </c>
      <c r="DT120" s="59">
        <f ca="1">AVERAGE(OFFSET($DS$3,0,0,'Données projet'!$E$14+1,1))-AVERAGE(OFFSET($H$3,0,0,'Données projet'!$E$14+1,1))</f>
        <v>215.84581110302656</v>
      </c>
      <c r="DU120" s="59">
        <f t="shared" si="98"/>
        <v>193.88588526156104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23.130039135962065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23.130039135962065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6">
        <f t="shared" si="56"/>
        <v>420.65606131868589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401</v>
      </c>
      <c r="O121" s="13">
        <f>N121*VLOOKUP('Données projet'!$B$9,Paramètres!$A$1:$I$89,3,0)*VLOOKUP('Données projet'!$B$9,Paramètres!$A$1:$I$89,5,0)</f>
        <v>250.22399999999999</v>
      </c>
      <c r="P121" s="13">
        <f t="shared" si="87"/>
        <v>60.633904580527918</v>
      </c>
      <c r="Q121" s="20">
        <f t="shared" si="107"/>
        <v>541.41085047775289</v>
      </c>
      <c r="R121" s="59">
        <f t="shared" si="55"/>
        <v>834.74418381108626</v>
      </c>
      <c r="S121" s="59">
        <f ca="1">AVERAGE(OFFSET($R$3,0,0,'Données projet'!$E$9+1,1))-AVERAGE(OFFSET($H$3,0,0,'Données projet'!$E$9+1,1))</f>
        <v>269.77739619445515</v>
      </c>
      <c r="T121" s="59">
        <f t="shared" si="88"/>
        <v>347.56964743629885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24.280426316985015</v>
      </c>
      <c r="AA121" s="21">
        <f>EXP(-LN(2)/25)*AA120+(1-EXP(-LN(2)/25))/(LN(2)/25)*Calculateur!V121*Calculateur!X121*VLOOKUP('Données projet'!$B$9,Paramètres!$A$1:$I$89,3,0)*0.475*44/12</f>
        <v>7.9973025734485619</v>
      </c>
      <c r="AB121" s="21">
        <f>EXP(-LN(2)/2)*AB120+(1-EXP(-LN(2)/2))/(LN(2)/2)*V121*Y121*VLOOKUP('Données projet'!$B$9,Paramètres!$A$1:$I$89,3,0)*0.475*44/12</f>
        <v>1.4118965070217004E-15</v>
      </c>
      <c r="AC121" s="22">
        <f t="shared" si="57"/>
        <v>32.277728890433579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789</v>
      </c>
      <c r="AJ121" s="13">
        <f>AI121*VLOOKUP('Données projet'!$B$10,Paramètres!$A$1:$I$89,3,0)*VLOOKUP('Données projet'!$B$10,Paramètres!$A$1:$I$89,5,0)</f>
        <v>389.76600000000002</v>
      </c>
      <c r="AK121" s="13">
        <f t="shared" si="89"/>
        <v>89.698759503620408</v>
      </c>
      <c r="AL121" s="20">
        <f t="shared" si="58"/>
        <v>835.06778946880547</v>
      </c>
      <c r="AM121" s="59">
        <f t="shared" si="59"/>
        <v>1128.4011228021388</v>
      </c>
      <c r="AN121" s="59">
        <f ca="1">AVERAGE(OFFSET($AM$3,0,0,'Données projet'!$E$10+1,1))-AVERAGE(OFFSET($H$3,0,0,'Données projet'!$E$10+1,1))</f>
        <v>396.27049617044378</v>
      </c>
      <c r="AO121" s="59">
        <f t="shared" si="90"/>
        <v>335.2680289568774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67.907470502133492</v>
      </c>
      <c r="AV121" s="21">
        <f>EXP(-LN(2)/25)*AV120+(1-EXP(-LN(2)/25))/(LN(2)/25)*Calculateur!AQ121*Calculateur!AS121*VLOOKUP('Données projet'!$B$10,Paramètres!$A$1:$I$89,3,0)*0.475*44/12</f>
        <v>4.0977602396741508</v>
      </c>
      <c r="AW121" s="21">
        <f>EXP(-LN(2)/2)*AW120+(1-EXP(-LN(2)/2))/(LN(2)/2)*AQ121*AT121*VLOOKUP('Données projet'!$B$10,Paramètres!$A$1:$I$89,3,0)*0.475*44/12</f>
        <v>2.1858249627224849E-14</v>
      </c>
      <c r="AX121" s="21">
        <f t="shared" si="60"/>
        <v>72.005230741807665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403.99999999999989</v>
      </c>
      <c r="BE121" s="13">
        <f>BD121*VLOOKUP('Données projet'!$B$11,Paramètres!$A$1:$I$89,3,0)*VLOOKUP('Données projet'!$B$11,Paramètres!$A$1:$I$89,5,0)</f>
        <v>346.63199999999995</v>
      </c>
      <c r="BF121" s="13">
        <f t="shared" si="91"/>
        <v>80.868615263336864</v>
      </c>
      <c r="BG121" s="20">
        <f t="shared" si="61"/>
        <v>744.56357158364483</v>
      </c>
      <c r="BH121" s="59">
        <f t="shared" si="62"/>
        <v>1037.8969049169782</v>
      </c>
      <c r="BI121" s="59">
        <f ca="1">AVERAGE(OFFSET($BH$3,0,0,'Données projet'!$E$11+1,1))-AVERAGE(OFFSET($H$3,0,0,'Données projet'!$E$11+1,1))</f>
        <v>352.61091660077574</v>
      </c>
      <c r="BJ121" s="59">
        <f t="shared" si="92"/>
        <v>186.48649111821521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103.99425356729691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103.99425356729691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266.99999999999983</v>
      </c>
      <c r="BZ121" s="13">
        <f>BY121*VLOOKUP('Données projet'!$B$12,Paramètres!$A$1:$I$89,3,0)*VLOOKUP('Données projet'!$B$12,Paramètres!$A$1:$I$89,5,0)</f>
        <v>212.42519999999985</v>
      </c>
      <c r="CA121" s="13">
        <f t="shared" si="93"/>
        <v>52.465198231787184</v>
      </c>
      <c r="CB121" s="20">
        <f t="shared" si="64"/>
        <v>461.35077692036231</v>
      </c>
      <c r="CC121" s="59">
        <f t="shared" si="65"/>
        <v>754.68411025369562</v>
      </c>
      <c r="CD121" s="59">
        <f ca="1">AVERAGE(OFFSET($CC$3,0,0,'Données projet'!$E$12+1,1))-AVERAGE(OFFSET($H$3,0,0,'Données projet'!$E$12+1,1))</f>
        <v>225.2323446080772</v>
      </c>
      <c r="CE121" s="59">
        <f t="shared" si="94"/>
        <v>222.29030402759292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20.442067684773832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20.442067684773832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213.00000000000003</v>
      </c>
      <c r="CU121" s="17">
        <f>CT121*VLOOKUP('Données projet'!$B$13,Paramètres!$A$1:$I$89,3,0)*VLOOKUP('Données projet'!$B$13,Paramètres!$A$1:$I$89,5,0)</f>
        <v>206.01360000000005</v>
      </c>
      <c r="CV121" s="13">
        <f t="shared" si="95"/>
        <v>51.063487709141484</v>
      </c>
      <c r="CW121" s="20">
        <f t="shared" si="67"/>
        <v>447.74259442675481</v>
      </c>
      <c r="CX121" s="59">
        <f t="shared" si="68"/>
        <v>741.07592776008812</v>
      </c>
      <c r="CY121" s="59">
        <f ca="1">AVERAGE(OFFSET($CX$3,0,0,'Données projet'!$E$13+1,1))-AVERAGE(OFFSET($H$3,0,0,'Données projet'!$E$13+1,1))</f>
        <v>212.32823943192528</v>
      </c>
      <c r="CZ121" s="59">
        <f t="shared" si="96"/>
        <v>209.60834138503003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15.576748861650245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15.576748861650245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285.99999999999972</v>
      </c>
      <c r="DP121" s="17">
        <f>DO121*VLOOKUP('Données projet'!$B$14,Paramètres!$A$1:$I$89,3,0)*VLOOKUP('Données projet'!$B$14,Paramètres!$A$1:$I$89,5,0)</f>
        <v>223.07999999999979</v>
      </c>
      <c r="DQ121" s="13">
        <f t="shared" si="97"/>
        <v>54.783765878062617</v>
      </c>
      <c r="DR121" s="20">
        <f t="shared" si="70"/>
        <v>483.94605890429199</v>
      </c>
      <c r="DS121" s="59">
        <f t="shared" si="71"/>
        <v>777.2793922376253</v>
      </c>
      <c r="DT121" s="59">
        <f ca="1">AVERAGE(OFFSET($DS$3,0,0,'Données projet'!$E$14+1,1))-AVERAGE(OFFSET($H$3,0,0,'Données projet'!$E$14+1,1))</f>
        <v>215.84581110302656</v>
      </c>
      <c r="DU121" s="59">
        <f t="shared" si="98"/>
        <v>193.88588526156104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22.67647317643668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22.67647317643668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6">
        <f t="shared" si="56"/>
        <v>421.70687948469367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401</v>
      </c>
      <c r="O122" s="13">
        <f>N122*VLOOKUP('Données projet'!$B$9,Paramètres!$A$1:$I$89,3,0)*VLOOKUP('Données projet'!$B$9,Paramètres!$A$1:$I$89,5,0)</f>
        <v>250.22399999999999</v>
      </c>
      <c r="P122" s="13">
        <f t="shared" si="87"/>
        <v>60.633904580527918</v>
      </c>
      <c r="Q122" s="20">
        <f t="shared" si="107"/>
        <v>541.41085047775289</v>
      </c>
      <c r="R122" s="59">
        <f t="shared" si="55"/>
        <v>834.74418381108626</v>
      </c>
      <c r="S122" s="59">
        <f ca="1">AVERAGE(OFFSET($R$3,0,0,'Données projet'!$E$9+1,1))-AVERAGE(OFFSET($H$3,0,0,'Données projet'!$E$9+1,1))</f>
        <v>269.77739619445515</v>
      </c>
      <c r="T122" s="59">
        <f t="shared" si="88"/>
        <v>347.56964743629885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23.804301966506664</v>
      </c>
      <c r="AA122" s="21">
        <f>EXP(-LN(2)/25)*AA121+(1-EXP(-LN(2)/25))/(LN(2)/25)*Calculateur!V122*Calculateur!X122*VLOOKUP('Données projet'!$B$9,Paramètres!$A$1:$I$89,3,0)*0.475*44/12</f>
        <v>7.7786159140177471</v>
      </c>
      <c r="AB122" s="21">
        <f>EXP(-LN(2)/2)*AB121+(1-EXP(-LN(2)/2))/(LN(2)/2)*V122*Y122*VLOOKUP('Données projet'!$B$9,Paramètres!$A$1:$I$89,3,0)*0.475*44/12</f>
        <v>9.9836159444864423E-16</v>
      </c>
      <c r="AC122" s="22">
        <f t="shared" si="57"/>
        <v>31.582917880524413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789</v>
      </c>
      <c r="AJ122" s="13">
        <f>AI122*VLOOKUP('Données projet'!$B$10,Paramètres!$A$1:$I$89,3,0)*VLOOKUP('Données projet'!$B$10,Paramètres!$A$1:$I$89,5,0)</f>
        <v>389.76600000000002</v>
      </c>
      <c r="AK122" s="13">
        <f t="shared" si="89"/>
        <v>89.698759503620408</v>
      </c>
      <c r="AL122" s="20">
        <f t="shared" si="58"/>
        <v>835.06778946880547</v>
      </c>
      <c r="AM122" s="59">
        <f t="shared" si="59"/>
        <v>1128.4011228021388</v>
      </c>
      <c r="AN122" s="59">
        <f ca="1">AVERAGE(OFFSET($AM$3,0,0,'Données projet'!$E$10+1,1))-AVERAGE(OFFSET($H$3,0,0,'Données projet'!$E$10+1,1))</f>
        <v>396.27049617044378</v>
      </c>
      <c r="AO122" s="59">
        <f t="shared" si="90"/>
        <v>335.2680289568774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66.575846425053825</v>
      </c>
      <c r="AV122" s="21">
        <f>EXP(-LN(2)/25)*AV121+(1-EXP(-LN(2)/25))/(LN(2)/25)*Calculateur!AQ122*Calculateur!AS122*VLOOKUP('Données projet'!$B$10,Paramètres!$A$1:$I$89,3,0)*0.475*44/12</f>
        <v>3.9857067704284157</v>
      </c>
      <c r="AW122" s="21">
        <f>EXP(-LN(2)/2)*AW121+(1-EXP(-LN(2)/2))/(LN(2)/2)*AQ122*AT122*VLOOKUP('Données projet'!$B$10,Paramètres!$A$1:$I$89,3,0)*0.475*44/12</f>
        <v>1.5456116536279016E-14</v>
      </c>
      <c r="AX122" s="21">
        <f t="shared" si="60"/>
        <v>70.561553195482261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403.99999999999989</v>
      </c>
      <c r="BE122" s="13">
        <f>BD122*VLOOKUP('Données projet'!$B$11,Paramètres!$A$1:$I$89,3,0)*VLOOKUP('Données projet'!$B$11,Paramètres!$A$1:$I$89,5,0)</f>
        <v>346.63199999999995</v>
      </c>
      <c r="BF122" s="13">
        <f t="shared" si="91"/>
        <v>80.868615263336864</v>
      </c>
      <c r="BG122" s="20">
        <f t="shared" si="61"/>
        <v>744.56357158364483</v>
      </c>
      <c r="BH122" s="59">
        <f t="shared" si="62"/>
        <v>1037.8969049169782</v>
      </c>
      <c r="BI122" s="59">
        <f ca="1">AVERAGE(OFFSET($BH$3,0,0,'Données projet'!$E$11+1,1))-AVERAGE(OFFSET($H$3,0,0,'Données projet'!$E$11+1,1))</f>
        <v>352.61091660077574</v>
      </c>
      <c r="BJ122" s="59">
        <f t="shared" si="92"/>
        <v>186.48649111821521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101.95498968507367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101.95498968507367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266.99999999999983</v>
      </c>
      <c r="BZ122" s="13">
        <f>BY122*VLOOKUP('Données projet'!$B$12,Paramètres!$A$1:$I$89,3,0)*VLOOKUP('Données projet'!$B$12,Paramètres!$A$1:$I$89,5,0)</f>
        <v>212.42519999999985</v>
      </c>
      <c r="CA122" s="13">
        <f t="shared" si="93"/>
        <v>52.465198231787184</v>
      </c>
      <c r="CB122" s="20">
        <f t="shared" si="64"/>
        <v>461.35077692036231</v>
      </c>
      <c r="CC122" s="59">
        <f t="shared" si="65"/>
        <v>754.68411025369562</v>
      </c>
      <c r="CD122" s="59">
        <f ca="1">AVERAGE(OFFSET($CC$3,0,0,'Données projet'!$E$12+1,1))-AVERAGE(OFFSET($H$3,0,0,'Données projet'!$E$12+1,1))</f>
        <v>225.2323446080772</v>
      </c>
      <c r="CE122" s="59">
        <f t="shared" si="94"/>
        <v>222.29030402759292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20.041211205905551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20.041211205905551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213.00000000000003</v>
      </c>
      <c r="CU122" s="17">
        <f>CT122*VLOOKUP('Données projet'!$B$13,Paramètres!$A$1:$I$89,3,0)*VLOOKUP('Données projet'!$B$13,Paramètres!$A$1:$I$89,5,0)</f>
        <v>206.01360000000005</v>
      </c>
      <c r="CV122" s="13">
        <f t="shared" si="95"/>
        <v>51.063487709141484</v>
      </c>
      <c r="CW122" s="20">
        <f t="shared" si="67"/>
        <v>447.74259442675481</v>
      </c>
      <c r="CX122" s="59">
        <f t="shared" si="68"/>
        <v>741.07592776008812</v>
      </c>
      <c r="CY122" s="59">
        <f ca="1">AVERAGE(OFFSET($CX$3,0,0,'Données projet'!$E$13+1,1))-AVERAGE(OFFSET($H$3,0,0,'Données projet'!$E$13+1,1))</f>
        <v>212.32823943192528</v>
      </c>
      <c r="CZ122" s="59">
        <f t="shared" si="96"/>
        <v>209.60834138503003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15.271298317351956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15.271298317351956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285.99999999999972</v>
      </c>
      <c r="DP122" s="17">
        <f>DO122*VLOOKUP('Données projet'!$B$14,Paramètres!$A$1:$I$89,3,0)*VLOOKUP('Données projet'!$B$14,Paramètres!$A$1:$I$89,5,0)</f>
        <v>223.07999999999979</v>
      </c>
      <c r="DQ122" s="13">
        <f t="shared" si="97"/>
        <v>54.783765878062617</v>
      </c>
      <c r="DR122" s="20">
        <f t="shared" si="70"/>
        <v>483.94605890429199</v>
      </c>
      <c r="DS122" s="59">
        <f t="shared" si="71"/>
        <v>777.2793922376253</v>
      </c>
      <c r="DT122" s="59">
        <f ca="1">AVERAGE(OFFSET($DS$3,0,0,'Données projet'!$E$14+1,1))-AVERAGE(OFFSET($H$3,0,0,'Données projet'!$E$14+1,1))</f>
        <v>215.84581110302656</v>
      </c>
      <c r="DU122" s="59">
        <f t="shared" si="98"/>
        <v>193.88588526156104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22.23180136872967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22.23180136872967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6">
        <f t="shared" si="56"/>
        <v>422.75748932896221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401</v>
      </c>
      <c r="O123" s="13">
        <f>N123*VLOOKUP('Données projet'!$B$9,Paramètres!$A$1:$I$89,3,0)*VLOOKUP('Données projet'!$B$9,Paramètres!$A$1:$I$89,5,0)</f>
        <v>250.22399999999999</v>
      </c>
      <c r="P123" s="13">
        <f t="shared" si="87"/>
        <v>60.633904580527918</v>
      </c>
      <c r="Q123" s="20">
        <f t="shared" si="107"/>
        <v>541.41085047775289</v>
      </c>
      <c r="R123" s="59">
        <f t="shared" si="55"/>
        <v>834.74418381108626</v>
      </c>
      <c r="S123" s="59">
        <f ca="1">AVERAGE(OFFSET($R$3,0,0,'Données projet'!$E$9+1,1))-AVERAGE(OFFSET($H$3,0,0,'Données projet'!$E$9+1,1))</f>
        <v>269.77739619445515</v>
      </c>
      <c r="T123" s="59">
        <f t="shared" si="88"/>
        <v>347.56964743629885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23.337514124134017</v>
      </c>
      <c r="AA123" s="21">
        <f>EXP(-LN(2)/25)*AA122+(1-EXP(-LN(2)/25))/(LN(2)/25)*Calculateur!V123*Calculateur!X123*VLOOKUP('Données projet'!$B$9,Paramètres!$A$1:$I$89,3,0)*0.475*44/12</f>
        <v>7.5659092527892993</v>
      </c>
      <c r="AB123" s="21">
        <f>EXP(-LN(2)/2)*AB122+(1-EXP(-LN(2)/2))/(LN(2)/2)*V123*Y123*VLOOKUP('Données projet'!$B$9,Paramètres!$A$1:$I$89,3,0)*0.475*44/12</f>
        <v>7.0594825351085019E-16</v>
      </c>
      <c r="AC123" s="22">
        <f t="shared" si="57"/>
        <v>30.903423376923318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789</v>
      </c>
      <c r="AJ123" s="13">
        <f>AI123*VLOOKUP('Données projet'!$B$10,Paramètres!$A$1:$I$89,3,0)*VLOOKUP('Données projet'!$B$10,Paramètres!$A$1:$I$89,5,0)</f>
        <v>389.76600000000002</v>
      </c>
      <c r="AK123" s="13">
        <f t="shared" si="89"/>
        <v>89.698759503620408</v>
      </c>
      <c r="AL123" s="20">
        <f t="shared" si="58"/>
        <v>835.06778946880547</v>
      </c>
      <c r="AM123" s="59">
        <f t="shared" si="59"/>
        <v>1128.4011228021388</v>
      </c>
      <c r="AN123" s="59">
        <f ca="1">AVERAGE(OFFSET($AM$3,0,0,'Données projet'!$E$10+1,1))-AVERAGE(OFFSET($H$3,0,0,'Données projet'!$E$10+1,1))</f>
        <v>396.27049617044378</v>
      </c>
      <c r="AO123" s="59">
        <f t="shared" si="90"/>
        <v>335.2680289568774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65.270334683915209</v>
      </c>
      <c r="AV123" s="21">
        <f>EXP(-LN(2)/25)*AV122+(1-EXP(-LN(2)/25))/(LN(2)/25)*Calculateur!AQ123*Calculateur!AS123*VLOOKUP('Données projet'!$B$10,Paramètres!$A$1:$I$89,3,0)*0.475*44/12</f>
        <v>3.876717409191841</v>
      </c>
      <c r="AW123" s="21">
        <f>EXP(-LN(2)/2)*AW122+(1-EXP(-LN(2)/2))/(LN(2)/2)*AQ123*AT123*VLOOKUP('Données projet'!$B$10,Paramètres!$A$1:$I$89,3,0)*0.475*44/12</f>
        <v>1.0929124813612425E-14</v>
      </c>
      <c r="AX123" s="21">
        <f t="shared" si="60"/>
        <v>69.147052093107064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403.99999999999989</v>
      </c>
      <c r="BE123" s="13">
        <f>BD123*VLOOKUP('Données projet'!$B$11,Paramètres!$A$1:$I$89,3,0)*VLOOKUP('Données projet'!$B$11,Paramètres!$A$1:$I$89,5,0)</f>
        <v>346.63199999999995</v>
      </c>
      <c r="BF123" s="13">
        <f t="shared" si="91"/>
        <v>80.868615263336864</v>
      </c>
      <c r="BG123" s="20">
        <f t="shared" si="61"/>
        <v>744.56357158364483</v>
      </c>
      <c r="BH123" s="59">
        <f t="shared" si="62"/>
        <v>1037.8969049169782</v>
      </c>
      <c r="BI123" s="59">
        <f ca="1">AVERAGE(OFFSET($BH$3,0,0,'Données projet'!$E$11+1,1))-AVERAGE(OFFSET($H$3,0,0,'Données projet'!$E$11+1,1))</f>
        <v>352.61091660077574</v>
      </c>
      <c r="BJ123" s="59">
        <f t="shared" si="92"/>
        <v>186.48649111821521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99.95571452375269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99.95571452375269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266.99999999999983</v>
      </c>
      <c r="BZ123" s="13">
        <f>BY123*VLOOKUP('Données projet'!$B$12,Paramètres!$A$1:$I$89,3,0)*VLOOKUP('Données projet'!$B$12,Paramètres!$A$1:$I$89,5,0)</f>
        <v>212.42519999999985</v>
      </c>
      <c r="CA123" s="13">
        <f t="shared" si="93"/>
        <v>52.465198231787184</v>
      </c>
      <c r="CB123" s="20">
        <f t="shared" si="64"/>
        <v>461.35077692036231</v>
      </c>
      <c r="CC123" s="59">
        <f t="shared" si="65"/>
        <v>754.68411025369562</v>
      </c>
      <c r="CD123" s="59">
        <f ca="1">AVERAGE(OFFSET($CC$3,0,0,'Données projet'!$E$12+1,1))-AVERAGE(OFFSET($H$3,0,0,'Données projet'!$E$12+1,1))</f>
        <v>225.2323446080772</v>
      </c>
      <c r="CE123" s="59">
        <f t="shared" si="94"/>
        <v>222.29030402759292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19.648215278089566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19.648215278089566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213.00000000000003</v>
      </c>
      <c r="CU123" s="17">
        <f>CT123*VLOOKUP('Données projet'!$B$13,Paramètres!$A$1:$I$89,3,0)*VLOOKUP('Données projet'!$B$13,Paramètres!$A$1:$I$89,5,0)</f>
        <v>206.01360000000005</v>
      </c>
      <c r="CV123" s="13">
        <f t="shared" si="95"/>
        <v>51.063487709141484</v>
      </c>
      <c r="CW123" s="20">
        <f t="shared" si="67"/>
        <v>447.74259442675481</v>
      </c>
      <c r="CX123" s="59">
        <f t="shared" si="68"/>
        <v>741.07592776008812</v>
      </c>
      <c r="CY123" s="59">
        <f ca="1">AVERAGE(OFFSET($CX$3,0,0,'Données projet'!$E$13+1,1))-AVERAGE(OFFSET($H$3,0,0,'Données projet'!$E$13+1,1))</f>
        <v>212.32823943192528</v>
      </c>
      <c r="CZ123" s="59">
        <f t="shared" si="96"/>
        <v>209.60834138503003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14.971837471920921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14.971837471920921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285.99999999999972</v>
      </c>
      <c r="DP123" s="17">
        <f>DO123*VLOOKUP('Données projet'!$B$14,Paramètres!$A$1:$I$89,3,0)*VLOOKUP('Données projet'!$B$14,Paramètres!$A$1:$I$89,5,0)</f>
        <v>223.07999999999979</v>
      </c>
      <c r="DQ123" s="13">
        <f t="shared" si="97"/>
        <v>54.783765878062617</v>
      </c>
      <c r="DR123" s="20">
        <f t="shared" si="70"/>
        <v>483.94605890429199</v>
      </c>
      <c r="DS123" s="59">
        <f t="shared" si="71"/>
        <v>777.2793922376253</v>
      </c>
      <c r="DT123" s="59">
        <f ca="1">AVERAGE(OFFSET($DS$3,0,0,'Données projet'!$E$14+1,1))-AVERAGE(OFFSET($H$3,0,0,'Données projet'!$E$14+1,1))</f>
        <v>215.84581110302656</v>
      </c>
      <c r="DU123" s="59">
        <f t="shared" si="98"/>
        <v>193.88588526156104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21.795849303948771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21.795849303948771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6">
        <f t="shared" si="56"/>
        <v>423.80789278868326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401</v>
      </c>
      <c r="O124" s="13">
        <f>N124*VLOOKUP('Données projet'!$B$9,Paramètres!$A$1:$I$89,3,0)*VLOOKUP('Données projet'!$B$9,Paramètres!$A$1:$I$89,5,0)</f>
        <v>250.22399999999999</v>
      </c>
      <c r="P124" s="13">
        <f t="shared" si="87"/>
        <v>60.633904580527918</v>
      </c>
      <c r="Q124" s="20">
        <f t="shared" si="107"/>
        <v>541.41085047775289</v>
      </c>
      <c r="R124" s="59">
        <f t="shared" si="55"/>
        <v>834.74418381108626</v>
      </c>
      <c r="S124" s="59">
        <f ca="1">AVERAGE(OFFSET($R$3,0,0,'Données projet'!$E$9+1,1))-AVERAGE(OFFSET($H$3,0,0,'Données projet'!$E$9+1,1))</f>
        <v>269.77739619445515</v>
      </c>
      <c r="T124" s="59">
        <f t="shared" si="88"/>
        <v>347.56964743629885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22.879879706637826</v>
      </c>
      <c r="AA124" s="21">
        <f>EXP(-LN(2)/25)*AA123+(1-EXP(-LN(2)/25))/(LN(2)/25)*Calculateur!V124*Calculateur!X124*VLOOKUP('Données projet'!$B$9,Paramètres!$A$1:$I$89,3,0)*0.475*44/12</f>
        <v>7.3590190663979005</v>
      </c>
      <c r="AB124" s="21">
        <f>EXP(-LN(2)/2)*AB123+(1-EXP(-LN(2)/2))/(LN(2)/2)*V124*Y124*VLOOKUP('Données projet'!$B$9,Paramètres!$A$1:$I$89,3,0)*0.475*44/12</f>
        <v>4.9918079722432212E-16</v>
      </c>
      <c r="AC124" s="22">
        <f t="shared" si="57"/>
        <v>30.238898773035729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789</v>
      </c>
      <c r="AJ124" s="13">
        <f>AI124*VLOOKUP('Données projet'!$B$10,Paramètres!$A$1:$I$89,3,0)*VLOOKUP('Données projet'!$B$10,Paramètres!$A$1:$I$89,5,0)</f>
        <v>389.76600000000002</v>
      </c>
      <c r="AK124" s="13">
        <f t="shared" si="89"/>
        <v>89.698759503620408</v>
      </c>
      <c r="AL124" s="20">
        <f t="shared" si="58"/>
        <v>835.06778946880547</v>
      </c>
      <c r="AM124" s="59">
        <f t="shared" si="59"/>
        <v>1128.4011228021388</v>
      </c>
      <c r="AN124" s="59">
        <f ca="1">AVERAGE(OFFSET($AM$3,0,0,'Données projet'!$E$10+1,1))-AVERAGE(OFFSET($H$3,0,0,'Données projet'!$E$10+1,1))</f>
        <v>396.27049617044378</v>
      </c>
      <c r="AO124" s="59">
        <f t="shared" si="90"/>
        <v>335.2680289568774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63.990423231736784</v>
      </c>
      <c r="AV124" s="21">
        <f>EXP(-LN(2)/25)*AV123+(1-EXP(-LN(2)/25))/(LN(2)/25)*Calculateur!AQ124*Calculateur!AS124*VLOOKUP('Données projet'!$B$10,Paramètres!$A$1:$I$89,3,0)*0.475*44/12</f>
        <v>3.7707083677697821</v>
      </c>
      <c r="AW124" s="21">
        <f>EXP(-LN(2)/2)*AW123+(1-EXP(-LN(2)/2))/(LN(2)/2)*AQ124*AT124*VLOOKUP('Données projet'!$B$10,Paramètres!$A$1:$I$89,3,0)*0.475*44/12</f>
        <v>7.7280582681395078E-15</v>
      </c>
      <c r="AX124" s="21">
        <f t="shared" si="60"/>
        <v>67.761131599506584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403.99999999999989</v>
      </c>
      <c r="BE124" s="13">
        <f>BD124*VLOOKUP('Données projet'!$B$11,Paramètres!$A$1:$I$89,3,0)*VLOOKUP('Données projet'!$B$11,Paramètres!$A$1:$I$89,5,0)</f>
        <v>346.63199999999995</v>
      </c>
      <c r="BF124" s="13">
        <f t="shared" si="91"/>
        <v>80.868615263336864</v>
      </c>
      <c r="BG124" s="20">
        <f t="shared" si="61"/>
        <v>744.56357158364483</v>
      </c>
      <c r="BH124" s="59">
        <f t="shared" si="62"/>
        <v>1037.8969049169782</v>
      </c>
      <c r="BI124" s="59">
        <f ca="1">AVERAGE(OFFSET($BH$3,0,0,'Données projet'!$E$11+1,1))-AVERAGE(OFFSET($H$3,0,0,'Données projet'!$E$11+1,1))</f>
        <v>352.61091660077574</v>
      </c>
      <c r="BJ124" s="59">
        <f t="shared" si="92"/>
        <v>186.48649111821521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97.995643928907768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97.995643928907768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266.99999999999983</v>
      </c>
      <c r="BZ124" s="13">
        <f>BY124*VLOOKUP('Données projet'!$B$12,Paramètres!$A$1:$I$89,3,0)*VLOOKUP('Données projet'!$B$12,Paramètres!$A$1:$I$89,5,0)</f>
        <v>212.42519999999985</v>
      </c>
      <c r="CA124" s="13">
        <f t="shared" si="93"/>
        <v>52.465198231787184</v>
      </c>
      <c r="CB124" s="20">
        <f t="shared" si="64"/>
        <v>461.35077692036231</v>
      </c>
      <c r="CC124" s="59">
        <f t="shared" si="65"/>
        <v>754.68411025369562</v>
      </c>
      <c r="CD124" s="59">
        <f ca="1">AVERAGE(OFFSET($CC$3,0,0,'Données projet'!$E$12+1,1))-AVERAGE(OFFSET($H$3,0,0,'Données projet'!$E$12+1,1))</f>
        <v>225.2323446080772</v>
      </c>
      <c r="CE124" s="59">
        <f t="shared" si="94"/>
        <v>222.29030402759292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19.262925760714204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19.262925760714204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213.00000000000003</v>
      </c>
      <c r="CU124" s="17">
        <f>CT124*VLOOKUP('Données projet'!$B$13,Paramètres!$A$1:$I$89,3,0)*VLOOKUP('Données projet'!$B$13,Paramètres!$A$1:$I$89,5,0)</f>
        <v>206.01360000000005</v>
      </c>
      <c r="CV124" s="13">
        <f t="shared" si="95"/>
        <v>51.063487709141484</v>
      </c>
      <c r="CW124" s="20">
        <f t="shared" si="67"/>
        <v>447.74259442675481</v>
      </c>
      <c r="CX124" s="59">
        <f t="shared" si="68"/>
        <v>741.07592776008812</v>
      </c>
      <c r="CY124" s="59">
        <f ca="1">AVERAGE(OFFSET($CX$3,0,0,'Données projet'!$E$13+1,1))-AVERAGE(OFFSET($H$3,0,0,'Données projet'!$E$13+1,1))</f>
        <v>212.32823943192528</v>
      </c>
      <c r="CZ124" s="59">
        <f t="shared" si="96"/>
        <v>209.60834138503003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14.678248871015708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14.678248871015708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285.99999999999972</v>
      </c>
      <c r="DP124" s="17">
        <f>DO124*VLOOKUP('Données projet'!$B$14,Paramètres!$A$1:$I$89,3,0)*VLOOKUP('Données projet'!$B$14,Paramètres!$A$1:$I$89,5,0)</f>
        <v>223.07999999999979</v>
      </c>
      <c r="DQ124" s="13">
        <f t="shared" si="97"/>
        <v>54.783765878062617</v>
      </c>
      <c r="DR124" s="20">
        <f t="shared" si="70"/>
        <v>483.94605890429199</v>
      </c>
      <c r="DS124" s="59">
        <f t="shared" si="71"/>
        <v>777.2793922376253</v>
      </c>
      <c r="DT124" s="59">
        <f ca="1">AVERAGE(OFFSET($DS$3,0,0,'Données projet'!$E$14+1,1))-AVERAGE(OFFSET($H$3,0,0,'Données projet'!$E$14+1,1))</f>
        <v>215.84581110302656</v>
      </c>
      <c r="DU124" s="59">
        <f t="shared" si="98"/>
        <v>193.88588526156104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21.368445993253722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21.368445993253722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6">
        <f t="shared" si="56"/>
        <v>424.85809176718089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401</v>
      </c>
      <c r="O125" s="13">
        <f>N125*VLOOKUP('Données projet'!$B$9,Paramètres!$A$1:$I$89,3,0)*VLOOKUP('Données projet'!$B$9,Paramètres!$A$1:$I$89,5,0)</f>
        <v>250.22399999999999</v>
      </c>
      <c r="P125" s="13">
        <f t="shared" si="87"/>
        <v>60.633904580527918</v>
      </c>
      <c r="Q125" s="20">
        <f t="shared" si="107"/>
        <v>541.41085047775289</v>
      </c>
      <c r="R125" s="59">
        <f t="shared" si="55"/>
        <v>834.74418381108626</v>
      </c>
      <c r="S125" s="59">
        <f ca="1">AVERAGE(OFFSET($R$3,0,0,'Données projet'!$E$9+1,1))-AVERAGE(OFFSET($H$3,0,0,'Données projet'!$E$9+1,1))</f>
        <v>269.77739619445515</v>
      </c>
      <c r="T125" s="59">
        <f t="shared" si="88"/>
        <v>347.56964743629885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22.431219220939305</v>
      </c>
      <c r="AA125" s="21">
        <f>EXP(-LN(2)/25)*AA124+(1-EXP(-LN(2)/25))/(LN(2)/25)*Calculateur!V125*Calculateur!X125*VLOOKUP('Données projet'!$B$9,Paramètres!$A$1:$I$89,3,0)*0.475*44/12</f>
        <v>7.157786303033256</v>
      </c>
      <c r="AB125" s="21">
        <f>EXP(-LN(2)/2)*AB124+(1-EXP(-LN(2)/2))/(LN(2)/2)*V125*Y125*VLOOKUP('Données projet'!$B$9,Paramètres!$A$1:$I$89,3,0)*0.475*44/12</f>
        <v>3.529741267554251E-16</v>
      </c>
      <c r="AC125" s="22">
        <f t="shared" si="57"/>
        <v>29.58900552397256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789</v>
      </c>
      <c r="AJ125" s="13">
        <f>AI125*VLOOKUP('Données projet'!$B$10,Paramètres!$A$1:$I$89,3,0)*VLOOKUP('Données projet'!$B$10,Paramètres!$A$1:$I$89,5,0)</f>
        <v>389.76600000000002</v>
      </c>
      <c r="AK125" s="13">
        <f t="shared" si="89"/>
        <v>89.698759503620408</v>
      </c>
      <c r="AL125" s="20">
        <f t="shared" si="58"/>
        <v>835.06778946880547</v>
      </c>
      <c r="AM125" s="59">
        <f t="shared" si="59"/>
        <v>1128.4011228021388</v>
      </c>
      <c r="AN125" s="59">
        <f ca="1">AVERAGE(OFFSET($AM$3,0,0,'Données projet'!$E$10+1,1))-AVERAGE(OFFSET($H$3,0,0,'Données projet'!$E$10+1,1))</f>
        <v>396.27049617044378</v>
      </c>
      <c r="AO125" s="59">
        <f t="shared" si="90"/>
        <v>335.2680289568774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62.735610062466677</v>
      </c>
      <c r="AV125" s="21">
        <f>EXP(-LN(2)/25)*AV124+(1-EXP(-LN(2)/25))/(LN(2)/25)*Calculateur!AQ125*Calculateur!AS125*VLOOKUP('Données projet'!$B$10,Paramètres!$A$1:$I$89,3,0)*0.475*44/12</f>
        <v>3.6675981491601823</v>
      </c>
      <c r="AW125" s="21">
        <f>EXP(-LN(2)/2)*AW124+(1-EXP(-LN(2)/2))/(LN(2)/2)*AQ125*AT125*VLOOKUP('Données projet'!$B$10,Paramètres!$A$1:$I$89,3,0)*0.475*44/12</f>
        <v>5.4645624068062124E-15</v>
      </c>
      <c r="AX125" s="21">
        <f t="shared" si="60"/>
        <v>66.403208211626861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403.99999999999989</v>
      </c>
      <c r="BE125" s="13">
        <f>BD125*VLOOKUP('Données projet'!$B$11,Paramètres!$A$1:$I$89,3,0)*VLOOKUP('Données projet'!$B$11,Paramètres!$A$1:$I$89,5,0)</f>
        <v>346.63199999999995</v>
      </c>
      <c r="BF125" s="13">
        <f t="shared" si="91"/>
        <v>80.868615263336864</v>
      </c>
      <c r="BG125" s="20">
        <f t="shared" si="61"/>
        <v>744.56357158364483</v>
      </c>
      <c r="BH125" s="59">
        <f t="shared" si="62"/>
        <v>1037.8969049169782</v>
      </c>
      <c r="BI125" s="59">
        <f ca="1">AVERAGE(OFFSET($BH$3,0,0,'Données projet'!$E$11+1,1))-AVERAGE(OFFSET($H$3,0,0,'Données projet'!$E$11+1,1))</f>
        <v>352.61091660077574</v>
      </c>
      <c r="BJ125" s="59">
        <f t="shared" si="92"/>
        <v>186.48649111821521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96.074009122902737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96.074009122902737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266.99999999999983</v>
      </c>
      <c r="BZ125" s="13">
        <f>BY125*VLOOKUP('Données projet'!$B$12,Paramètres!$A$1:$I$89,3,0)*VLOOKUP('Données projet'!$B$12,Paramètres!$A$1:$I$89,5,0)</f>
        <v>212.42519999999985</v>
      </c>
      <c r="CA125" s="13">
        <f t="shared" si="93"/>
        <v>52.465198231787184</v>
      </c>
      <c r="CB125" s="20">
        <f t="shared" si="64"/>
        <v>461.35077692036231</v>
      </c>
      <c r="CC125" s="59">
        <f t="shared" si="65"/>
        <v>754.68411025369562</v>
      </c>
      <c r="CD125" s="59">
        <f ca="1">AVERAGE(OFFSET($CC$3,0,0,'Données projet'!$E$12+1,1))-AVERAGE(OFFSET($H$3,0,0,'Données projet'!$E$12+1,1))</f>
        <v>225.2323446080772</v>
      </c>
      <c r="CE125" s="59">
        <f t="shared" si="94"/>
        <v>222.29030402759292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18.885191535771174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18.885191535771174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213.00000000000003</v>
      </c>
      <c r="CU125" s="17">
        <f>CT125*VLOOKUP('Données projet'!$B$13,Paramètres!$A$1:$I$89,3,0)*VLOOKUP('Données projet'!$B$13,Paramètres!$A$1:$I$89,5,0)</f>
        <v>206.01360000000005</v>
      </c>
      <c r="CV125" s="13">
        <f t="shared" si="95"/>
        <v>51.063487709141484</v>
      </c>
      <c r="CW125" s="20">
        <f t="shared" si="67"/>
        <v>447.74259442675481</v>
      </c>
      <c r="CX125" s="59">
        <f t="shared" si="68"/>
        <v>741.07592776008812</v>
      </c>
      <c r="CY125" s="59">
        <f ca="1">AVERAGE(OFFSET($CX$3,0,0,'Données projet'!$E$13+1,1))-AVERAGE(OFFSET($H$3,0,0,'Données projet'!$E$13+1,1))</f>
        <v>212.32823943192528</v>
      </c>
      <c r="CZ125" s="59">
        <f t="shared" si="96"/>
        <v>209.60834138503003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14.39041736350288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14.39041736350288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285.99999999999972</v>
      </c>
      <c r="DP125" s="17">
        <f>DO125*VLOOKUP('Données projet'!$B$14,Paramètres!$A$1:$I$89,3,0)*VLOOKUP('Données projet'!$B$14,Paramètres!$A$1:$I$89,5,0)</f>
        <v>223.07999999999979</v>
      </c>
      <c r="DQ125" s="13">
        <f t="shared" si="97"/>
        <v>54.783765878062617</v>
      </c>
      <c r="DR125" s="20">
        <f t="shared" si="70"/>
        <v>483.94605890429199</v>
      </c>
      <c r="DS125" s="59">
        <f t="shared" si="71"/>
        <v>777.2793922376253</v>
      </c>
      <c r="DT125" s="59">
        <f ca="1">AVERAGE(OFFSET($DS$3,0,0,'Données projet'!$E$14+1,1))-AVERAGE(OFFSET($H$3,0,0,'Données projet'!$E$14+1,1))</f>
        <v>215.84581110302656</v>
      </c>
      <c r="DU125" s="59">
        <f t="shared" si="98"/>
        <v>193.88588526156104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20.949423800791124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20.949423800791124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6">
        <f t="shared" si="56"/>
        <v>425.90808813477543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401</v>
      </c>
      <c r="O126" s="13">
        <f>N126*VLOOKUP('Données projet'!$B$9,Paramètres!$A$1:$I$89,3,0)*VLOOKUP('Données projet'!$B$9,Paramètres!$A$1:$I$89,5,0)</f>
        <v>250.22399999999999</v>
      </c>
      <c r="P126" s="13">
        <f t="shared" si="87"/>
        <v>60.633904580527918</v>
      </c>
      <c r="Q126" s="20">
        <f t="shared" si="107"/>
        <v>541.41085047775289</v>
      </c>
      <c r="R126" s="59">
        <f t="shared" si="55"/>
        <v>834.74418381108626</v>
      </c>
      <c r="S126" s="59">
        <f ca="1">AVERAGE(OFFSET($R$3,0,0,'Données projet'!$E$9+1,1))-AVERAGE(OFFSET($H$3,0,0,'Données projet'!$E$9+1,1))</f>
        <v>269.77739619445515</v>
      </c>
      <c r="T126" s="59">
        <f t="shared" si="88"/>
        <v>347.56964743629885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21.991356693709456</v>
      </c>
      <c r="AA126" s="21">
        <f>EXP(-LN(2)/25)*AA125+(1-EXP(-LN(2)/25))/(LN(2)/25)*Calculateur!V126*Calculateur!X126*VLOOKUP('Données projet'!$B$9,Paramètres!$A$1:$I$89,3,0)*0.475*44/12</f>
        <v>6.9620562601651894</v>
      </c>
      <c r="AB126" s="21">
        <f>EXP(-LN(2)/2)*AB125+(1-EXP(-LN(2)/2))/(LN(2)/2)*V126*Y126*VLOOKUP('Données projet'!$B$9,Paramètres!$A$1:$I$89,3,0)*0.475*44/12</f>
        <v>2.4959039861216106E-16</v>
      </c>
      <c r="AC126" s="22">
        <f t="shared" si="57"/>
        <v>28.953412953874647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789</v>
      </c>
      <c r="AJ126" s="13">
        <f>AI126*VLOOKUP('Données projet'!$B$10,Paramètres!$A$1:$I$89,3,0)*VLOOKUP('Données projet'!$B$10,Paramètres!$A$1:$I$89,5,0)</f>
        <v>389.76600000000002</v>
      </c>
      <c r="AK126" s="13">
        <f t="shared" si="89"/>
        <v>89.698759503620408</v>
      </c>
      <c r="AL126" s="20">
        <f t="shared" si="58"/>
        <v>835.06778946880547</v>
      </c>
      <c r="AM126" s="59">
        <f t="shared" si="59"/>
        <v>1128.4011228021388</v>
      </c>
      <c r="AN126" s="59">
        <f ca="1">AVERAGE(OFFSET($AM$3,0,0,'Données projet'!$E$10+1,1))-AVERAGE(OFFSET($H$3,0,0,'Données projet'!$E$10+1,1))</f>
        <v>396.27049617044378</v>
      </c>
      <c r="AO126" s="59">
        <f t="shared" si="90"/>
        <v>335.2680289568774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61.505403014085495</v>
      </c>
      <c r="AV126" s="21">
        <f>EXP(-LN(2)/25)*AV125+(1-EXP(-LN(2)/25))/(LN(2)/25)*Calculateur!AQ126*Calculateur!AS126*VLOOKUP('Données projet'!$B$10,Paramètres!$A$1:$I$89,3,0)*0.475*44/12</f>
        <v>3.5673074849007929</v>
      </c>
      <c r="AW126" s="21">
        <f>EXP(-LN(2)/2)*AW125+(1-EXP(-LN(2)/2))/(LN(2)/2)*AQ126*AT126*VLOOKUP('Données projet'!$B$10,Paramètres!$A$1:$I$89,3,0)*0.475*44/12</f>
        <v>3.8640291340697539E-15</v>
      </c>
      <c r="AX126" s="21">
        <f t="shared" si="60"/>
        <v>65.072710498986282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403.99999999999989</v>
      </c>
      <c r="BE126" s="13">
        <f>BD126*VLOOKUP('Données projet'!$B$11,Paramètres!$A$1:$I$89,3,0)*VLOOKUP('Données projet'!$B$11,Paramètres!$A$1:$I$89,5,0)</f>
        <v>346.63199999999995</v>
      </c>
      <c r="BF126" s="13">
        <f t="shared" si="91"/>
        <v>80.868615263336864</v>
      </c>
      <c r="BG126" s="20">
        <f t="shared" si="61"/>
        <v>744.56357158364483</v>
      </c>
      <c r="BH126" s="59">
        <f t="shared" si="62"/>
        <v>1037.8969049169782</v>
      </c>
      <c r="BI126" s="59">
        <f ca="1">AVERAGE(OFFSET($BH$3,0,0,'Données projet'!$E$11+1,1))-AVERAGE(OFFSET($H$3,0,0,'Données projet'!$E$11+1,1))</f>
        <v>352.61091660077574</v>
      </c>
      <c r="BJ126" s="59">
        <f t="shared" si="92"/>
        <v>186.48649111821521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94.190056403361979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94.190056403361979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266.99999999999983</v>
      </c>
      <c r="BZ126" s="13">
        <f>BY126*VLOOKUP('Données projet'!$B$12,Paramètres!$A$1:$I$89,3,0)*VLOOKUP('Données projet'!$B$12,Paramètres!$A$1:$I$89,5,0)</f>
        <v>212.42519999999985</v>
      </c>
      <c r="CA126" s="13">
        <f t="shared" si="93"/>
        <v>52.465198231787184</v>
      </c>
      <c r="CB126" s="20">
        <f t="shared" si="64"/>
        <v>461.35077692036231</v>
      </c>
      <c r="CC126" s="59">
        <f t="shared" si="65"/>
        <v>754.68411025369562</v>
      </c>
      <c r="CD126" s="59">
        <f ca="1">AVERAGE(OFFSET($CC$3,0,0,'Données projet'!$E$12+1,1))-AVERAGE(OFFSET($H$3,0,0,'Données projet'!$E$12+1,1))</f>
        <v>225.2323446080772</v>
      </c>
      <c r="CE126" s="59">
        <f t="shared" si="94"/>
        <v>222.29030402759292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18.514864448584149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18.514864448584149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213.00000000000003</v>
      </c>
      <c r="CU126" s="17">
        <f>CT126*VLOOKUP('Données projet'!$B$13,Paramètres!$A$1:$I$89,3,0)*VLOOKUP('Données projet'!$B$13,Paramètres!$A$1:$I$89,5,0)</f>
        <v>206.01360000000005</v>
      </c>
      <c r="CV126" s="13">
        <f t="shared" si="95"/>
        <v>51.063487709141484</v>
      </c>
      <c r="CW126" s="20">
        <f t="shared" si="67"/>
        <v>447.74259442675481</v>
      </c>
      <c r="CX126" s="59">
        <f t="shared" si="68"/>
        <v>741.07592776008812</v>
      </c>
      <c r="CY126" s="59">
        <f ca="1">AVERAGE(OFFSET($CX$3,0,0,'Données projet'!$E$13+1,1))-AVERAGE(OFFSET($H$3,0,0,'Données projet'!$E$13+1,1))</f>
        <v>212.32823943192528</v>
      </c>
      <c r="CZ126" s="59">
        <f t="shared" si="96"/>
        <v>209.60834138503003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14.108230056292495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14.108230056292495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285.99999999999972</v>
      </c>
      <c r="DP126" s="17">
        <f>DO126*VLOOKUP('Données projet'!$B$14,Paramètres!$A$1:$I$89,3,0)*VLOOKUP('Données projet'!$B$14,Paramètres!$A$1:$I$89,5,0)</f>
        <v>223.07999999999979</v>
      </c>
      <c r="DQ126" s="13">
        <f t="shared" si="97"/>
        <v>54.783765878062617</v>
      </c>
      <c r="DR126" s="20">
        <f t="shared" si="70"/>
        <v>483.94605890429199</v>
      </c>
      <c r="DS126" s="59">
        <f t="shared" si="71"/>
        <v>777.2793922376253</v>
      </c>
      <c r="DT126" s="59">
        <f ca="1">AVERAGE(OFFSET($DS$3,0,0,'Données projet'!$E$14+1,1))-AVERAGE(OFFSET($H$3,0,0,'Données projet'!$E$14+1,1))</f>
        <v>215.84581110302656</v>
      </c>
      <c r="DU126" s="59">
        <f t="shared" si="98"/>
        <v>193.88588526156104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20.538618377944417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20.538618377944417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6">
        <f t="shared" si="56"/>
        <v>426.95788372961988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401</v>
      </c>
      <c r="O127" s="13">
        <f>N127*VLOOKUP('Données projet'!$B$9,Paramètres!$A$1:$I$89,3,0)*VLOOKUP('Données projet'!$B$9,Paramètres!$A$1:$I$89,5,0)</f>
        <v>250.22399999999999</v>
      </c>
      <c r="P127" s="13">
        <f t="shared" si="87"/>
        <v>60.633904580527918</v>
      </c>
      <c r="Q127" s="20">
        <f t="shared" si="107"/>
        <v>541.41085047775289</v>
      </c>
      <c r="R127" s="59">
        <f t="shared" si="55"/>
        <v>834.74418381108626</v>
      </c>
      <c r="S127" s="59">
        <f ca="1">AVERAGE(OFFSET($R$3,0,0,'Données projet'!$E$9+1,1))-AVERAGE(OFFSET($H$3,0,0,'Données projet'!$E$9+1,1))</f>
        <v>269.77739619445515</v>
      </c>
      <c r="T127" s="59">
        <f t="shared" si="88"/>
        <v>347.56964743629885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21.560119602348934</v>
      </c>
      <c r="AA127" s="21">
        <f>EXP(-LN(2)/25)*AA126+(1-EXP(-LN(2)/25))/(LN(2)/25)*Calculateur!V127*Calculateur!X127*VLOOKUP('Données projet'!$B$9,Paramètres!$A$1:$I$89,3,0)*0.475*44/12</f>
        <v>6.7716784656123457</v>
      </c>
      <c r="AB127" s="21">
        <f>EXP(-LN(2)/2)*AB126+(1-EXP(-LN(2)/2))/(LN(2)/2)*V127*Y127*VLOOKUP('Données projet'!$B$9,Paramètres!$A$1:$I$89,3,0)*0.475*44/12</f>
        <v>1.7648706337771255E-16</v>
      </c>
      <c r="AC127" s="22">
        <f t="shared" si="57"/>
        <v>28.33179806796128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789</v>
      </c>
      <c r="AJ127" s="13">
        <f>AI127*VLOOKUP('Données projet'!$B$10,Paramètres!$A$1:$I$89,3,0)*VLOOKUP('Données projet'!$B$10,Paramètres!$A$1:$I$89,5,0)</f>
        <v>389.76600000000002</v>
      </c>
      <c r="AK127" s="13">
        <f t="shared" si="89"/>
        <v>89.698759503620408</v>
      </c>
      <c r="AL127" s="20">
        <f t="shared" si="58"/>
        <v>835.06778946880547</v>
      </c>
      <c r="AM127" s="59">
        <f t="shared" si="59"/>
        <v>1128.4011228021388</v>
      </c>
      <c r="AN127" s="59">
        <f ca="1">AVERAGE(OFFSET($AM$3,0,0,'Données projet'!$E$10+1,1))-AVERAGE(OFFSET($H$3,0,0,'Données projet'!$E$10+1,1))</f>
        <v>396.27049617044378</v>
      </c>
      <c r="AO127" s="59">
        <f t="shared" si="90"/>
        <v>335.2680289568774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60.299319575570856</v>
      </c>
      <c r="AV127" s="21">
        <f>EXP(-LN(2)/25)*AV126+(1-EXP(-LN(2)/25))/(LN(2)/25)*Calculateur!AQ127*Calculateur!AS127*VLOOKUP('Données projet'!$B$10,Paramètres!$A$1:$I$89,3,0)*0.475*44/12</f>
        <v>3.469759274129633</v>
      </c>
      <c r="AW127" s="21">
        <f>EXP(-LN(2)/2)*AW126+(1-EXP(-LN(2)/2))/(LN(2)/2)*AQ127*AT127*VLOOKUP('Données projet'!$B$10,Paramètres!$A$1:$I$89,3,0)*0.475*44/12</f>
        <v>2.7322812034031062E-15</v>
      </c>
      <c r="AX127" s="21">
        <f t="shared" si="60"/>
        <v>63.769078849700492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403.99999999999989</v>
      </c>
      <c r="BE127" s="13">
        <f>BD127*VLOOKUP('Données projet'!$B$11,Paramètres!$A$1:$I$89,3,0)*VLOOKUP('Données projet'!$B$11,Paramètres!$A$1:$I$89,5,0)</f>
        <v>346.63199999999995</v>
      </c>
      <c r="BF127" s="13">
        <f t="shared" si="91"/>
        <v>80.868615263336864</v>
      </c>
      <c r="BG127" s="20">
        <f t="shared" si="61"/>
        <v>744.56357158364483</v>
      </c>
      <c r="BH127" s="59">
        <f t="shared" si="62"/>
        <v>1037.8969049169782</v>
      </c>
      <c r="BI127" s="59">
        <f ca="1">AVERAGE(OFFSET($BH$3,0,0,'Données projet'!$E$11+1,1))-AVERAGE(OFFSET($H$3,0,0,'Données projet'!$E$11+1,1))</f>
        <v>352.61091660077574</v>
      </c>
      <c r="BJ127" s="59">
        <f t="shared" si="92"/>
        <v>186.48649111821521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92.343046847553708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92.343046847553708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266.99999999999983</v>
      </c>
      <c r="BZ127" s="13">
        <f>BY127*VLOOKUP('Données projet'!$B$12,Paramètres!$A$1:$I$89,3,0)*VLOOKUP('Données projet'!$B$12,Paramètres!$A$1:$I$89,5,0)</f>
        <v>212.42519999999985</v>
      </c>
      <c r="CA127" s="13">
        <f t="shared" si="93"/>
        <v>52.465198231787184</v>
      </c>
      <c r="CB127" s="20">
        <f t="shared" si="64"/>
        <v>461.35077692036231</v>
      </c>
      <c r="CC127" s="59">
        <f t="shared" si="65"/>
        <v>754.68411025369562</v>
      </c>
      <c r="CD127" s="59">
        <f ca="1">AVERAGE(OFFSET($CC$3,0,0,'Données projet'!$E$12+1,1))-AVERAGE(OFFSET($H$3,0,0,'Données projet'!$E$12+1,1))</f>
        <v>225.2323446080772</v>
      </c>
      <c r="CE127" s="59">
        <f t="shared" si="94"/>
        <v>222.29030402759292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18.151799249699639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18.151799249699639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213.00000000000003</v>
      </c>
      <c r="CU127" s="17">
        <f>CT127*VLOOKUP('Données projet'!$B$13,Paramètres!$A$1:$I$89,3,0)*VLOOKUP('Données projet'!$B$13,Paramètres!$A$1:$I$89,5,0)</f>
        <v>206.01360000000005</v>
      </c>
      <c r="CV127" s="13">
        <f t="shared" si="95"/>
        <v>51.063487709141484</v>
      </c>
      <c r="CW127" s="20">
        <f t="shared" si="67"/>
        <v>447.74259442675481</v>
      </c>
      <c r="CX127" s="59">
        <f t="shared" si="68"/>
        <v>741.07592776008812</v>
      </c>
      <c r="CY127" s="59">
        <f ca="1">AVERAGE(OFFSET($CX$3,0,0,'Données projet'!$E$13+1,1))-AVERAGE(OFFSET($H$3,0,0,'Données projet'!$E$13+1,1))</f>
        <v>212.32823943192528</v>
      </c>
      <c r="CZ127" s="59">
        <f t="shared" si="96"/>
        <v>209.60834138503003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13.831576270059243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13.831576270059243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285.99999999999972</v>
      </c>
      <c r="DP127" s="17">
        <f>DO127*VLOOKUP('Données projet'!$B$14,Paramètres!$A$1:$I$89,3,0)*VLOOKUP('Données projet'!$B$14,Paramètres!$A$1:$I$89,5,0)</f>
        <v>223.07999999999979</v>
      </c>
      <c r="DQ127" s="13">
        <f t="shared" si="97"/>
        <v>54.783765878062617</v>
      </c>
      <c r="DR127" s="20">
        <f t="shared" si="70"/>
        <v>483.94605890429199</v>
      </c>
      <c r="DS127" s="59">
        <f t="shared" si="71"/>
        <v>777.2793922376253</v>
      </c>
      <c r="DT127" s="59">
        <f ca="1">AVERAGE(OFFSET($DS$3,0,0,'Données projet'!$E$14+1,1))-AVERAGE(OFFSET($H$3,0,0,'Données projet'!$E$14+1,1))</f>
        <v>215.84581110302656</v>
      </c>
      <c r="DU127" s="59">
        <f t="shared" si="98"/>
        <v>193.88588526156104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20.135868598873166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20.135868598873166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6">
        <f t="shared" si="56"/>
        <v>428.00748035850785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401</v>
      </c>
      <c r="O128" s="13">
        <f>N128*VLOOKUP('Données projet'!$B$9,Paramètres!$A$1:$I$89,3,0)*VLOOKUP('Données projet'!$B$9,Paramètres!$A$1:$I$89,5,0)</f>
        <v>250.22399999999999</v>
      </c>
      <c r="P128" s="13">
        <f t="shared" si="87"/>
        <v>60.633904580527918</v>
      </c>
      <c r="Q128" s="20">
        <f t="shared" si="107"/>
        <v>541.41085047775289</v>
      </c>
      <c r="R128" s="59">
        <f t="shared" si="55"/>
        <v>834.74418381108626</v>
      </c>
      <c r="S128" s="59">
        <f ca="1">AVERAGE(OFFSET($R$3,0,0,'Données projet'!$E$9+1,1))-AVERAGE(OFFSET($H$3,0,0,'Données projet'!$E$9+1,1))</f>
        <v>269.77739619445515</v>
      </c>
      <c r="T128" s="59">
        <f t="shared" si="88"/>
        <v>347.56964743629885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21.137338807321338</v>
      </c>
      <c r="AA128" s="21">
        <f>EXP(-LN(2)/25)*AA127+(1-EXP(-LN(2)/25))/(LN(2)/25)*Calculateur!V128*Calculateur!X128*VLOOKUP('Données projet'!$B$9,Paramètres!$A$1:$I$89,3,0)*0.475*44/12</f>
        <v>6.5865065618630823</v>
      </c>
      <c r="AB128" s="21">
        <f>EXP(-LN(2)/2)*AB127+(1-EXP(-LN(2)/2))/(LN(2)/2)*V128*Y128*VLOOKUP('Données projet'!$B$9,Paramètres!$A$1:$I$89,3,0)*0.475*44/12</f>
        <v>1.2479519930608053E-16</v>
      </c>
      <c r="AC128" s="22">
        <f t="shared" si="57"/>
        <v>27.723845369184421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789</v>
      </c>
      <c r="AJ128" s="13">
        <f>AI128*VLOOKUP('Données projet'!$B$10,Paramètres!$A$1:$I$89,3,0)*VLOOKUP('Données projet'!$B$10,Paramètres!$A$1:$I$89,5,0)</f>
        <v>389.76600000000002</v>
      </c>
      <c r="AK128" s="13">
        <f t="shared" si="89"/>
        <v>89.698759503620408</v>
      </c>
      <c r="AL128" s="20">
        <f t="shared" si="58"/>
        <v>835.06778946880547</v>
      </c>
      <c r="AM128" s="59">
        <f t="shared" si="59"/>
        <v>1128.4011228021388</v>
      </c>
      <c r="AN128" s="59">
        <f ca="1">AVERAGE(OFFSET($AM$3,0,0,'Données projet'!$E$10+1,1))-AVERAGE(OFFSET($H$3,0,0,'Données projet'!$E$10+1,1))</f>
        <v>396.27049617044378</v>
      </c>
      <c r="AO128" s="59">
        <f t="shared" si="90"/>
        <v>335.2680289568774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59.116886697647232</v>
      </c>
      <c r="AV128" s="21">
        <f>EXP(-LN(2)/25)*AV127+(1-EXP(-LN(2)/25))/(LN(2)/25)*Calculateur!AQ128*Calculateur!AS128*VLOOKUP('Données projet'!$B$10,Paramètres!$A$1:$I$89,3,0)*0.475*44/12</f>
        <v>3.3748785243118484</v>
      </c>
      <c r="AW128" s="21">
        <f>EXP(-LN(2)/2)*AW127+(1-EXP(-LN(2)/2))/(LN(2)/2)*AQ128*AT128*VLOOKUP('Données projet'!$B$10,Paramètres!$A$1:$I$89,3,0)*0.475*44/12</f>
        <v>1.9320145670348769E-15</v>
      </c>
      <c r="AX128" s="21">
        <f t="shared" si="60"/>
        <v>62.491765221959078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403.99999999999989</v>
      </c>
      <c r="BE128" s="13">
        <f>BD128*VLOOKUP('Données projet'!$B$11,Paramètres!$A$1:$I$89,3,0)*VLOOKUP('Données projet'!$B$11,Paramètres!$A$1:$I$89,5,0)</f>
        <v>346.63199999999995</v>
      </c>
      <c r="BF128" s="13">
        <f t="shared" si="91"/>
        <v>80.868615263336864</v>
      </c>
      <c r="BG128" s="20">
        <f t="shared" si="61"/>
        <v>744.56357158364483</v>
      </c>
      <c r="BH128" s="59">
        <f t="shared" si="62"/>
        <v>1037.8969049169782</v>
      </c>
      <c r="BI128" s="59">
        <f ca="1">AVERAGE(OFFSET($BH$3,0,0,'Données projet'!$E$11+1,1))-AVERAGE(OFFSET($H$3,0,0,'Données projet'!$E$11+1,1))</f>
        <v>352.61091660077574</v>
      </c>
      <c r="BJ128" s="59">
        <f t="shared" si="92"/>
        <v>186.48649111821521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90.532256022570252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90.532256022570252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266.99999999999983</v>
      </c>
      <c r="BZ128" s="13">
        <f>BY128*VLOOKUP('Données projet'!$B$12,Paramètres!$A$1:$I$89,3,0)*VLOOKUP('Données projet'!$B$12,Paramètres!$A$1:$I$89,5,0)</f>
        <v>212.42519999999985</v>
      </c>
      <c r="CA128" s="13">
        <f t="shared" si="93"/>
        <v>52.465198231787184</v>
      </c>
      <c r="CB128" s="20">
        <f t="shared" si="64"/>
        <v>461.35077692036231</v>
      </c>
      <c r="CC128" s="59">
        <f t="shared" si="65"/>
        <v>754.68411025369562</v>
      </c>
      <c r="CD128" s="59">
        <f ca="1">AVERAGE(OFFSET($CC$3,0,0,'Données projet'!$E$12+1,1))-AVERAGE(OFFSET($H$3,0,0,'Données projet'!$E$12+1,1))</f>
        <v>225.2323446080772</v>
      </c>
      <c r="CE128" s="59">
        <f t="shared" si="94"/>
        <v>222.29030402759292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17.795853537917353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17.795853537917353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213.00000000000003</v>
      </c>
      <c r="CU128" s="17">
        <f>CT128*VLOOKUP('Données projet'!$B$13,Paramètres!$A$1:$I$89,3,0)*VLOOKUP('Données projet'!$B$13,Paramètres!$A$1:$I$89,5,0)</f>
        <v>206.01360000000005</v>
      </c>
      <c r="CV128" s="13">
        <f t="shared" si="95"/>
        <v>51.063487709141484</v>
      </c>
      <c r="CW128" s="20">
        <f t="shared" si="67"/>
        <v>447.74259442675481</v>
      </c>
      <c r="CX128" s="59">
        <f t="shared" si="68"/>
        <v>741.07592776008812</v>
      </c>
      <c r="CY128" s="59">
        <f ca="1">AVERAGE(OFFSET($CX$3,0,0,'Données projet'!$E$13+1,1))-AVERAGE(OFFSET($H$3,0,0,'Données projet'!$E$13+1,1))</f>
        <v>212.32823943192528</v>
      </c>
      <c r="CZ128" s="59">
        <f t="shared" si="96"/>
        <v>209.60834138503003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13.560347495831877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13.560347495831877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285.99999999999972</v>
      </c>
      <c r="DP128" s="17">
        <f>DO128*VLOOKUP('Données projet'!$B$14,Paramètres!$A$1:$I$89,3,0)*VLOOKUP('Données projet'!$B$14,Paramètres!$A$1:$I$89,5,0)</f>
        <v>223.07999999999979</v>
      </c>
      <c r="DQ128" s="13">
        <f t="shared" si="97"/>
        <v>54.783765878062617</v>
      </c>
      <c r="DR128" s="20">
        <f t="shared" si="70"/>
        <v>483.94605890429199</v>
      </c>
      <c r="DS128" s="59">
        <f t="shared" si="71"/>
        <v>777.2793922376253</v>
      </c>
      <c r="DT128" s="59">
        <f ca="1">AVERAGE(OFFSET($DS$3,0,0,'Données projet'!$E$14+1,1))-AVERAGE(OFFSET($H$3,0,0,'Données projet'!$E$14+1,1))</f>
        <v>215.84581110302656</v>
      </c>
      <c r="DU128" s="59">
        <f t="shared" si="98"/>
        <v>193.88588526156104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19.741016497316394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19.741016497316394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6">
        <f t="shared" si="56"/>
        <v>429.05687979765503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401</v>
      </c>
      <c r="O129" s="13">
        <f>N129*VLOOKUP('Données projet'!$B$9,Paramètres!$A$1:$I$89,3,0)*VLOOKUP('Données projet'!$B$9,Paramètres!$A$1:$I$89,5,0)</f>
        <v>250.22399999999999</v>
      </c>
      <c r="P129" s="13">
        <f t="shared" si="87"/>
        <v>60.633904580527918</v>
      </c>
      <c r="Q129" s="20">
        <f t="shared" si="107"/>
        <v>541.41085047775289</v>
      </c>
      <c r="R129" s="59">
        <f t="shared" si="55"/>
        <v>834.74418381108626</v>
      </c>
      <c r="S129" s="59">
        <f ca="1">AVERAGE(OFFSET($R$3,0,0,'Données projet'!$E$9+1,1))-AVERAGE(OFFSET($H$3,0,0,'Données projet'!$E$9+1,1))</f>
        <v>269.77739619445515</v>
      </c>
      <c r="T129" s="59">
        <f t="shared" si="88"/>
        <v>347.56964743629885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20.722848485813412</v>
      </c>
      <c r="AA129" s="21">
        <f>EXP(-LN(2)/25)*AA128+(1-EXP(-LN(2)/25))/(LN(2)/25)*Calculateur!V129*Calculateur!X129*VLOOKUP('Données projet'!$B$9,Paramètres!$A$1:$I$89,3,0)*0.475*44/12</f>
        <v>6.4063981935596095</v>
      </c>
      <c r="AB129" s="21">
        <f>EXP(-LN(2)/2)*AB128+(1-EXP(-LN(2)/2))/(LN(2)/2)*V129*Y129*VLOOKUP('Données projet'!$B$9,Paramètres!$A$1:$I$89,3,0)*0.475*44/12</f>
        <v>8.8243531688856274E-17</v>
      </c>
      <c r="AC129" s="22">
        <f t="shared" si="57"/>
        <v>27.129246679373022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789</v>
      </c>
      <c r="AJ129" s="13">
        <f>AI129*VLOOKUP('Données projet'!$B$10,Paramètres!$A$1:$I$89,3,0)*VLOOKUP('Données projet'!$B$10,Paramètres!$A$1:$I$89,5,0)</f>
        <v>389.76600000000002</v>
      </c>
      <c r="AK129" s="13">
        <f t="shared" si="89"/>
        <v>89.698759503620408</v>
      </c>
      <c r="AL129" s="20">
        <f t="shared" si="58"/>
        <v>835.06778946880547</v>
      </c>
      <c r="AM129" s="59">
        <f t="shared" si="59"/>
        <v>1128.4011228021388</v>
      </c>
      <c r="AN129" s="59">
        <f ca="1">AVERAGE(OFFSET($AM$3,0,0,'Données projet'!$E$10+1,1))-AVERAGE(OFFSET($H$3,0,0,'Données projet'!$E$10+1,1))</f>
        <v>396.27049617044378</v>
      </c>
      <c r="AO129" s="59">
        <f t="shared" si="90"/>
        <v>335.2680289568774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57.957640607246852</v>
      </c>
      <c r="AV129" s="21">
        <f>EXP(-LN(2)/25)*AV128+(1-EXP(-LN(2)/25))/(LN(2)/25)*Calculateur!AQ129*Calculateur!AS129*VLOOKUP('Données projet'!$B$10,Paramètres!$A$1:$I$89,3,0)*0.475*44/12</f>
        <v>3.2825922935873928</v>
      </c>
      <c r="AW129" s="21">
        <f>EXP(-LN(2)/2)*AW128+(1-EXP(-LN(2)/2))/(LN(2)/2)*AQ129*AT129*VLOOKUP('Données projet'!$B$10,Paramètres!$A$1:$I$89,3,0)*0.475*44/12</f>
        <v>1.3661406017015531E-15</v>
      </c>
      <c r="AX129" s="21">
        <f t="shared" si="60"/>
        <v>61.240232900834243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403.99999999999989</v>
      </c>
      <c r="BE129" s="13">
        <f>BD129*VLOOKUP('Données projet'!$B$11,Paramètres!$A$1:$I$89,3,0)*VLOOKUP('Données projet'!$B$11,Paramètres!$A$1:$I$89,5,0)</f>
        <v>346.63199999999995</v>
      </c>
      <c r="BF129" s="13">
        <f t="shared" si="91"/>
        <v>80.868615263336864</v>
      </c>
      <c r="BG129" s="20">
        <f t="shared" si="61"/>
        <v>744.56357158364483</v>
      </c>
      <c r="BH129" s="59">
        <f t="shared" si="62"/>
        <v>1037.8969049169782</v>
      </c>
      <c r="BI129" s="59">
        <f ca="1">AVERAGE(OFFSET($BH$3,0,0,'Données projet'!$E$11+1,1))-AVERAGE(OFFSET($H$3,0,0,'Données projet'!$E$11+1,1))</f>
        <v>352.61091660077574</v>
      </c>
      <c r="BJ129" s="59">
        <f t="shared" si="92"/>
        <v>186.48649111821521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88.756973701191384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88.756973701191384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266.99999999999983</v>
      </c>
      <c r="BZ129" s="13">
        <f>BY129*VLOOKUP('Données projet'!$B$12,Paramètres!$A$1:$I$89,3,0)*VLOOKUP('Données projet'!$B$12,Paramètres!$A$1:$I$89,5,0)</f>
        <v>212.42519999999985</v>
      </c>
      <c r="CA129" s="13">
        <f t="shared" si="93"/>
        <v>52.465198231787184</v>
      </c>
      <c r="CB129" s="20">
        <f t="shared" si="64"/>
        <v>461.35077692036231</v>
      </c>
      <c r="CC129" s="59">
        <f t="shared" si="65"/>
        <v>754.68411025369562</v>
      </c>
      <c r="CD129" s="59">
        <f ca="1">AVERAGE(OFFSET($CC$3,0,0,'Données projet'!$E$12+1,1))-AVERAGE(OFFSET($H$3,0,0,'Données projet'!$E$12+1,1))</f>
        <v>225.2323446080772</v>
      </c>
      <c r="CE129" s="59">
        <f t="shared" si="94"/>
        <v>222.29030402759292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17.446887704437668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17.446887704437668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213.00000000000003</v>
      </c>
      <c r="CU129" s="17">
        <f>CT129*VLOOKUP('Données projet'!$B$13,Paramètres!$A$1:$I$89,3,0)*VLOOKUP('Données projet'!$B$13,Paramètres!$A$1:$I$89,5,0)</f>
        <v>206.01360000000005</v>
      </c>
      <c r="CV129" s="13">
        <f t="shared" si="95"/>
        <v>51.063487709141484</v>
      </c>
      <c r="CW129" s="20">
        <f t="shared" si="67"/>
        <v>447.74259442675481</v>
      </c>
      <c r="CX129" s="59">
        <f t="shared" si="68"/>
        <v>741.07592776008812</v>
      </c>
      <c r="CY129" s="59">
        <f ca="1">AVERAGE(OFFSET($CX$3,0,0,'Données projet'!$E$13+1,1))-AVERAGE(OFFSET($H$3,0,0,'Données projet'!$E$13+1,1))</f>
        <v>212.32823943192528</v>
      </c>
      <c r="CZ129" s="59">
        <f t="shared" si="96"/>
        <v>209.60834138503003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13.294437352433894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13.294437352433894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285.99999999999972</v>
      </c>
      <c r="DP129" s="17">
        <f>DO129*VLOOKUP('Données projet'!$B$14,Paramètres!$A$1:$I$89,3,0)*VLOOKUP('Données projet'!$B$14,Paramètres!$A$1:$I$89,5,0)</f>
        <v>223.07999999999979</v>
      </c>
      <c r="DQ129" s="13">
        <f t="shared" si="97"/>
        <v>54.783765878062617</v>
      </c>
      <c r="DR129" s="20">
        <f t="shared" si="70"/>
        <v>483.94605890429199</v>
      </c>
      <c r="DS129" s="59">
        <f t="shared" si="71"/>
        <v>777.2793922376253</v>
      </c>
      <c r="DT129" s="59">
        <f ca="1">AVERAGE(OFFSET($DS$3,0,0,'Données projet'!$E$14+1,1))-AVERAGE(OFFSET($H$3,0,0,'Données projet'!$E$14+1,1))</f>
        <v>215.84581110302656</v>
      </c>
      <c r="DU129" s="59">
        <f t="shared" si="98"/>
        <v>193.88588526156104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19.353907204635149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19.353907204635149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6">
        <f t="shared" si="56"/>
        <v>430.10608379345501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401</v>
      </c>
      <c r="O130" s="13">
        <f>N130*VLOOKUP('Données projet'!$B$9,Paramètres!$A$1:$I$89,3,0)*VLOOKUP('Données projet'!$B$9,Paramètres!$A$1:$I$89,5,0)</f>
        <v>250.22399999999999</v>
      </c>
      <c r="P130" s="13">
        <f t="shared" si="87"/>
        <v>60.633904580527918</v>
      </c>
      <c r="Q130" s="20">
        <f t="shared" si="107"/>
        <v>541.41085047775289</v>
      </c>
      <c r="R130" s="59">
        <f t="shared" si="55"/>
        <v>834.74418381108626</v>
      </c>
      <c r="S130" s="59">
        <f ca="1">AVERAGE(OFFSET($R$3,0,0,'Données projet'!$E$9+1,1))-AVERAGE(OFFSET($H$3,0,0,'Données projet'!$E$9+1,1))</f>
        <v>269.77739619445515</v>
      </c>
      <c r="T130" s="59">
        <f t="shared" si="88"/>
        <v>347.56964743629885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20.316486066696122</v>
      </c>
      <c r="AA130" s="21">
        <f>EXP(-LN(2)/25)*AA129+(1-EXP(-LN(2)/25))/(LN(2)/25)*Calculateur!V130*Calculateur!X130*VLOOKUP('Données projet'!$B$9,Paramètres!$A$1:$I$89,3,0)*0.475*44/12</f>
        <v>6.2312148980588828</v>
      </c>
      <c r="AB130" s="21">
        <f>EXP(-LN(2)/2)*AB129+(1-EXP(-LN(2)/2))/(LN(2)/2)*V130*Y130*VLOOKUP('Données projet'!$B$9,Paramètres!$A$1:$I$89,3,0)*0.475*44/12</f>
        <v>6.2397599653040265E-17</v>
      </c>
      <c r="AC130" s="22">
        <f t="shared" si="57"/>
        <v>26.547700964755006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789</v>
      </c>
      <c r="AJ130" s="13">
        <f>AI130*VLOOKUP('Données projet'!$B$10,Paramètres!$A$1:$I$89,3,0)*VLOOKUP('Données projet'!$B$10,Paramètres!$A$1:$I$89,5,0)</f>
        <v>389.76600000000002</v>
      </c>
      <c r="AK130" s="13">
        <f t="shared" si="89"/>
        <v>89.698759503620408</v>
      </c>
      <c r="AL130" s="20">
        <f t="shared" si="58"/>
        <v>835.06778946880547</v>
      </c>
      <c r="AM130" s="59">
        <f t="shared" si="59"/>
        <v>1128.4011228021388</v>
      </c>
      <c r="AN130" s="59">
        <f ca="1">AVERAGE(OFFSET($AM$3,0,0,'Données projet'!$E$10+1,1))-AVERAGE(OFFSET($H$3,0,0,'Données projet'!$E$10+1,1))</f>
        <v>396.27049617044378</v>
      </c>
      <c r="AO130" s="59">
        <f t="shared" si="90"/>
        <v>335.2680289568774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56.821126625608919</v>
      </c>
      <c r="AV130" s="21">
        <f>EXP(-LN(2)/25)*AV129+(1-EXP(-LN(2)/25))/(LN(2)/25)*Calculateur!AQ130*Calculateur!AS130*VLOOKUP('Données projet'!$B$10,Paramètres!$A$1:$I$89,3,0)*0.475*44/12</f>
        <v>3.1928296346952192</v>
      </c>
      <c r="AW130" s="21">
        <f>EXP(-LN(2)/2)*AW129+(1-EXP(-LN(2)/2))/(LN(2)/2)*AQ130*AT130*VLOOKUP('Données projet'!$B$10,Paramètres!$A$1:$I$89,3,0)*0.475*44/12</f>
        <v>9.6600728351743847E-16</v>
      </c>
      <c r="AX130" s="21">
        <f t="shared" si="60"/>
        <v>60.013956260304141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403.99999999999989</v>
      </c>
      <c r="BE130" s="13">
        <f>BD130*VLOOKUP('Données projet'!$B$11,Paramètres!$A$1:$I$89,3,0)*VLOOKUP('Données projet'!$B$11,Paramètres!$A$1:$I$89,5,0)</f>
        <v>346.63199999999995</v>
      </c>
      <c r="BF130" s="13">
        <f t="shared" si="91"/>
        <v>80.868615263336864</v>
      </c>
      <c r="BG130" s="20">
        <f t="shared" si="61"/>
        <v>744.56357158364483</v>
      </c>
      <c r="BH130" s="59">
        <f t="shared" si="62"/>
        <v>1037.8969049169782</v>
      </c>
      <c r="BI130" s="59">
        <f ca="1">AVERAGE(OFFSET($BH$3,0,0,'Données projet'!$E$11+1,1))-AVERAGE(OFFSET($H$3,0,0,'Données projet'!$E$11+1,1))</f>
        <v>352.61091660077574</v>
      </c>
      <c r="BJ130" s="59">
        <f t="shared" si="92"/>
        <v>186.48649111821521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87.016503583319448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87.016503583319448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266.99999999999983</v>
      </c>
      <c r="BZ130" s="13">
        <f>BY130*VLOOKUP('Données projet'!$B$12,Paramètres!$A$1:$I$89,3,0)*VLOOKUP('Données projet'!$B$12,Paramètres!$A$1:$I$89,5,0)</f>
        <v>212.42519999999985</v>
      </c>
      <c r="CA130" s="13">
        <f t="shared" si="93"/>
        <v>52.465198231787184</v>
      </c>
      <c r="CB130" s="20">
        <f t="shared" si="64"/>
        <v>461.35077692036231</v>
      </c>
      <c r="CC130" s="59">
        <f t="shared" si="65"/>
        <v>754.68411025369562</v>
      </c>
      <c r="CD130" s="59">
        <f ca="1">AVERAGE(OFFSET($CC$3,0,0,'Données projet'!$E$12+1,1))-AVERAGE(OFFSET($H$3,0,0,'Données projet'!$E$12+1,1))</f>
        <v>225.2323446080772</v>
      </c>
      <c r="CE130" s="59">
        <f t="shared" si="94"/>
        <v>222.29030402759292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17.10476487810438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17.10476487810438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213.00000000000003</v>
      </c>
      <c r="CU130" s="17">
        <f>CT130*VLOOKUP('Données projet'!$B$13,Paramètres!$A$1:$I$89,3,0)*VLOOKUP('Données projet'!$B$13,Paramètres!$A$1:$I$89,5,0)</f>
        <v>206.01360000000005</v>
      </c>
      <c r="CV130" s="13">
        <f t="shared" si="95"/>
        <v>51.063487709141484</v>
      </c>
      <c r="CW130" s="20">
        <f t="shared" si="67"/>
        <v>447.74259442675481</v>
      </c>
      <c r="CX130" s="59">
        <f t="shared" si="68"/>
        <v>741.07592776008812</v>
      </c>
      <c r="CY130" s="59">
        <f ca="1">AVERAGE(OFFSET($CX$3,0,0,'Données projet'!$E$13+1,1))-AVERAGE(OFFSET($H$3,0,0,'Données projet'!$E$13+1,1))</f>
        <v>212.32823943192528</v>
      </c>
      <c r="CZ130" s="59">
        <f t="shared" si="96"/>
        <v>209.60834138503003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13.033741544758772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13.033741544758772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285.99999999999972</v>
      </c>
      <c r="DP130" s="17">
        <f>DO130*VLOOKUP('Données projet'!$B$14,Paramètres!$A$1:$I$89,3,0)*VLOOKUP('Données projet'!$B$14,Paramètres!$A$1:$I$89,5,0)</f>
        <v>223.07999999999979</v>
      </c>
      <c r="DQ130" s="13">
        <f t="shared" si="97"/>
        <v>54.783765878062617</v>
      </c>
      <c r="DR130" s="20">
        <f t="shared" si="70"/>
        <v>483.94605890429199</v>
      </c>
      <c r="DS130" s="59">
        <f t="shared" si="71"/>
        <v>777.2793922376253</v>
      </c>
      <c r="DT130" s="59">
        <f ca="1">AVERAGE(OFFSET($DS$3,0,0,'Données projet'!$E$14+1,1))-AVERAGE(OFFSET($H$3,0,0,'Données projet'!$E$14+1,1))</f>
        <v>215.84581110302656</v>
      </c>
      <c r="DU130" s="59">
        <f t="shared" si="98"/>
        <v>193.88588526156104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18.974388889070031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18.974388889070031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6">
        <f t="shared" si="56"/>
        <v>431.15509406321121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401</v>
      </c>
      <c r="O131" s="13">
        <f>N131*VLOOKUP('Données projet'!$B$9,Paramètres!$A$1:$I$89,3,0)*VLOOKUP('Données projet'!$B$9,Paramètres!$A$1:$I$89,5,0)</f>
        <v>250.22399999999999</v>
      </c>
      <c r="P131" s="13">
        <f t="shared" si="87"/>
        <v>60.633904580527918</v>
      </c>
      <c r="Q131" s="20">
        <f t="shared" ref="Q131:Q153" si="108">(O131+P131)*0.475*44/12</f>
        <v>541.41085047775289</v>
      </c>
      <c r="R131" s="59">
        <f t="shared" ref="R131:R194" si="109">Q131+(I131+J131)*44/12</f>
        <v>834.74418381108626</v>
      </c>
      <c r="S131" s="59">
        <f ca="1">AVERAGE(OFFSET($R$3,0,0,'Données projet'!$E$9+1,1))-AVERAGE(OFFSET($H$3,0,0,'Données projet'!$E$9+1,1))</f>
        <v>269.77739619445515</v>
      </c>
      <c r="T131" s="59">
        <f t="shared" si="88"/>
        <v>347.56964743629885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19.91809216676112</v>
      </c>
      <c r="AA131" s="21">
        <f>EXP(-LN(2)/25)*AA130+(1-EXP(-LN(2)/25))/(LN(2)/25)*Calculateur!V131*Calculateur!X131*VLOOKUP('Données projet'!$B$9,Paramètres!$A$1:$I$89,3,0)*0.475*44/12</f>
        <v>6.0608219989861132</v>
      </c>
      <c r="AB131" s="21">
        <f>EXP(-LN(2)/2)*AB130+(1-EXP(-LN(2)/2))/(LN(2)/2)*V131*Y131*VLOOKUP('Données projet'!$B$9,Paramètres!$A$1:$I$89,3,0)*0.475*44/12</f>
        <v>4.4121765844428137E-17</v>
      </c>
      <c r="AC131" s="22">
        <f t="shared" si="57"/>
        <v>25.978914165747234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789</v>
      </c>
      <c r="AJ131" s="13">
        <f>AI131*VLOOKUP('Données projet'!$B$10,Paramètres!$A$1:$I$89,3,0)*VLOOKUP('Données projet'!$B$10,Paramètres!$A$1:$I$89,5,0)</f>
        <v>389.76600000000002</v>
      </c>
      <c r="AK131" s="13">
        <f t="shared" si="89"/>
        <v>89.698759503620408</v>
      </c>
      <c r="AL131" s="20">
        <f t="shared" si="58"/>
        <v>835.06778946880547</v>
      </c>
      <c r="AM131" s="59">
        <f t="shared" si="59"/>
        <v>1128.4011228021388</v>
      </c>
      <c r="AN131" s="59">
        <f ca="1">AVERAGE(OFFSET($AM$3,0,0,'Données projet'!$E$10+1,1))-AVERAGE(OFFSET($H$3,0,0,'Données projet'!$E$10+1,1))</f>
        <v>396.27049617044378</v>
      </c>
      <c r="AO131" s="59">
        <f t="shared" si="90"/>
        <v>335.2680289568774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55.706898989945827</v>
      </c>
      <c r="AV131" s="21">
        <f>EXP(-LN(2)/25)*AV130+(1-EXP(-LN(2)/25))/(LN(2)/25)*Calculateur!AQ131*Calculateur!AS131*VLOOKUP('Données projet'!$B$10,Paramètres!$A$1:$I$89,3,0)*0.475*44/12</f>
        <v>3.1055215404308654</v>
      </c>
      <c r="AW131" s="21">
        <f>EXP(-LN(2)/2)*AW130+(1-EXP(-LN(2)/2))/(LN(2)/2)*AQ131*AT131*VLOOKUP('Données projet'!$B$10,Paramètres!$A$1:$I$89,3,0)*0.475*44/12</f>
        <v>6.8307030085077655E-16</v>
      </c>
      <c r="AX131" s="21">
        <f t="shared" si="60"/>
        <v>58.812420530376691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403.99999999999989</v>
      </c>
      <c r="BE131" s="13">
        <f>BD131*VLOOKUP('Données projet'!$B$11,Paramètres!$A$1:$I$89,3,0)*VLOOKUP('Données projet'!$B$11,Paramètres!$A$1:$I$89,5,0)</f>
        <v>346.63199999999995</v>
      </c>
      <c r="BF131" s="13">
        <f t="shared" si="91"/>
        <v>80.868615263336864</v>
      </c>
      <c r="BG131" s="20">
        <f t="shared" si="61"/>
        <v>744.56357158364483</v>
      </c>
      <c r="BH131" s="59">
        <f t="shared" si="62"/>
        <v>1037.8969049169782</v>
      </c>
      <c r="BI131" s="59">
        <f ca="1">AVERAGE(OFFSET($BH$3,0,0,'Données projet'!$E$11+1,1))-AVERAGE(OFFSET($H$3,0,0,'Données projet'!$E$11+1,1))</f>
        <v>352.61091660077574</v>
      </c>
      <c r="BJ131" s="59">
        <f t="shared" si="92"/>
        <v>186.48649111821521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85.310163022877035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85.310163022877035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266.99999999999983</v>
      </c>
      <c r="BZ131" s="13">
        <f>BY131*VLOOKUP('Données projet'!$B$12,Paramètres!$A$1:$I$89,3,0)*VLOOKUP('Données projet'!$B$12,Paramètres!$A$1:$I$89,5,0)</f>
        <v>212.42519999999985</v>
      </c>
      <c r="CA131" s="13">
        <f t="shared" si="93"/>
        <v>52.465198231787184</v>
      </c>
      <c r="CB131" s="20">
        <f t="shared" si="64"/>
        <v>461.35077692036231</v>
      </c>
      <c r="CC131" s="59">
        <f t="shared" si="65"/>
        <v>754.68411025369562</v>
      </c>
      <c r="CD131" s="59">
        <f ca="1">AVERAGE(OFFSET($CC$3,0,0,'Données projet'!$E$12+1,1))-AVERAGE(OFFSET($H$3,0,0,'Données projet'!$E$12+1,1))</f>
        <v>225.2323446080772</v>
      </c>
      <c r="CE131" s="59">
        <f t="shared" si="94"/>
        <v>222.29030402759292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16.769350871721169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16.769350871721169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213.00000000000003</v>
      </c>
      <c r="CU131" s="17">
        <f>CT131*VLOOKUP('Données projet'!$B$13,Paramètres!$A$1:$I$89,3,0)*VLOOKUP('Données projet'!$B$13,Paramètres!$A$1:$I$89,5,0)</f>
        <v>206.01360000000005</v>
      </c>
      <c r="CV131" s="13">
        <f t="shared" si="95"/>
        <v>51.063487709141484</v>
      </c>
      <c r="CW131" s="20">
        <f t="shared" si="67"/>
        <v>447.74259442675481</v>
      </c>
      <c r="CX131" s="59">
        <f t="shared" si="68"/>
        <v>741.07592776008812</v>
      </c>
      <c r="CY131" s="59">
        <f ca="1">AVERAGE(OFFSET($CX$3,0,0,'Données projet'!$E$13+1,1))-AVERAGE(OFFSET($H$3,0,0,'Données projet'!$E$13+1,1))</f>
        <v>212.32823943192528</v>
      </c>
      <c r="CZ131" s="59">
        <f t="shared" si="96"/>
        <v>209.60834138503003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12.778157822863419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12.778157822863419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285.99999999999972</v>
      </c>
      <c r="DP131" s="17">
        <f>DO131*VLOOKUP('Données projet'!$B$14,Paramètres!$A$1:$I$89,3,0)*VLOOKUP('Données projet'!$B$14,Paramètres!$A$1:$I$89,5,0)</f>
        <v>223.07999999999979</v>
      </c>
      <c r="DQ131" s="13">
        <f t="shared" si="97"/>
        <v>54.783765878062617</v>
      </c>
      <c r="DR131" s="20">
        <f t="shared" si="70"/>
        <v>483.94605890429199</v>
      </c>
      <c r="DS131" s="59">
        <f t="shared" si="71"/>
        <v>777.2793922376253</v>
      </c>
      <c r="DT131" s="59">
        <f ca="1">AVERAGE(OFFSET($DS$3,0,0,'Données projet'!$E$14+1,1))-AVERAGE(OFFSET($H$3,0,0,'Données projet'!$E$14+1,1))</f>
        <v>215.84581110302656</v>
      </c>
      <c r="DU131" s="59">
        <f t="shared" si="98"/>
        <v>193.88588526156104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18.602312696189827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18.602312696189827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6">
        <f t="shared" ref="H132:H195" si="110">(B132+E132+F132)*44/12+(C132+D132)*0.475*44/12</f>
        <v>432.20391229584436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401</v>
      </c>
      <c r="O132" s="13">
        <f>N132*VLOOKUP('Données projet'!$B$9,Paramètres!$A$1:$I$89,3,0)*VLOOKUP('Données projet'!$B$9,Paramètres!$A$1:$I$89,5,0)</f>
        <v>250.22399999999999</v>
      </c>
      <c r="P132" s="13">
        <f t="shared" si="87"/>
        <v>60.633904580527918</v>
      </c>
      <c r="Q132" s="20">
        <f t="shared" si="108"/>
        <v>541.41085047775289</v>
      </c>
      <c r="R132" s="59">
        <f t="shared" si="109"/>
        <v>834.74418381108626</v>
      </c>
      <c r="S132" s="59">
        <f ca="1">AVERAGE(OFFSET($R$3,0,0,'Données projet'!$E$9+1,1))-AVERAGE(OFFSET($H$3,0,0,'Données projet'!$E$9+1,1))</f>
        <v>269.77739619445515</v>
      </c>
      <c r="T132" s="59">
        <f t="shared" si="88"/>
        <v>347.56964743629885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19.527510528207557</v>
      </c>
      <c r="AA132" s="21">
        <f>EXP(-LN(2)/25)*AA131+(1-EXP(-LN(2)/25))/(LN(2)/25)*Calculateur!V132*Calculateur!X132*VLOOKUP('Données projet'!$B$9,Paramètres!$A$1:$I$89,3,0)*0.475*44/12</f>
        <v>5.8950885026990614</v>
      </c>
      <c r="AB132" s="21">
        <f>EXP(-LN(2)/2)*AB131+(1-EXP(-LN(2)/2))/(LN(2)/2)*V132*Y132*VLOOKUP('Données projet'!$B$9,Paramètres!$A$1:$I$89,3,0)*0.475*44/12</f>
        <v>3.1198799826520132E-17</v>
      </c>
      <c r="AC132" s="22">
        <f t="shared" ref="AC132:AC153" si="111">SUM(Z132:AB132)</f>
        <v>25.422599030906618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789</v>
      </c>
      <c r="AJ132" s="13">
        <f>AI132*VLOOKUP('Données projet'!$B$10,Paramètres!$A$1:$I$89,3,0)*VLOOKUP('Données projet'!$B$10,Paramètres!$A$1:$I$89,5,0)</f>
        <v>389.76600000000002</v>
      </c>
      <c r="AK132" s="13">
        <f t="shared" si="89"/>
        <v>89.698759503620408</v>
      </c>
      <c r="AL132" s="20">
        <f t="shared" ref="AL132:AL153" si="112">(AJ132+AK132)*0.475*44/12</f>
        <v>835.06778946880547</v>
      </c>
      <c r="AM132" s="59">
        <f t="shared" ref="AM132:AM195" si="113">AL132+(AD132+AE132)*44/12</f>
        <v>1128.4011228021388</v>
      </c>
      <c r="AN132" s="59">
        <f ca="1">AVERAGE(OFFSET($AM$3,0,0,'Données projet'!$E$10+1,1))-AVERAGE(OFFSET($H$3,0,0,'Données projet'!$E$10+1,1))</f>
        <v>396.27049617044378</v>
      </c>
      <c r="AO132" s="59">
        <f t="shared" si="90"/>
        <v>335.2680289568774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54.61452067860634</v>
      </c>
      <c r="AV132" s="21">
        <f>EXP(-LN(2)/25)*AV131+(1-EXP(-LN(2)/25))/(LN(2)/25)*Calculateur!AQ132*Calculateur!AS132*VLOOKUP('Données projet'!$B$10,Paramètres!$A$1:$I$89,3,0)*0.475*44/12</f>
        <v>3.0206008905955035</v>
      </c>
      <c r="AW132" s="21">
        <f>EXP(-LN(2)/2)*AW131+(1-EXP(-LN(2)/2))/(LN(2)/2)*AQ132*AT132*VLOOKUP('Données projet'!$B$10,Paramètres!$A$1:$I$89,3,0)*0.475*44/12</f>
        <v>4.8300364175871923E-16</v>
      </c>
      <c r="AX132" s="21">
        <f t="shared" ref="AX132:AX153" si="114">SUM(AU132:AW132)</f>
        <v>57.635121569201843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403.99999999999989</v>
      </c>
      <c r="BE132" s="13">
        <f>BD132*VLOOKUP('Données projet'!$B$11,Paramètres!$A$1:$I$89,3,0)*VLOOKUP('Données projet'!$B$11,Paramètres!$A$1:$I$89,5,0)</f>
        <v>346.63199999999995</v>
      </c>
      <c r="BF132" s="13">
        <f t="shared" si="91"/>
        <v>80.868615263336864</v>
      </c>
      <c r="BG132" s="20">
        <f t="shared" ref="BG132:BG153" si="115">(BE132+BF132)*0.475*44/12</f>
        <v>744.56357158364483</v>
      </c>
      <c r="BH132" s="59">
        <f t="shared" ref="BH132:BH195" si="116">BG132+(AY132+AZ132)*44/12</f>
        <v>1037.8969049169782</v>
      </c>
      <c r="BI132" s="59">
        <f ca="1">AVERAGE(OFFSET($BH$3,0,0,'Données projet'!$E$11+1,1))-AVERAGE(OFFSET($H$3,0,0,'Données projet'!$E$11+1,1))</f>
        <v>352.61091660077574</v>
      </c>
      <c r="BJ132" s="59">
        <f t="shared" si="92"/>
        <v>186.48649111821521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83.637282760059918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83.637282760059918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266.99999999999983</v>
      </c>
      <c r="BZ132" s="13">
        <f>BY132*VLOOKUP('Données projet'!$B$12,Paramètres!$A$1:$I$89,3,0)*VLOOKUP('Données projet'!$B$12,Paramètres!$A$1:$I$89,5,0)</f>
        <v>212.42519999999985</v>
      </c>
      <c r="CA132" s="13">
        <f t="shared" si="93"/>
        <v>52.465198231787184</v>
      </c>
      <c r="CB132" s="20">
        <f t="shared" ref="CB132:CB153" si="118">(BZ132+CA132)*0.475*44/12</f>
        <v>461.35077692036231</v>
      </c>
      <c r="CC132" s="59">
        <f t="shared" ref="CC132:CC195" si="119">CB132+(BT132+BU132)*44/12</f>
        <v>754.68411025369562</v>
      </c>
      <c r="CD132" s="59">
        <f ca="1">AVERAGE(OFFSET($CC$3,0,0,'Données projet'!$E$12+1,1))-AVERAGE(OFFSET($H$3,0,0,'Données projet'!$E$12+1,1))</f>
        <v>225.2323446080772</v>
      </c>
      <c r="CE132" s="59">
        <f t="shared" si="94"/>
        <v>222.29030402759292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16.440514129420787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16.440514129420787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213.00000000000003</v>
      </c>
      <c r="CU132" s="17">
        <f>CT132*VLOOKUP('Données projet'!$B$13,Paramètres!$A$1:$I$89,3,0)*VLOOKUP('Données projet'!$B$13,Paramètres!$A$1:$I$89,5,0)</f>
        <v>206.01360000000005</v>
      </c>
      <c r="CV132" s="13">
        <f t="shared" si="95"/>
        <v>51.063487709141484</v>
      </c>
      <c r="CW132" s="20">
        <f t="shared" ref="CW132:CW153" si="121">(CU132+CV132)*0.475*44/12</f>
        <v>447.74259442675481</v>
      </c>
      <c r="CX132" s="59">
        <f t="shared" ref="CX132:CX195" si="122">CW132+(CO132+CP132)*44/12</f>
        <v>741.07592776008812</v>
      </c>
      <c r="CY132" s="59">
        <f ca="1">AVERAGE(OFFSET($CX$3,0,0,'Données projet'!$E$13+1,1))-AVERAGE(OFFSET($H$3,0,0,'Données projet'!$E$13+1,1))</f>
        <v>212.32823943192528</v>
      </c>
      <c r="CZ132" s="59">
        <f t="shared" si="96"/>
        <v>209.60834138503003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12.527585941863755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12.527585941863755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285.99999999999972</v>
      </c>
      <c r="DP132" s="17">
        <f>DO132*VLOOKUP('Données projet'!$B$14,Paramètres!$A$1:$I$89,3,0)*VLOOKUP('Données projet'!$B$14,Paramètres!$A$1:$I$89,5,0)</f>
        <v>223.07999999999979</v>
      </c>
      <c r="DQ132" s="13">
        <f t="shared" si="97"/>
        <v>54.783765878062617</v>
      </c>
      <c r="DR132" s="20">
        <f t="shared" ref="DR132:DR153" si="124">(DP132+DQ132)*0.475*44/12</f>
        <v>483.94605890429199</v>
      </c>
      <c r="DS132" s="59">
        <f t="shared" ref="DS132:DS195" si="125">DR132+(DJ132+DK132)*44/12</f>
        <v>777.2793922376253</v>
      </c>
      <c r="DT132" s="59">
        <f ca="1">AVERAGE(OFFSET($DS$3,0,0,'Données projet'!$E$14+1,1))-AVERAGE(OFFSET($H$3,0,0,'Données projet'!$E$14+1,1))</f>
        <v>215.84581110302656</v>
      </c>
      <c r="DU132" s="59">
        <f t="shared" si="98"/>
        <v>193.88588526156104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18.237532690507937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18.237532690507937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6">
        <f t="shared" si="110"/>
        <v>433.25254015257815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401</v>
      </c>
      <c r="O133" s="13">
        <f>N133*VLOOKUP('Données projet'!$B$9,Paramètres!$A$1:$I$89,3,0)*VLOOKUP('Données projet'!$B$9,Paramètres!$A$1:$I$89,5,0)</f>
        <v>250.22399999999999</v>
      </c>
      <c r="P133" s="13">
        <f t="shared" ref="P133:P196" si="141">EXP(-1.0587+0.8836*LN(O133)+0.284)</f>
        <v>60.633904580527918</v>
      </c>
      <c r="Q133" s="20">
        <f t="shared" si="108"/>
        <v>541.41085047775289</v>
      </c>
      <c r="R133" s="59">
        <f t="shared" si="109"/>
        <v>834.74418381108626</v>
      </c>
      <c r="S133" s="59">
        <f ca="1">AVERAGE(OFFSET($R$3,0,0,'Données projet'!$E$9+1,1))-AVERAGE(OFFSET($H$3,0,0,'Données projet'!$E$9+1,1))</f>
        <v>269.77739619445515</v>
      </c>
      <c r="T133" s="59">
        <f t="shared" ref="T133:T196" si="142">$T$3</f>
        <v>347.56964743629885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19.144587957354755</v>
      </c>
      <c r="AA133" s="21">
        <f>EXP(-LN(2)/25)*AA132+(1-EXP(-LN(2)/25))/(LN(2)/25)*Calculateur!V133*Calculateur!X133*VLOOKUP('Données projet'!$B$9,Paramètres!$A$1:$I$89,3,0)*0.475*44/12</f>
        <v>5.7338869975835243</v>
      </c>
      <c r="AB133" s="21">
        <f>EXP(-LN(2)/2)*AB132+(1-EXP(-LN(2)/2))/(LN(2)/2)*V133*Y133*VLOOKUP('Données projet'!$B$9,Paramètres!$A$1:$I$89,3,0)*0.475*44/12</f>
        <v>2.2060882922214069E-17</v>
      </c>
      <c r="AC133" s="22">
        <f t="shared" si="111"/>
        <v>24.87847495493828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789</v>
      </c>
      <c r="AJ133" s="13">
        <f>AI133*VLOOKUP('Données projet'!$B$10,Paramètres!$A$1:$I$89,3,0)*VLOOKUP('Données projet'!$B$10,Paramètres!$A$1:$I$89,5,0)</f>
        <v>389.76600000000002</v>
      </c>
      <c r="AK133" s="13">
        <f t="shared" ref="AK133:AK153" si="143">EXP(-1.0587+0.8836*LN(AJ133)+0.284)</f>
        <v>89.698759503620408</v>
      </c>
      <c r="AL133" s="20">
        <f t="shared" si="112"/>
        <v>835.06778946880547</v>
      </c>
      <c r="AM133" s="59">
        <f t="shared" si="113"/>
        <v>1128.4011228021388</v>
      </c>
      <c r="AN133" s="59">
        <f ca="1">AVERAGE(OFFSET($AM$3,0,0,'Données projet'!$E$10+1,1))-AVERAGE(OFFSET($H$3,0,0,'Données projet'!$E$10+1,1))</f>
        <v>396.27049617044378</v>
      </c>
      <c r="AO133" s="59">
        <f t="shared" ref="AO133:AO196" si="144">$AO$3</f>
        <v>335.2680289568774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53.543563239667236</v>
      </c>
      <c r="AV133" s="21">
        <f>EXP(-LN(2)/25)*AV132+(1-EXP(-LN(2)/25))/(LN(2)/25)*Calculateur!AQ133*Calculateur!AS133*VLOOKUP('Données projet'!$B$10,Paramètres!$A$1:$I$89,3,0)*0.475*44/12</f>
        <v>2.9380024003956722</v>
      </c>
      <c r="AW133" s="21">
        <f>EXP(-LN(2)/2)*AW132+(1-EXP(-LN(2)/2))/(LN(2)/2)*AQ133*AT133*VLOOKUP('Données projet'!$B$10,Paramètres!$A$1:$I$89,3,0)*0.475*44/12</f>
        <v>3.4153515042538827E-16</v>
      </c>
      <c r="AX133" s="21">
        <f t="shared" si="114"/>
        <v>56.481565640062911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403.99999999999989</v>
      </c>
      <c r="BE133" s="13">
        <f>BD133*VLOOKUP('Données projet'!$B$11,Paramètres!$A$1:$I$89,3,0)*VLOOKUP('Données projet'!$B$11,Paramètres!$A$1:$I$89,5,0)</f>
        <v>346.63199999999995</v>
      </c>
      <c r="BF133" s="13">
        <f t="shared" ref="BF133:BF153" si="145">EXP(-1.0587+0.8836*LN(BE133)+0.284)</f>
        <v>80.868615263336864</v>
      </c>
      <c r="BG133" s="20">
        <f t="shared" si="115"/>
        <v>744.56357158364483</v>
      </c>
      <c r="BH133" s="59">
        <f t="shared" si="116"/>
        <v>1037.8969049169782</v>
      </c>
      <c r="BI133" s="59">
        <f ca="1">AVERAGE(OFFSET($BH$3,0,0,'Données projet'!$E$11+1,1))-AVERAGE(OFFSET($H$3,0,0,'Données projet'!$E$11+1,1))</f>
        <v>352.61091660077574</v>
      </c>
      <c r="BJ133" s="59">
        <f t="shared" ref="BJ133:BJ196" si="146">$BJ$3</f>
        <v>186.48649111821521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81.99720665884044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81.99720665884044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266.99999999999983</v>
      </c>
      <c r="BZ133" s="13">
        <f>BY133*VLOOKUP('Données projet'!$B$12,Paramètres!$A$1:$I$89,3,0)*VLOOKUP('Données projet'!$B$12,Paramètres!$A$1:$I$89,5,0)</f>
        <v>212.42519999999985</v>
      </c>
      <c r="CA133" s="13">
        <f t="shared" ref="CA133:CA153" si="147">EXP(-1.0587+0.8836*LN(BZ133)+0.284)</f>
        <v>52.465198231787184</v>
      </c>
      <c r="CB133" s="20">
        <f t="shared" si="118"/>
        <v>461.35077692036231</v>
      </c>
      <c r="CC133" s="59">
        <f t="shared" si="119"/>
        <v>754.68411025369562</v>
      </c>
      <c r="CD133" s="59">
        <f ca="1">AVERAGE(OFFSET($CC$3,0,0,'Données projet'!$E$12+1,1))-AVERAGE(OFFSET($H$3,0,0,'Données projet'!$E$12+1,1))</f>
        <v>225.2323446080772</v>
      </c>
      <c r="CE133" s="59">
        <f t="shared" ref="CE133:CE196" si="148">$CE$3</f>
        <v>222.29030402759292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16.11812567506631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16.11812567506631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213.00000000000003</v>
      </c>
      <c r="CU133" s="17">
        <f>CT133*VLOOKUP('Données projet'!$B$13,Paramètres!$A$1:$I$89,3,0)*VLOOKUP('Données projet'!$B$13,Paramètres!$A$1:$I$89,5,0)</f>
        <v>206.01360000000005</v>
      </c>
      <c r="CV133" s="13">
        <f t="shared" ref="CV133:CV153" si="149">EXP(-1.0587+0.8836*LN(CU133)+0.284)</f>
        <v>51.063487709141484</v>
      </c>
      <c r="CW133" s="20">
        <f t="shared" si="121"/>
        <v>447.74259442675481</v>
      </c>
      <c r="CX133" s="59">
        <f t="shared" si="122"/>
        <v>741.07592776008812</v>
      </c>
      <c r="CY133" s="59">
        <f ca="1">AVERAGE(OFFSET($CX$3,0,0,'Données projet'!$E$13+1,1))-AVERAGE(OFFSET($H$3,0,0,'Données projet'!$E$13+1,1))</f>
        <v>212.32823943192528</v>
      </c>
      <c r="CZ133" s="59">
        <f t="shared" ref="CZ133:CZ196" si="150">$CZ$3</f>
        <v>209.60834138503003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12.281927622616738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12.281927622616738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285.99999999999972</v>
      </c>
      <c r="DP133" s="17">
        <f>DO133*VLOOKUP('Données projet'!$B$14,Paramètres!$A$1:$I$89,3,0)*VLOOKUP('Données projet'!$B$14,Paramètres!$A$1:$I$89,5,0)</f>
        <v>223.07999999999979</v>
      </c>
      <c r="DQ133" s="13">
        <f t="shared" ref="DQ133:DQ153" si="151">EXP(-1.0587+0.8836*LN(DP133)+0.284)</f>
        <v>54.783765878062617</v>
      </c>
      <c r="DR133" s="20">
        <f t="shared" si="124"/>
        <v>483.94605890429199</v>
      </c>
      <c r="DS133" s="59">
        <f t="shared" si="125"/>
        <v>777.2793922376253</v>
      </c>
      <c r="DT133" s="59">
        <f ca="1">AVERAGE(OFFSET($DS$3,0,0,'Données projet'!$E$14+1,1))-AVERAGE(OFFSET($H$3,0,0,'Données projet'!$E$14+1,1))</f>
        <v>215.84581110302656</v>
      </c>
      <c r="DU133" s="59">
        <f t="shared" ref="DU133:DU196" si="152">$DU$3</f>
        <v>193.88588526156104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17.879905798243634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17.879905798243634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6">
        <f t="shared" si="110"/>
        <v>434.30097926760288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401</v>
      </c>
      <c r="O134" s="13">
        <f>N134*VLOOKUP('Données projet'!$B$9,Paramètres!$A$1:$I$89,3,0)*VLOOKUP('Données projet'!$B$9,Paramètres!$A$1:$I$89,5,0)</f>
        <v>250.22399999999999</v>
      </c>
      <c r="P134" s="13">
        <f t="shared" si="141"/>
        <v>60.633904580527918</v>
      </c>
      <c r="Q134" s="20">
        <f t="shared" si="108"/>
        <v>541.41085047775289</v>
      </c>
      <c r="R134" s="59">
        <f t="shared" si="109"/>
        <v>834.74418381108626</v>
      </c>
      <c r="S134" s="59">
        <f ca="1">AVERAGE(OFFSET($R$3,0,0,'Données projet'!$E$9+1,1))-AVERAGE(OFFSET($H$3,0,0,'Données projet'!$E$9+1,1))</f>
        <v>269.77739619445515</v>
      </c>
      <c r="T134" s="59">
        <f t="shared" si="142"/>
        <v>347.56964743629885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18.769174264556671</v>
      </c>
      <c r="AA134" s="21">
        <f>EXP(-LN(2)/25)*AA133+(1-EXP(-LN(2)/25))/(LN(2)/25)*Calculateur!V134*Calculateur!X134*VLOOKUP('Données projet'!$B$9,Paramètres!$A$1:$I$89,3,0)*0.475*44/12</f>
        <v>5.5770935561025903</v>
      </c>
      <c r="AB134" s="21">
        <f>EXP(-LN(2)/2)*AB133+(1-EXP(-LN(2)/2))/(LN(2)/2)*V134*Y134*VLOOKUP('Données projet'!$B$9,Paramètres!$A$1:$I$89,3,0)*0.475*44/12</f>
        <v>1.5599399913260066E-17</v>
      </c>
      <c r="AC134" s="22">
        <f t="shared" si="111"/>
        <v>24.346267820659261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789</v>
      </c>
      <c r="AJ134" s="13">
        <f>AI134*VLOOKUP('Données projet'!$B$10,Paramètres!$A$1:$I$89,3,0)*VLOOKUP('Données projet'!$B$10,Paramètres!$A$1:$I$89,5,0)</f>
        <v>389.76600000000002</v>
      </c>
      <c r="AK134" s="13">
        <f t="shared" si="143"/>
        <v>89.698759503620408</v>
      </c>
      <c r="AL134" s="20">
        <f t="shared" si="112"/>
        <v>835.06778946880547</v>
      </c>
      <c r="AM134" s="59">
        <f t="shared" si="113"/>
        <v>1128.4011228021388</v>
      </c>
      <c r="AN134" s="59">
        <f ca="1">AVERAGE(OFFSET($AM$3,0,0,'Données projet'!$E$10+1,1))-AVERAGE(OFFSET($H$3,0,0,'Données projet'!$E$10+1,1))</f>
        <v>396.27049617044378</v>
      </c>
      <c r="AO134" s="59">
        <f t="shared" si="144"/>
        <v>335.2680289568774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52.49360662288619</v>
      </c>
      <c r="AV134" s="21">
        <f>EXP(-LN(2)/25)*AV133+(1-EXP(-LN(2)/25))/(LN(2)/25)*Calculateur!AQ134*Calculateur!AS134*VLOOKUP('Données projet'!$B$10,Paramètres!$A$1:$I$89,3,0)*0.475*44/12</f>
        <v>2.8576625702540213</v>
      </c>
      <c r="AW134" s="21">
        <f>EXP(-LN(2)/2)*AW133+(1-EXP(-LN(2)/2))/(LN(2)/2)*AQ134*AT134*VLOOKUP('Données projet'!$B$10,Paramètres!$A$1:$I$89,3,0)*0.475*44/12</f>
        <v>2.4150182087935962E-16</v>
      </c>
      <c r="AX134" s="21">
        <f t="shared" si="114"/>
        <v>55.351269193140212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403.99999999999989</v>
      </c>
      <c r="BE134" s="13">
        <f>BD134*VLOOKUP('Données projet'!$B$11,Paramètres!$A$1:$I$89,3,0)*VLOOKUP('Données projet'!$B$11,Paramètres!$A$1:$I$89,5,0)</f>
        <v>346.63199999999995</v>
      </c>
      <c r="BF134" s="13">
        <f t="shared" si="145"/>
        <v>80.868615263336864</v>
      </c>
      <c r="BG134" s="20">
        <f t="shared" si="115"/>
        <v>744.56357158364483</v>
      </c>
      <c r="BH134" s="59">
        <f t="shared" si="116"/>
        <v>1037.8969049169782</v>
      </c>
      <c r="BI134" s="59">
        <f ca="1">AVERAGE(OFFSET($BH$3,0,0,'Données projet'!$E$11+1,1))-AVERAGE(OFFSET($H$3,0,0,'Données projet'!$E$11+1,1))</f>
        <v>352.61091660077574</v>
      </c>
      <c r="BJ134" s="59">
        <f t="shared" si="146"/>
        <v>186.48649111821521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80.389291449618227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80.389291449618227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266.99999999999983</v>
      </c>
      <c r="BZ134" s="13">
        <f>BY134*VLOOKUP('Données projet'!$B$12,Paramètres!$A$1:$I$89,3,0)*VLOOKUP('Données projet'!$B$12,Paramètres!$A$1:$I$89,5,0)</f>
        <v>212.42519999999985</v>
      </c>
      <c r="CA134" s="13">
        <f t="shared" si="147"/>
        <v>52.465198231787184</v>
      </c>
      <c r="CB134" s="20">
        <f t="shared" si="118"/>
        <v>461.35077692036231</v>
      </c>
      <c r="CC134" s="59">
        <f t="shared" si="119"/>
        <v>754.68411025369562</v>
      </c>
      <c r="CD134" s="59">
        <f ca="1">AVERAGE(OFFSET($CC$3,0,0,'Données projet'!$E$12+1,1))-AVERAGE(OFFSET($H$3,0,0,'Données projet'!$E$12+1,1))</f>
        <v>225.2323446080772</v>
      </c>
      <c r="CE134" s="59">
        <f t="shared" si="148"/>
        <v>222.29030402759292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15.802059061664181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15.802059061664181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213.00000000000003</v>
      </c>
      <c r="CU134" s="17">
        <f>CT134*VLOOKUP('Données projet'!$B$13,Paramètres!$A$1:$I$89,3,0)*VLOOKUP('Données projet'!$B$13,Paramètres!$A$1:$I$89,5,0)</f>
        <v>206.01360000000005</v>
      </c>
      <c r="CV134" s="13">
        <f t="shared" si="149"/>
        <v>51.063487709141484</v>
      </c>
      <c r="CW134" s="20">
        <f t="shared" si="121"/>
        <v>447.74259442675481</v>
      </c>
      <c r="CX134" s="59">
        <f t="shared" si="122"/>
        <v>741.07592776008812</v>
      </c>
      <c r="CY134" s="59">
        <f ca="1">AVERAGE(OFFSET($CX$3,0,0,'Données projet'!$E$13+1,1))-AVERAGE(OFFSET($H$3,0,0,'Données projet'!$E$13+1,1))</f>
        <v>212.32823943192528</v>
      </c>
      <c r="CZ134" s="59">
        <f t="shared" si="150"/>
        <v>209.60834138503003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12.041086513173376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12.041086513173376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285.99999999999972</v>
      </c>
      <c r="DP134" s="17">
        <f>DO134*VLOOKUP('Données projet'!$B$14,Paramètres!$A$1:$I$89,3,0)*VLOOKUP('Données projet'!$B$14,Paramètres!$A$1:$I$89,5,0)</f>
        <v>223.07999999999979</v>
      </c>
      <c r="DQ134" s="13">
        <f t="shared" si="151"/>
        <v>54.783765878062617</v>
      </c>
      <c r="DR134" s="20">
        <f t="shared" si="124"/>
        <v>483.94605890429199</v>
      </c>
      <c r="DS134" s="59">
        <f t="shared" si="125"/>
        <v>777.2793922376253</v>
      </c>
      <c r="DT134" s="59">
        <f ca="1">AVERAGE(OFFSET($DS$3,0,0,'Données projet'!$E$14+1,1))-AVERAGE(OFFSET($H$3,0,0,'Données projet'!$E$14+1,1))</f>
        <v>215.84581110302656</v>
      </c>
      <c r="DU134" s="59">
        <f t="shared" si="152"/>
        <v>193.88588526156104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17.529291751205768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17.529291751205768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6">
        <f t="shared" si="110"/>
        <v>435.34923124871818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401</v>
      </c>
      <c r="O135" s="13">
        <f>N135*VLOOKUP('Données projet'!$B$9,Paramètres!$A$1:$I$89,3,0)*VLOOKUP('Données projet'!$B$9,Paramètres!$A$1:$I$89,5,0)</f>
        <v>250.22399999999999</v>
      </c>
      <c r="P135" s="13">
        <f t="shared" si="141"/>
        <v>60.633904580527918</v>
      </c>
      <c r="Q135" s="20">
        <f t="shared" si="108"/>
        <v>541.41085047775289</v>
      </c>
      <c r="R135" s="59">
        <f t="shared" si="109"/>
        <v>834.74418381108626</v>
      </c>
      <c r="S135" s="59">
        <f ca="1">AVERAGE(OFFSET($R$3,0,0,'Données projet'!$E$9+1,1))-AVERAGE(OFFSET($H$3,0,0,'Données projet'!$E$9+1,1))</f>
        <v>269.77739619445515</v>
      </c>
      <c r="T135" s="59">
        <f t="shared" si="142"/>
        <v>347.56964743629885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18.401122205294612</v>
      </c>
      <c r="AA135" s="21">
        <f>EXP(-LN(2)/25)*AA134+(1-EXP(-LN(2)/25))/(LN(2)/25)*Calculateur!V135*Calculateur!X135*VLOOKUP('Données projet'!$B$9,Paramètres!$A$1:$I$89,3,0)*0.475*44/12</f>
        <v>5.4245876395243613</v>
      </c>
      <c r="AB135" s="21">
        <f>EXP(-LN(2)/2)*AB134+(1-EXP(-LN(2)/2))/(LN(2)/2)*V135*Y135*VLOOKUP('Données projet'!$B$9,Paramètres!$A$1:$I$89,3,0)*0.475*44/12</f>
        <v>1.1030441461107034E-17</v>
      </c>
      <c r="AC135" s="22">
        <f t="shared" si="111"/>
        <v>23.825709844818974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789</v>
      </c>
      <c r="AJ135" s="13">
        <f>AI135*VLOOKUP('Données projet'!$B$10,Paramètres!$A$1:$I$89,3,0)*VLOOKUP('Données projet'!$B$10,Paramètres!$A$1:$I$89,5,0)</f>
        <v>389.76600000000002</v>
      </c>
      <c r="AK135" s="13">
        <f t="shared" si="143"/>
        <v>89.698759503620408</v>
      </c>
      <c r="AL135" s="20">
        <f t="shared" si="112"/>
        <v>835.06778946880547</v>
      </c>
      <c r="AM135" s="59">
        <f t="shared" si="113"/>
        <v>1128.4011228021388</v>
      </c>
      <c r="AN135" s="59">
        <f ca="1">AVERAGE(OFFSET($AM$3,0,0,'Données projet'!$E$10+1,1))-AVERAGE(OFFSET($H$3,0,0,'Données projet'!$E$10+1,1))</f>
        <v>396.27049617044378</v>
      </c>
      <c r="AO135" s="59">
        <f t="shared" si="144"/>
        <v>335.2680289568774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51.464239014949925</v>
      </c>
      <c r="AV135" s="21">
        <f>EXP(-LN(2)/25)*AV134+(1-EXP(-LN(2)/25))/(LN(2)/25)*Calculateur!AQ135*Calculateur!AS135*VLOOKUP('Données projet'!$B$10,Paramètres!$A$1:$I$89,3,0)*0.475*44/12</f>
        <v>2.7795196369924819</v>
      </c>
      <c r="AW135" s="21">
        <f>EXP(-LN(2)/2)*AW134+(1-EXP(-LN(2)/2))/(LN(2)/2)*AQ135*AT135*VLOOKUP('Données projet'!$B$10,Paramètres!$A$1:$I$89,3,0)*0.475*44/12</f>
        <v>1.7076757521269414E-16</v>
      </c>
      <c r="AX135" s="21">
        <f t="shared" si="114"/>
        <v>54.243758651942407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403.99999999999989</v>
      </c>
      <c r="BE135" s="13">
        <f>BD135*VLOOKUP('Données projet'!$B$11,Paramètres!$A$1:$I$89,3,0)*VLOOKUP('Données projet'!$B$11,Paramètres!$A$1:$I$89,5,0)</f>
        <v>346.63199999999995</v>
      </c>
      <c r="BF135" s="13">
        <f t="shared" si="145"/>
        <v>80.868615263336864</v>
      </c>
      <c r="BG135" s="20">
        <f t="shared" si="115"/>
        <v>744.56357158364483</v>
      </c>
      <c r="BH135" s="59">
        <f t="shared" si="116"/>
        <v>1037.8969049169782</v>
      </c>
      <c r="BI135" s="59">
        <f ca="1">AVERAGE(OFFSET($BH$3,0,0,'Données projet'!$E$11+1,1))-AVERAGE(OFFSET($H$3,0,0,'Données projet'!$E$11+1,1))</f>
        <v>352.61091660077574</v>
      </c>
      <c r="BJ135" s="59">
        <f t="shared" si="146"/>
        <v>186.48649111821521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78.812906476917433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78.812906476917433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266.99999999999983</v>
      </c>
      <c r="BZ135" s="13">
        <f>BY135*VLOOKUP('Données projet'!$B$12,Paramètres!$A$1:$I$89,3,0)*VLOOKUP('Données projet'!$B$12,Paramètres!$A$1:$I$89,5,0)</f>
        <v>212.42519999999985</v>
      </c>
      <c r="CA135" s="13">
        <f t="shared" si="147"/>
        <v>52.465198231787184</v>
      </c>
      <c r="CB135" s="20">
        <f t="shared" si="118"/>
        <v>461.35077692036231</v>
      </c>
      <c r="CC135" s="59">
        <f t="shared" si="119"/>
        <v>754.68411025369562</v>
      </c>
      <c r="CD135" s="59">
        <f ca="1">AVERAGE(OFFSET($CC$3,0,0,'Données projet'!$E$12+1,1))-AVERAGE(OFFSET($H$3,0,0,'Données projet'!$E$12+1,1))</f>
        <v>225.2323446080772</v>
      </c>
      <c r="CE135" s="59">
        <f t="shared" si="148"/>
        <v>222.29030402759292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15.492190321769272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15.492190321769272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213.00000000000003</v>
      </c>
      <c r="CU135" s="17">
        <f>CT135*VLOOKUP('Données projet'!$B$13,Paramètres!$A$1:$I$89,3,0)*VLOOKUP('Données projet'!$B$13,Paramètres!$A$1:$I$89,5,0)</f>
        <v>206.01360000000005</v>
      </c>
      <c r="CV135" s="13">
        <f t="shared" si="149"/>
        <v>51.063487709141484</v>
      </c>
      <c r="CW135" s="20">
        <f t="shared" si="121"/>
        <v>447.74259442675481</v>
      </c>
      <c r="CX135" s="59">
        <f t="shared" si="122"/>
        <v>741.07592776008812</v>
      </c>
      <c r="CY135" s="59">
        <f ca="1">AVERAGE(OFFSET($CX$3,0,0,'Données projet'!$E$13+1,1))-AVERAGE(OFFSET($H$3,0,0,'Données projet'!$E$13+1,1))</f>
        <v>212.32823943192528</v>
      </c>
      <c r="CZ135" s="59">
        <f t="shared" si="150"/>
        <v>209.60834138503003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11.804968150987627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11.804968150987627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285.99999999999972</v>
      </c>
      <c r="DP135" s="17">
        <f>DO135*VLOOKUP('Données projet'!$B$14,Paramètres!$A$1:$I$89,3,0)*VLOOKUP('Données projet'!$B$14,Paramètres!$A$1:$I$89,5,0)</f>
        <v>223.07999999999979</v>
      </c>
      <c r="DQ135" s="13">
        <f t="shared" si="151"/>
        <v>54.783765878062617</v>
      </c>
      <c r="DR135" s="20">
        <f t="shared" si="124"/>
        <v>483.94605890429199</v>
      </c>
      <c r="DS135" s="59">
        <f t="shared" si="125"/>
        <v>777.2793922376253</v>
      </c>
      <c r="DT135" s="59">
        <f ca="1">AVERAGE(OFFSET($DS$3,0,0,'Données projet'!$E$14+1,1))-AVERAGE(OFFSET($H$3,0,0,'Données projet'!$E$14+1,1))</f>
        <v>215.84581110302656</v>
      </c>
      <c r="DU135" s="59">
        <f t="shared" si="152"/>
        <v>193.88588526156104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17.185553031776863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17.185553031776863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6">
        <f t="shared" si="110"/>
        <v>436.39729767795615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401</v>
      </c>
      <c r="O136" s="13">
        <f>N136*VLOOKUP('Données projet'!$B$9,Paramètres!$A$1:$I$89,3,0)*VLOOKUP('Données projet'!$B$9,Paramètres!$A$1:$I$89,5,0)</f>
        <v>250.22399999999999</v>
      </c>
      <c r="P136" s="13">
        <f t="shared" si="141"/>
        <v>60.633904580527918</v>
      </c>
      <c r="Q136" s="20">
        <f t="shared" si="108"/>
        <v>541.41085047775289</v>
      </c>
      <c r="R136" s="59">
        <f t="shared" si="109"/>
        <v>834.74418381108626</v>
      </c>
      <c r="S136" s="59">
        <f ca="1">AVERAGE(OFFSET($R$3,0,0,'Données projet'!$E$9+1,1))-AVERAGE(OFFSET($H$3,0,0,'Données projet'!$E$9+1,1))</f>
        <v>269.77739619445515</v>
      </c>
      <c r="T136" s="59">
        <f t="shared" si="142"/>
        <v>347.56964743629885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18.040287422425095</v>
      </c>
      <c r="AA136" s="21">
        <f>EXP(-LN(2)/25)*AA135+(1-EXP(-LN(2)/25))/(LN(2)/25)*Calculateur!V136*Calculateur!X136*VLOOKUP('Données projet'!$B$9,Paramètres!$A$1:$I$89,3,0)*0.475*44/12</f>
        <v>5.2762520052549018</v>
      </c>
      <c r="AB136" s="21">
        <f>EXP(-LN(2)/2)*AB135+(1-EXP(-LN(2)/2))/(LN(2)/2)*V136*Y136*VLOOKUP('Données projet'!$B$9,Paramètres!$A$1:$I$89,3,0)*0.475*44/12</f>
        <v>7.7996999566300331E-18</v>
      </c>
      <c r="AC136" s="22">
        <f t="shared" si="111"/>
        <v>23.316539427679999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789</v>
      </c>
      <c r="AJ136" s="13">
        <f>AI136*VLOOKUP('Données projet'!$B$10,Paramètres!$A$1:$I$89,3,0)*VLOOKUP('Données projet'!$B$10,Paramètres!$A$1:$I$89,5,0)</f>
        <v>389.76600000000002</v>
      </c>
      <c r="AK136" s="13">
        <f t="shared" si="143"/>
        <v>89.698759503620408</v>
      </c>
      <c r="AL136" s="20">
        <f t="shared" si="112"/>
        <v>835.06778946880547</v>
      </c>
      <c r="AM136" s="59">
        <f t="shared" si="113"/>
        <v>1128.4011228021388</v>
      </c>
      <c r="AN136" s="59">
        <f ca="1">AVERAGE(OFFSET($AM$3,0,0,'Données projet'!$E$10+1,1))-AVERAGE(OFFSET($H$3,0,0,'Données projet'!$E$10+1,1))</f>
        <v>396.27049617044378</v>
      </c>
      <c r="AO136" s="59">
        <f t="shared" si="144"/>
        <v>335.2680289568774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50.455056677953046</v>
      </c>
      <c r="AV136" s="21">
        <f>EXP(-LN(2)/25)*AV135+(1-EXP(-LN(2)/25))/(LN(2)/25)*Calculateur!AQ136*Calculateur!AS136*VLOOKUP('Données projet'!$B$10,Paramètres!$A$1:$I$89,3,0)*0.475*44/12</f>
        <v>2.7035135263503376</v>
      </c>
      <c r="AW136" s="21">
        <f>EXP(-LN(2)/2)*AW135+(1-EXP(-LN(2)/2))/(LN(2)/2)*AQ136*AT136*VLOOKUP('Données projet'!$B$10,Paramètres!$A$1:$I$89,3,0)*0.475*44/12</f>
        <v>1.2075091043967981E-16</v>
      </c>
      <c r="AX136" s="21">
        <f t="shared" si="114"/>
        <v>53.158570204303381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403.99999999999989</v>
      </c>
      <c r="BE136" s="13">
        <f>BD136*VLOOKUP('Données projet'!$B$11,Paramètres!$A$1:$I$89,3,0)*VLOOKUP('Données projet'!$B$11,Paramètres!$A$1:$I$89,5,0)</f>
        <v>346.63199999999995</v>
      </c>
      <c r="BF136" s="13">
        <f t="shared" si="145"/>
        <v>80.868615263336864</v>
      </c>
      <c r="BG136" s="20">
        <f t="shared" si="115"/>
        <v>744.56357158364483</v>
      </c>
      <c r="BH136" s="59">
        <f t="shared" si="116"/>
        <v>1037.8969049169782</v>
      </c>
      <c r="BI136" s="59">
        <f ca="1">AVERAGE(OFFSET($BH$3,0,0,'Données projet'!$E$11+1,1))-AVERAGE(OFFSET($H$3,0,0,'Données projet'!$E$11+1,1))</f>
        <v>352.61091660077574</v>
      </c>
      <c r="BJ136" s="59">
        <f t="shared" si="146"/>
        <v>186.48649111821521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77.267433452031398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77.267433452031398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266.99999999999983</v>
      </c>
      <c r="BZ136" s="13">
        <f>BY136*VLOOKUP('Données projet'!$B$12,Paramètres!$A$1:$I$89,3,0)*VLOOKUP('Données projet'!$B$12,Paramètres!$A$1:$I$89,5,0)</f>
        <v>212.42519999999985</v>
      </c>
      <c r="CA136" s="13">
        <f t="shared" si="147"/>
        <v>52.465198231787184</v>
      </c>
      <c r="CB136" s="20">
        <f t="shared" si="118"/>
        <v>461.35077692036231</v>
      </c>
      <c r="CC136" s="59">
        <f t="shared" si="119"/>
        <v>754.68411025369562</v>
      </c>
      <c r="CD136" s="59">
        <f ca="1">AVERAGE(OFFSET($CC$3,0,0,'Données projet'!$E$12+1,1))-AVERAGE(OFFSET($H$3,0,0,'Données projet'!$E$12+1,1))</f>
        <v>225.2323446080772</v>
      </c>
      <c r="CE136" s="59">
        <f t="shared" si="148"/>
        <v>222.29030402759292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15.188397918862432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15.188397918862432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213.00000000000003</v>
      </c>
      <c r="CU136" s="17">
        <f>CT136*VLOOKUP('Données projet'!$B$13,Paramètres!$A$1:$I$89,3,0)*VLOOKUP('Données projet'!$B$13,Paramètres!$A$1:$I$89,5,0)</f>
        <v>206.01360000000005</v>
      </c>
      <c r="CV136" s="13">
        <f t="shared" si="149"/>
        <v>51.063487709141484</v>
      </c>
      <c r="CW136" s="20">
        <f t="shared" si="121"/>
        <v>447.74259442675481</v>
      </c>
      <c r="CX136" s="59">
        <f t="shared" si="122"/>
        <v>741.07592776008812</v>
      </c>
      <c r="CY136" s="59">
        <f ca="1">AVERAGE(OFFSET($CX$3,0,0,'Données projet'!$E$13+1,1))-AVERAGE(OFFSET($H$3,0,0,'Données projet'!$E$13+1,1))</f>
        <v>212.32823943192528</v>
      </c>
      <c r="CZ136" s="59">
        <f t="shared" si="150"/>
        <v>209.60834138503003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11.573479925866359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11.573479925866359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285.99999999999972</v>
      </c>
      <c r="DP136" s="17">
        <f>DO136*VLOOKUP('Données projet'!$B$14,Paramètres!$A$1:$I$89,3,0)*VLOOKUP('Données projet'!$B$14,Paramètres!$A$1:$I$89,5,0)</f>
        <v>223.07999999999979</v>
      </c>
      <c r="DQ136" s="13">
        <f t="shared" si="151"/>
        <v>54.783765878062617</v>
      </c>
      <c r="DR136" s="20">
        <f t="shared" si="124"/>
        <v>483.94605890429199</v>
      </c>
      <c r="DS136" s="59">
        <f t="shared" si="125"/>
        <v>777.2793922376253</v>
      </c>
      <c r="DT136" s="59">
        <f ca="1">AVERAGE(OFFSET($DS$3,0,0,'Données projet'!$E$14+1,1))-AVERAGE(OFFSET($H$3,0,0,'Données projet'!$E$14+1,1))</f>
        <v>215.84581110302656</v>
      </c>
      <c r="DU136" s="59">
        <f t="shared" si="152"/>
        <v>193.88588526156104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16.848554818976041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16.848554818976041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6">
        <f t="shared" si="110"/>
        <v>437.4451801121844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401</v>
      </c>
      <c r="O137" s="13">
        <f>N137*VLOOKUP('Données projet'!$B$9,Paramètres!$A$1:$I$89,3,0)*VLOOKUP('Données projet'!$B$9,Paramètres!$A$1:$I$89,5,0)</f>
        <v>250.22399999999999</v>
      </c>
      <c r="P137" s="13">
        <f t="shared" si="141"/>
        <v>60.633904580527918</v>
      </c>
      <c r="Q137" s="20">
        <f t="shared" si="108"/>
        <v>541.41085047775289</v>
      </c>
      <c r="R137" s="59">
        <f t="shared" si="109"/>
        <v>834.74418381108626</v>
      </c>
      <c r="S137" s="59">
        <f ca="1">AVERAGE(OFFSET($R$3,0,0,'Données projet'!$E$9+1,1))-AVERAGE(OFFSET($H$3,0,0,'Données projet'!$E$9+1,1))</f>
        <v>269.77739619445515</v>
      </c>
      <c r="T137" s="59">
        <f t="shared" si="142"/>
        <v>347.56964743629885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17.686528389560163</v>
      </c>
      <c r="AA137" s="21">
        <f>EXP(-LN(2)/25)*AA136+(1-EXP(-LN(2)/25))/(LN(2)/25)*Calculateur!V137*Calculateur!X137*VLOOKUP('Données projet'!$B$9,Paramètres!$A$1:$I$89,3,0)*0.475*44/12</f>
        <v>5.1319726167051725</v>
      </c>
      <c r="AB137" s="21">
        <f>EXP(-LN(2)/2)*AB136+(1-EXP(-LN(2)/2))/(LN(2)/2)*V137*Y137*VLOOKUP('Données projet'!$B$9,Paramètres!$A$1:$I$89,3,0)*0.475*44/12</f>
        <v>5.5152207305535171E-18</v>
      </c>
      <c r="AC137" s="22">
        <f t="shared" si="111"/>
        <v>22.818501006265336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789</v>
      </c>
      <c r="AJ137" s="13">
        <f>AI137*VLOOKUP('Données projet'!$B$10,Paramètres!$A$1:$I$89,3,0)*VLOOKUP('Données projet'!$B$10,Paramètres!$A$1:$I$89,5,0)</f>
        <v>389.76600000000002</v>
      </c>
      <c r="AK137" s="13">
        <f t="shared" si="143"/>
        <v>89.698759503620408</v>
      </c>
      <c r="AL137" s="20">
        <f t="shared" si="112"/>
        <v>835.06778946880547</v>
      </c>
      <c r="AM137" s="59">
        <f t="shared" si="113"/>
        <v>1128.4011228021388</v>
      </c>
      <c r="AN137" s="59">
        <f ca="1">AVERAGE(OFFSET($AM$3,0,0,'Données projet'!$E$10+1,1))-AVERAGE(OFFSET($H$3,0,0,'Données projet'!$E$10+1,1))</f>
        <v>396.27049617044378</v>
      </c>
      <c r="AO137" s="59">
        <f t="shared" si="144"/>
        <v>335.2680289568774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49.465663791044229</v>
      </c>
      <c r="AV137" s="21">
        <f>EXP(-LN(2)/25)*AV136+(1-EXP(-LN(2)/25))/(LN(2)/25)*Calculateur!AQ137*Calculateur!AS137*VLOOKUP('Données projet'!$B$10,Paramètres!$A$1:$I$89,3,0)*0.475*44/12</f>
        <v>2.6295858068006903</v>
      </c>
      <c r="AW137" s="21">
        <f>EXP(-LN(2)/2)*AW136+(1-EXP(-LN(2)/2))/(LN(2)/2)*AQ137*AT137*VLOOKUP('Données projet'!$B$10,Paramètres!$A$1:$I$89,3,0)*0.475*44/12</f>
        <v>8.5383787606347068E-17</v>
      </c>
      <c r="AX137" s="21">
        <f t="shared" si="114"/>
        <v>52.095249597844919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403.99999999999989</v>
      </c>
      <c r="BE137" s="13">
        <f>BD137*VLOOKUP('Données projet'!$B$11,Paramètres!$A$1:$I$89,3,0)*VLOOKUP('Données projet'!$B$11,Paramètres!$A$1:$I$89,5,0)</f>
        <v>346.63199999999995</v>
      </c>
      <c r="BF137" s="13">
        <f t="shared" si="145"/>
        <v>80.868615263336864</v>
      </c>
      <c r="BG137" s="20">
        <f t="shared" si="115"/>
        <v>744.56357158364483</v>
      </c>
      <c r="BH137" s="59">
        <f t="shared" si="116"/>
        <v>1037.8969049169782</v>
      </c>
      <c r="BI137" s="59">
        <f ca="1">AVERAGE(OFFSET($BH$3,0,0,'Données projet'!$E$11+1,1))-AVERAGE(OFFSET($H$3,0,0,'Données projet'!$E$11+1,1))</f>
        <v>352.61091660077574</v>
      </c>
      <c r="BJ137" s="59">
        <f t="shared" si="146"/>
        <v>186.48649111821521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75.752266210517917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75.752266210517917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266.99999999999983</v>
      </c>
      <c r="BZ137" s="13">
        <f>BY137*VLOOKUP('Données projet'!$B$12,Paramètres!$A$1:$I$89,3,0)*VLOOKUP('Données projet'!$B$12,Paramètres!$A$1:$I$89,5,0)</f>
        <v>212.42519999999985</v>
      </c>
      <c r="CA137" s="13">
        <f t="shared" si="147"/>
        <v>52.465198231787184</v>
      </c>
      <c r="CB137" s="20">
        <f t="shared" si="118"/>
        <v>461.35077692036231</v>
      </c>
      <c r="CC137" s="59">
        <f t="shared" si="119"/>
        <v>754.68411025369562</v>
      </c>
      <c r="CD137" s="59">
        <f ca="1">AVERAGE(OFFSET($CC$3,0,0,'Données projet'!$E$12+1,1))-AVERAGE(OFFSET($H$3,0,0,'Données projet'!$E$12+1,1))</f>
        <v>225.2323446080772</v>
      </c>
      <c r="CE137" s="59">
        <f t="shared" si="148"/>
        <v>222.29030402759292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14.890562699681524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14.890562699681524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213.00000000000003</v>
      </c>
      <c r="CU137" s="17">
        <f>CT137*VLOOKUP('Données projet'!$B$13,Paramètres!$A$1:$I$89,3,0)*VLOOKUP('Données projet'!$B$13,Paramètres!$A$1:$I$89,5,0)</f>
        <v>206.01360000000005</v>
      </c>
      <c r="CV137" s="13">
        <f t="shared" si="149"/>
        <v>51.063487709141484</v>
      </c>
      <c r="CW137" s="20">
        <f t="shared" si="121"/>
        <v>447.74259442675481</v>
      </c>
      <c r="CX137" s="59">
        <f t="shared" si="122"/>
        <v>741.07592776008812</v>
      </c>
      <c r="CY137" s="59">
        <f ca="1">AVERAGE(OFFSET($CX$3,0,0,'Données projet'!$E$13+1,1))-AVERAGE(OFFSET($H$3,0,0,'Données projet'!$E$13+1,1))</f>
        <v>212.32823943192528</v>
      </c>
      <c r="CZ137" s="59">
        <f t="shared" si="150"/>
        <v>209.60834138503003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11.346531043645843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11.346531043645843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285.99999999999972</v>
      </c>
      <c r="DP137" s="17">
        <f>DO137*VLOOKUP('Données projet'!$B$14,Paramètres!$A$1:$I$89,3,0)*VLOOKUP('Données projet'!$B$14,Paramètres!$A$1:$I$89,5,0)</f>
        <v>223.07999999999979</v>
      </c>
      <c r="DQ137" s="13">
        <f t="shared" si="151"/>
        <v>54.783765878062617</v>
      </c>
      <c r="DR137" s="20">
        <f t="shared" si="124"/>
        <v>483.94605890429199</v>
      </c>
      <c r="DS137" s="59">
        <f t="shared" si="125"/>
        <v>777.2793922376253</v>
      </c>
      <c r="DT137" s="59">
        <f ca="1">AVERAGE(OFFSET($DS$3,0,0,'Données projet'!$E$14+1,1))-AVERAGE(OFFSET($H$3,0,0,'Données projet'!$E$14+1,1))</f>
        <v>215.84581110302656</v>
      </c>
      <c r="DU137" s="59">
        <f t="shared" si="152"/>
        <v>193.88588526156104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16.51816493557963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16.51816493557963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6">
        <f t="shared" si="110"/>
        <v>438.49288008369155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401</v>
      </c>
      <c r="O138" s="13">
        <f>N138*VLOOKUP('Données projet'!$B$9,Paramètres!$A$1:$I$89,3,0)*VLOOKUP('Données projet'!$B$9,Paramètres!$A$1:$I$89,5,0)</f>
        <v>250.22399999999999</v>
      </c>
      <c r="P138" s="13">
        <f t="shared" si="141"/>
        <v>60.633904580527918</v>
      </c>
      <c r="Q138" s="20">
        <f t="shared" si="108"/>
        <v>541.41085047775289</v>
      </c>
      <c r="R138" s="59">
        <f t="shared" si="109"/>
        <v>834.74418381108626</v>
      </c>
      <c r="S138" s="59">
        <f ca="1">AVERAGE(OFFSET($R$3,0,0,'Données projet'!$E$9+1,1))-AVERAGE(OFFSET($H$3,0,0,'Données projet'!$E$9+1,1))</f>
        <v>269.77739619445515</v>
      </c>
      <c r="T138" s="59">
        <f t="shared" si="142"/>
        <v>347.56964743629885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17.339706355558008</v>
      </c>
      <c r="AA138" s="21">
        <f>EXP(-LN(2)/25)*AA137+(1-EXP(-LN(2)/25))/(LN(2)/25)*Calculateur!V138*Calculateur!X138*VLOOKUP('Données projet'!$B$9,Paramètres!$A$1:$I$89,3,0)*0.475*44/12</f>
        <v>4.991638555622659</v>
      </c>
      <c r="AB138" s="21">
        <f>EXP(-LN(2)/2)*AB137+(1-EXP(-LN(2)/2))/(LN(2)/2)*V138*Y138*VLOOKUP('Données projet'!$B$9,Paramètres!$A$1:$I$89,3,0)*0.475*44/12</f>
        <v>3.8998499783150165E-18</v>
      </c>
      <c r="AC138" s="22">
        <f t="shared" si="111"/>
        <v>22.331344911180665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789</v>
      </c>
      <c r="AJ138" s="13">
        <f>AI138*VLOOKUP('Données projet'!$B$10,Paramètres!$A$1:$I$89,3,0)*VLOOKUP('Données projet'!$B$10,Paramètres!$A$1:$I$89,5,0)</f>
        <v>389.76600000000002</v>
      </c>
      <c r="AK138" s="13">
        <f t="shared" si="143"/>
        <v>89.698759503620408</v>
      </c>
      <c r="AL138" s="20">
        <f t="shared" si="112"/>
        <v>835.06778946880547</v>
      </c>
      <c r="AM138" s="59">
        <f t="shared" si="113"/>
        <v>1128.4011228021388</v>
      </c>
      <c r="AN138" s="59">
        <f ca="1">AVERAGE(OFFSET($AM$3,0,0,'Données projet'!$E$10+1,1))-AVERAGE(OFFSET($H$3,0,0,'Données projet'!$E$10+1,1))</f>
        <v>396.27049617044378</v>
      </c>
      <c r="AO138" s="59">
        <f t="shared" si="144"/>
        <v>335.2680289568774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48.49567229517762</v>
      </c>
      <c r="AV138" s="21">
        <f>EXP(-LN(2)/25)*AV137+(1-EXP(-LN(2)/25))/(LN(2)/25)*Calculateur!AQ138*Calculateur!AS138*VLOOKUP('Données projet'!$B$10,Paramètres!$A$1:$I$89,3,0)*0.475*44/12</f>
        <v>2.5576796446298178</v>
      </c>
      <c r="AW138" s="21">
        <f>EXP(-LN(2)/2)*AW137+(1-EXP(-LN(2)/2))/(LN(2)/2)*AQ138*AT138*VLOOKUP('Données projet'!$B$10,Paramètres!$A$1:$I$89,3,0)*0.475*44/12</f>
        <v>6.0375455219839904E-17</v>
      </c>
      <c r="AX138" s="21">
        <f t="shared" si="114"/>
        <v>51.053351939807435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403.99999999999989</v>
      </c>
      <c r="BE138" s="13">
        <f>BD138*VLOOKUP('Données projet'!$B$11,Paramètres!$A$1:$I$89,3,0)*VLOOKUP('Données projet'!$B$11,Paramètres!$A$1:$I$89,5,0)</f>
        <v>346.63199999999995</v>
      </c>
      <c r="BF138" s="13">
        <f t="shared" si="145"/>
        <v>80.868615263336864</v>
      </c>
      <c r="BG138" s="20">
        <f t="shared" si="115"/>
        <v>744.56357158364483</v>
      </c>
      <c r="BH138" s="59">
        <f t="shared" si="116"/>
        <v>1037.8969049169782</v>
      </c>
      <c r="BI138" s="59">
        <f ca="1">AVERAGE(OFFSET($BH$3,0,0,'Données projet'!$E$11+1,1))-AVERAGE(OFFSET($H$3,0,0,'Données projet'!$E$11+1,1))</f>
        <v>352.61091660077574</v>
      </c>
      <c r="BJ138" s="59">
        <f t="shared" si="146"/>
        <v>186.48649111821521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74.266810474449755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74.266810474449755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266.99999999999983</v>
      </c>
      <c r="BZ138" s="13">
        <f>BY138*VLOOKUP('Données projet'!$B$12,Paramètres!$A$1:$I$89,3,0)*VLOOKUP('Données projet'!$B$12,Paramètres!$A$1:$I$89,5,0)</f>
        <v>212.42519999999985</v>
      </c>
      <c r="CA138" s="13">
        <f t="shared" si="147"/>
        <v>52.465198231787184</v>
      </c>
      <c r="CB138" s="20">
        <f t="shared" si="118"/>
        <v>461.35077692036231</v>
      </c>
      <c r="CC138" s="59">
        <f t="shared" si="119"/>
        <v>754.68411025369562</v>
      </c>
      <c r="CD138" s="59">
        <f ca="1">AVERAGE(OFFSET($CC$3,0,0,'Données projet'!$E$12+1,1))-AVERAGE(OFFSET($H$3,0,0,'Données projet'!$E$12+1,1))</f>
        <v>225.2323446080772</v>
      </c>
      <c r="CE138" s="59">
        <f t="shared" si="148"/>
        <v>222.29030402759292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14.598567847487208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14.598567847487208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213.00000000000003</v>
      </c>
      <c r="CU138" s="17">
        <f>CT138*VLOOKUP('Données projet'!$B$13,Paramètres!$A$1:$I$89,3,0)*VLOOKUP('Données projet'!$B$13,Paramètres!$A$1:$I$89,5,0)</f>
        <v>206.01360000000005</v>
      </c>
      <c r="CV138" s="13">
        <f t="shared" si="149"/>
        <v>51.063487709141484</v>
      </c>
      <c r="CW138" s="20">
        <f t="shared" si="121"/>
        <v>447.74259442675481</v>
      </c>
      <c r="CX138" s="59">
        <f t="shared" si="122"/>
        <v>741.07592776008812</v>
      </c>
      <c r="CY138" s="59">
        <f ca="1">AVERAGE(OFFSET($CX$3,0,0,'Données projet'!$E$13+1,1))-AVERAGE(OFFSET($H$3,0,0,'Données projet'!$E$13+1,1))</f>
        <v>212.32823943192528</v>
      </c>
      <c r="CZ138" s="59">
        <f t="shared" si="150"/>
        <v>209.60834138503003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11.124032490580522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11.124032490580522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285.99999999999972</v>
      </c>
      <c r="DP138" s="17">
        <f>DO138*VLOOKUP('Données projet'!$B$14,Paramètres!$A$1:$I$89,3,0)*VLOOKUP('Données projet'!$B$14,Paramètres!$A$1:$I$89,5,0)</f>
        <v>223.07999999999979</v>
      </c>
      <c r="DQ138" s="13">
        <f t="shared" si="151"/>
        <v>54.783765878062617</v>
      </c>
      <c r="DR138" s="20">
        <f t="shared" si="124"/>
        <v>483.94605890429199</v>
      </c>
      <c r="DS138" s="59">
        <f t="shared" si="125"/>
        <v>777.2793922376253</v>
      </c>
      <c r="DT138" s="59">
        <f ca="1">AVERAGE(OFFSET($DS$3,0,0,'Données projet'!$E$14+1,1))-AVERAGE(OFFSET($H$3,0,0,'Données projet'!$E$14+1,1))</f>
        <v>215.84581110302656</v>
      </c>
      <c r="DU138" s="59">
        <f t="shared" si="152"/>
        <v>193.88588526156104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16.194253796278691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16.194253796278691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6">
        <f t="shared" si="110"/>
        <v>439.54039910075409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401</v>
      </c>
      <c r="O139" s="13">
        <f>N139*VLOOKUP('Données projet'!$B$9,Paramètres!$A$1:$I$89,3,0)*VLOOKUP('Données projet'!$B$9,Paramètres!$A$1:$I$89,5,0)</f>
        <v>250.22399999999999</v>
      </c>
      <c r="P139" s="13">
        <f t="shared" si="141"/>
        <v>60.633904580527918</v>
      </c>
      <c r="Q139" s="20">
        <f t="shared" si="108"/>
        <v>541.41085047775289</v>
      </c>
      <c r="R139" s="59">
        <f t="shared" si="109"/>
        <v>834.74418381108626</v>
      </c>
      <c r="S139" s="59">
        <f ca="1">AVERAGE(OFFSET($R$3,0,0,'Données projet'!$E$9+1,1))-AVERAGE(OFFSET($H$3,0,0,'Données projet'!$E$9+1,1))</f>
        <v>269.77739619445515</v>
      </c>
      <c r="T139" s="59">
        <f t="shared" si="142"/>
        <v>347.56964743629885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16.999685290102082</v>
      </c>
      <c r="AA139" s="21">
        <f>EXP(-LN(2)/25)*AA138+(1-EXP(-LN(2)/25))/(LN(2)/25)*Calculateur!V139*Calculateur!X139*VLOOKUP('Données projet'!$B$9,Paramètres!$A$1:$I$89,3,0)*0.475*44/12</f>
        <v>4.8551419368202939</v>
      </c>
      <c r="AB139" s="21">
        <f>EXP(-LN(2)/2)*AB138+(1-EXP(-LN(2)/2))/(LN(2)/2)*V139*Y139*VLOOKUP('Données projet'!$B$9,Paramètres!$A$1:$I$89,3,0)*0.475*44/12</f>
        <v>2.7576103652767586E-18</v>
      </c>
      <c r="AC139" s="22">
        <f t="shared" si="111"/>
        <v>21.854827226922374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789</v>
      </c>
      <c r="AJ139" s="13">
        <f>AI139*VLOOKUP('Données projet'!$B$10,Paramètres!$A$1:$I$89,3,0)*VLOOKUP('Données projet'!$B$10,Paramètres!$A$1:$I$89,5,0)</f>
        <v>389.76600000000002</v>
      </c>
      <c r="AK139" s="13">
        <f t="shared" si="143"/>
        <v>89.698759503620408</v>
      </c>
      <c r="AL139" s="20">
        <f t="shared" si="112"/>
        <v>835.06778946880547</v>
      </c>
      <c r="AM139" s="59">
        <f t="shared" si="113"/>
        <v>1128.4011228021388</v>
      </c>
      <c r="AN139" s="59">
        <f ca="1">AVERAGE(OFFSET($AM$3,0,0,'Données projet'!$E$10+1,1))-AVERAGE(OFFSET($H$3,0,0,'Données projet'!$E$10+1,1))</f>
        <v>396.27049617044378</v>
      </c>
      <c r="AO139" s="59">
        <f t="shared" si="144"/>
        <v>335.2680289568774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47.544701740908557</v>
      </c>
      <c r="AV139" s="21">
        <f>EXP(-LN(2)/25)*AV138+(1-EXP(-LN(2)/25))/(LN(2)/25)*Calculateur!AQ139*Calculateur!AS139*VLOOKUP('Données projet'!$B$10,Paramètres!$A$1:$I$89,3,0)*0.475*44/12</f>
        <v>2.4877397602448887</v>
      </c>
      <c r="AW139" s="21">
        <f>EXP(-LN(2)/2)*AW138+(1-EXP(-LN(2)/2))/(LN(2)/2)*AQ139*AT139*VLOOKUP('Données projet'!$B$10,Paramètres!$A$1:$I$89,3,0)*0.475*44/12</f>
        <v>4.2691893803173534E-17</v>
      </c>
      <c r="AX139" s="21">
        <f t="shared" si="114"/>
        <v>50.032441501153443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403.99999999999989</v>
      </c>
      <c r="BE139" s="13">
        <f>BD139*VLOOKUP('Données projet'!$B$11,Paramètres!$A$1:$I$89,3,0)*VLOOKUP('Données projet'!$B$11,Paramètres!$A$1:$I$89,5,0)</f>
        <v>346.63199999999995</v>
      </c>
      <c r="BF139" s="13">
        <f t="shared" si="145"/>
        <v>80.868615263336864</v>
      </c>
      <c r="BG139" s="20">
        <f t="shared" si="115"/>
        <v>744.56357158364483</v>
      </c>
      <c r="BH139" s="59">
        <f t="shared" si="116"/>
        <v>1037.8969049169782</v>
      </c>
      <c r="BI139" s="59">
        <f ca="1">AVERAGE(OFFSET($BH$3,0,0,'Données projet'!$E$11+1,1))-AVERAGE(OFFSET($H$3,0,0,'Données projet'!$E$11+1,1))</f>
        <v>352.61091660077574</v>
      </c>
      <c r="BJ139" s="59">
        <f t="shared" si="146"/>
        <v>186.48649111821521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72.810483619327357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72.810483619327357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266.99999999999983</v>
      </c>
      <c r="BZ139" s="13">
        <f>BY139*VLOOKUP('Données projet'!$B$12,Paramètres!$A$1:$I$89,3,0)*VLOOKUP('Données projet'!$B$12,Paramètres!$A$1:$I$89,5,0)</f>
        <v>212.42519999999985</v>
      </c>
      <c r="CA139" s="13">
        <f t="shared" si="147"/>
        <v>52.465198231787184</v>
      </c>
      <c r="CB139" s="20">
        <f t="shared" si="118"/>
        <v>461.35077692036231</v>
      </c>
      <c r="CC139" s="59">
        <f t="shared" si="119"/>
        <v>754.68411025369562</v>
      </c>
      <c r="CD139" s="59">
        <f ca="1">AVERAGE(OFFSET($CC$3,0,0,'Données projet'!$E$12+1,1))-AVERAGE(OFFSET($H$3,0,0,'Données projet'!$E$12+1,1))</f>
        <v>225.2323446080772</v>
      </c>
      <c r="CE139" s="59">
        <f t="shared" si="148"/>
        <v>222.29030402759292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14.31229883624515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14.31229883624515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213.00000000000003</v>
      </c>
      <c r="CU139" s="17">
        <f>CT139*VLOOKUP('Données projet'!$B$13,Paramètres!$A$1:$I$89,3,0)*VLOOKUP('Données projet'!$B$13,Paramètres!$A$1:$I$89,5,0)</f>
        <v>206.01360000000005</v>
      </c>
      <c r="CV139" s="13">
        <f t="shared" si="149"/>
        <v>51.063487709141484</v>
      </c>
      <c r="CW139" s="20">
        <f t="shared" si="121"/>
        <v>447.74259442675481</v>
      </c>
      <c r="CX139" s="59">
        <f t="shared" si="122"/>
        <v>741.07592776008812</v>
      </c>
      <c r="CY139" s="59">
        <f ca="1">AVERAGE(OFFSET($CX$3,0,0,'Données projet'!$E$13+1,1))-AVERAGE(OFFSET($H$3,0,0,'Données projet'!$E$13+1,1))</f>
        <v>212.32823943192528</v>
      </c>
      <c r="CZ139" s="59">
        <f t="shared" si="150"/>
        <v>209.60834138503003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10.905896998430094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10.905896998430094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285.99999999999972</v>
      </c>
      <c r="DP139" s="17">
        <f>DO139*VLOOKUP('Données projet'!$B$14,Paramètres!$A$1:$I$89,3,0)*VLOOKUP('Données projet'!$B$14,Paramètres!$A$1:$I$89,5,0)</f>
        <v>223.07999999999979</v>
      </c>
      <c r="DQ139" s="13">
        <f t="shared" si="151"/>
        <v>54.783765878062617</v>
      </c>
      <c r="DR139" s="20">
        <f t="shared" si="124"/>
        <v>483.94605890429199</v>
      </c>
      <c r="DS139" s="59">
        <f t="shared" si="125"/>
        <v>777.2793922376253</v>
      </c>
      <c r="DT139" s="59">
        <f ca="1">AVERAGE(OFFSET($DS$3,0,0,'Données projet'!$E$14+1,1))-AVERAGE(OFFSET($H$3,0,0,'Données projet'!$E$14+1,1))</f>
        <v>215.84581110302656</v>
      </c>
      <c r="DU139" s="59">
        <f t="shared" si="152"/>
        <v>193.88588526156104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15.876694356853157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15.876694356853157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6">
        <f t="shared" si="110"/>
        <v>440.58773864818636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401</v>
      </c>
      <c r="O140" s="13">
        <f>N140*VLOOKUP('Données projet'!$B$9,Paramètres!$A$1:$I$89,3,0)*VLOOKUP('Données projet'!$B$9,Paramètres!$A$1:$I$89,5,0)</f>
        <v>250.22399999999999</v>
      </c>
      <c r="P140" s="13">
        <f t="shared" si="141"/>
        <v>60.633904580527918</v>
      </c>
      <c r="Q140" s="20">
        <f t="shared" si="108"/>
        <v>541.41085047775289</v>
      </c>
      <c r="R140" s="59">
        <f t="shared" si="109"/>
        <v>834.74418381108626</v>
      </c>
      <c r="S140" s="59">
        <f ca="1">AVERAGE(OFFSET($R$3,0,0,'Données projet'!$E$9+1,1))-AVERAGE(OFFSET($H$3,0,0,'Données projet'!$E$9+1,1))</f>
        <v>269.77739619445515</v>
      </c>
      <c r="T140" s="59">
        <f t="shared" si="142"/>
        <v>347.56964743629885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16.666331830347374</v>
      </c>
      <c r="AA140" s="21">
        <f>EXP(-LN(2)/25)*AA139+(1-EXP(-LN(2)/25))/(LN(2)/25)*Calculateur!V140*Calculateur!X140*VLOOKUP('Données projet'!$B$9,Paramètres!$A$1:$I$89,3,0)*0.475*44/12</f>
        <v>4.7223778252371247</v>
      </c>
      <c r="AB140" s="21">
        <f>EXP(-LN(2)/2)*AB139+(1-EXP(-LN(2)/2))/(LN(2)/2)*V140*Y140*VLOOKUP('Données projet'!$B$9,Paramètres!$A$1:$I$89,3,0)*0.475*44/12</f>
        <v>1.9499249891575083E-18</v>
      </c>
      <c r="AC140" s="22">
        <f t="shared" si="111"/>
        <v>21.388709655584499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789</v>
      </c>
      <c r="AJ140" s="13">
        <f>AI140*VLOOKUP('Données projet'!$B$10,Paramètres!$A$1:$I$89,3,0)*VLOOKUP('Données projet'!$B$10,Paramètres!$A$1:$I$89,5,0)</f>
        <v>389.76600000000002</v>
      </c>
      <c r="AK140" s="13">
        <f t="shared" si="143"/>
        <v>89.698759503620408</v>
      </c>
      <c r="AL140" s="20">
        <f t="shared" si="112"/>
        <v>835.06778946880547</v>
      </c>
      <c r="AM140" s="59">
        <f t="shared" si="113"/>
        <v>1128.4011228021388</v>
      </c>
      <c r="AN140" s="59">
        <f ca="1">AVERAGE(OFFSET($AM$3,0,0,'Données projet'!$E$10+1,1))-AVERAGE(OFFSET($H$3,0,0,'Données projet'!$E$10+1,1))</f>
        <v>396.27049617044378</v>
      </c>
      <c r="AO140" s="59">
        <f t="shared" si="144"/>
        <v>335.2680289568774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46.612379139173946</v>
      </c>
      <c r="AV140" s="21">
        <f>EXP(-LN(2)/25)*AV139+(1-EXP(-LN(2)/25))/(LN(2)/25)*Calculateur!AQ140*Calculateur!AS140*VLOOKUP('Données projet'!$B$10,Paramètres!$A$1:$I$89,3,0)*0.475*44/12</f>
        <v>2.4197123856764442</v>
      </c>
      <c r="AW140" s="21">
        <f>EXP(-LN(2)/2)*AW139+(1-EXP(-LN(2)/2))/(LN(2)/2)*AQ140*AT140*VLOOKUP('Données projet'!$B$10,Paramètres!$A$1:$I$89,3,0)*0.475*44/12</f>
        <v>3.0187727609919952E-17</v>
      </c>
      <c r="AX140" s="21">
        <f t="shared" si="114"/>
        <v>49.032091524850387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403.99999999999989</v>
      </c>
      <c r="BE140" s="13">
        <f>BD140*VLOOKUP('Données projet'!$B$11,Paramètres!$A$1:$I$89,3,0)*VLOOKUP('Données projet'!$B$11,Paramètres!$A$1:$I$89,5,0)</f>
        <v>346.63199999999995</v>
      </c>
      <c r="BF140" s="13">
        <f t="shared" si="145"/>
        <v>80.868615263336864</v>
      </c>
      <c r="BG140" s="20">
        <f t="shared" si="115"/>
        <v>744.56357158364483</v>
      </c>
      <c r="BH140" s="59">
        <f t="shared" si="116"/>
        <v>1037.8969049169782</v>
      </c>
      <c r="BI140" s="59">
        <f ca="1">AVERAGE(OFFSET($BH$3,0,0,'Données projet'!$E$11+1,1))-AVERAGE(OFFSET($H$3,0,0,'Données projet'!$E$11+1,1))</f>
        <v>352.61091660077574</v>
      </c>
      <c r="BJ140" s="59">
        <f t="shared" si="146"/>
        <v>186.48649111821521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71.382714445562229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71.382714445562229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266.99999999999983</v>
      </c>
      <c r="BZ140" s="13">
        <f>BY140*VLOOKUP('Données projet'!$B$12,Paramètres!$A$1:$I$89,3,0)*VLOOKUP('Données projet'!$B$12,Paramètres!$A$1:$I$89,5,0)</f>
        <v>212.42519999999985</v>
      </c>
      <c r="CA140" s="13">
        <f t="shared" si="147"/>
        <v>52.465198231787184</v>
      </c>
      <c r="CB140" s="20">
        <f t="shared" si="118"/>
        <v>461.35077692036231</v>
      </c>
      <c r="CC140" s="59">
        <f t="shared" si="119"/>
        <v>754.68411025369562</v>
      </c>
      <c r="CD140" s="59">
        <f ca="1">AVERAGE(OFFSET($CC$3,0,0,'Données projet'!$E$12+1,1))-AVERAGE(OFFSET($H$3,0,0,'Données projet'!$E$12+1,1))</f>
        <v>225.2323446080772</v>
      </c>
      <c r="CE140" s="59">
        <f t="shared" si="148"/>
        <v>222.29030402759292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14.031643385706692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14.031643385706692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213.00000000000003</v>
      </c>
      <c r="CU140" s="17">
        <f>CT140*VLOOKUP('Données projet'!$B$13,Paramètres!$A$1:$I$89,3,0)*VLOOKUP('Données projet'!$B$13,Paramètres!$A$1:$I$89,5,0)</f>
        <v>206.01360000000005</v>
      </c>
      <c r="CV140" s="13">
        <f t="shared" si="149"/>
        <v>51.063487709141484</v>
      </c>
      <c r="CW140" s="20">
        <f t="shared" si="121"/>
        <v>447.74259442675481</v>
      </c>
      <c r="CX140" s="59">
        <f t="shared" si="122"/>
        <v>741.07592776008812</v>
      </c>
      <c r="CY140" s="59">
        <f ca="1">AVERAGE(OFFSET($CX$3,0,0,'Données projet'!$E$13+1,1))-AVERAGE(OFFSET($H$3,0,0,'Données projet'!$E$13+1,1))</f>
        <v>212.32823943192528</v>
      </c>
      <c r="CZ140" s="59">
        <f t="shared" si="150"/>
        <v>209.60834138503003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10.692039010231225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10.692039010231225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285.99999999999972</v>
      </c>
      <c r="DP140" s="17">
        <f>DO140*VLOOKUP('Données projet'!$B$14,Paramètres!$A$1:$I$89,3,0)*VLOOKUP('Données projet'!$B$14,Paramètres!$A$1:$I$89,5,0)</f>
        <v>223.07999999999979</v>
      </c>
      <c r="DQ140" s="13">
        <f t="shared" si="151"/>
        <v>54.783765878062617</v>
      </c>
      <c r="DR140" s="20">
        <f t="shared" si="124"/>
        <v>483.94605890429199</v>
      </c>
      <c r="DS140" s="59">
        <f t="shared" si="125"/>
        <v>777.2793922376253</v>
      </c>
      <c r="DT140" s="59">
        <f ca="1">AVERAGE(OFFSET($DS$3,0,0,'Données projet'!$E$14+1,1))-AVERAGE(OFFSET($H$3,0,0,'Données projet'!$E$14+1,1))</f>
        <v>215.84581110302656</v>
      </c>
      <c r="DU140" s="59">
        <f t="shared" si="152"/>
        <v>193.88588526156104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15.565362064342626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15.565362064342626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6">
        <f t="shared" si="110"/>
        <v>441.63490018787445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401</v>
      </c>
      <c r="O141" s="13">
        <f>N141*VLOOKUP('Données projet'!$B$9,Paramètres!$A$1:$I$89,3,0)*VLOOKUP('Données projet'!$B$9,Paramètres!$A$1:$I$89,5,0)</f>
        <v>250.22399999999999</v>
      </c>
      <c r="P141" s="13">
        <f t="shared" si="141"/>
        <v>60.633904580527918</v>
      </c>
      <c r="Q141" s="20">
        <f t="shared" si="108"/>
        <v>541.41085047775289</v>
      </c>
      <c r="R141" s="59">
        <f t="shared" si="109"/>
        <v>834.74418381108626</v>
      </c>
      <c r="S141" s="59">
        <f ca="1">AVERAGE(OFFSET($R$3,0,0,'Données projet'!$E$9+1,1))-AVERAGE(OFFSET($H$3,0,0,'Données projet'!$E$9+1,1))</f>
        <v>269.77739619445515</v>
      </c>
      <c r="T141" s="59">
        <f t="shared" si="142"/>
        <v>347.56964743629885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16.339515228612925</v>
      </c>
      <c r="AA141" s="21">
        <f>EXP(-LN(2)/25)*AA140+(1-EXP(-LN(2)/25))/(LN(2)/25)*Calculateur!V141*Calculateur!X141*VLOOKUP('Données projet'!$B$9,Paramètres!$A$1:$I$89,3,0)*0.475*44/12</f>
        <v>4.5932441552669587</v>
      </c>
      <c r="AB141" s="21">
        <f>EXP(-LN(2)/2)*AB140+(1-EXP(-LN(2)/2))/(LN(2)/2)*V141*Y141*VLOOKUP('Données projet'!$B$9,Paramètres!$A$1:$I$89,3,0)*0.475*44/12</f>
        <v>1.3788051826383793E-18</v>
      </c>
      <c r="AC141" s="22">
        <f t="shared" si="111"/>
        <v>20.932759383879883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789</v>
      </c>
      <c r="AJ141" s="13">
        <f>AI141*VLOOKUP('Données projet'!$B$10,Paramètres!$A$1:$I$89,3,0)*VLOOKUP('Données projet'!$B$10,Paramètres!$A$1:$I$89,5,0)</f>
        <v>389.76600000000002</v>
      </c>
      <c r="AK141" s="13">
        <f t="shared" si="143"/>
        <v>89.698759503620408</v>
      </c>
      <c r="AL141" s="20">
        <f t="shared" si="112"/>
        <v>835.06778946880547</v>
      </c>
      <c r="AM141" s="59">
        <f t="shared" si="113"/>
        <v>1128.4011228021388</v>
      </c>
      <c r="AN141" s="59">
        <f ca="1">AVERAGE(OFFSET($AM$3,0,0,'Données projet'!$E$10+1,1))-AVERAGE(OFFSET($H$3,0,0,'Données projet'!$E$10+1,1))</f>
        <v>396.27049617044378</v>
      </c>
      <c r="AO141" s="59">
        <f t="shared" si="144"/>
        <v>335.2680289568774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45.698338814998714</v>
      </c>
      <c r="AV141" s="21">
        <f>EXP(-LN(2)/25)*AV140+(1-EXP(-LN(2)/25))/(LN(2)/25)*Calculateur!AQ141*Calculateur!AS141*VLOOKUP('Données projet'!$B$10,Paramètres!$A$1:$I$89,3,0)*0.475*44/12</f>
        <v>2.3535452232429779</v>
      </c>
      <c r="AW141" s="21">
        <f>EXP(-LN(2)/2)*AW140+(1-EXP(-LN(2)/2))/(LN(2)/2)*AQ141*AT141*VLOOKUP('Données projet'!$B$10,Paramètres!$A$1:$I$89,3,0)*0.475*44/12</f>
        <v>2.1345946901586767E-17</v>
      </c>
      <c r="AX141" s="21">
        <f t="shared" si="114"/>
        <v>48.051884038241688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403.99999999999989</v>
      </c>
      <c r="BE141" s="13">
        <f>BD141*VLOOKUP('Données projet'!$B$11,Paramètres!$A$1:$I$89,3,0)*VLOOKUP('Données projet'!$B$11,Paramètres!$A$1:$I$89,5,0)</f>
        <v>346.63199999999995</v>
      </c>
      <c r="BF141" s="13">
        <f t="shared" si="145"/>
        <v>80.868615263336864</v>
      </c>
      <c r="BG141" s="20">
        <f t="shared" si="115"/>
        <v>744.56357158364483</v>
      </c>
      <c r="BH141" s="59">
        <f t="shared" si="116"/>
        <v>1037.8969049169782</v>
      </c>
      <c r="BI141" s="59">
        <f ca="1">AVERAGE(OFFSET($BH$3,0,0,'Données projet'!$E$11+1,1))-AVERAGE(OFFSET($H$3,0,0,'Données projet'!$E$11+1,1))</f>
        <v>352.61091660077574</v>
      </c>
      <c r="BJ141" s="59">
        <f t="shared" si="146"/>
        <v>186.48649111821521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69.982942954441427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69.982942954441427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266.99999999999983</v>
      </c>
      <c r="BZ141" s="13">
        <f>BY141*VLOOKUP('Données projet'!$B$12,Paramètres!$A$1:$I$89,3,0)*VLOOKUP('Données projet'!$B$12,Paramètres!$A$1:$I$89,5,0)</f>
        <v>212.42519999999985</v>
      </c>
      <c r="CA141" s="13">
        <f t="shared" si="147"/>
        <v>52.465198231787184</v>
      </c>
      <c r="CB141" s="20">
        <f t="shared" si="118"/>
        <v>461.35077692036231</v>
      </c>
      <c r="CC141" s="59">
        <f t="shared" si="119"/>
        <v>754.68411025369562</v>
      </c>
      <c r="CD141" s="59">
        <f ca="1">AVERAGE(OFFSET($CC$3,0,0,'Données projet'!$E$12+1,1))-AVERAGE(OFFSET($H$3,0,0,'Données projet'!$E$12+1,1))</f>
        <v>225.2323446080772</v>
      </c>
      <c r="CE141" s="59">
        <f t="shared" si="148"/>
        <v>222.29030402759292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13.756491417370372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13.756491417370372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213.00000000000003</v>
      </c>
      <c r="CU141" s="17">
        <f>CT141*VLOOKUP('Données projet'!$B$13,Paramètres!$A$1:$I$89,3,0)*VLOOKUP('Données projet'!$B$13,Paramètres!$A$1:$I$89,5,0)</f>
        <v>206.01360000000005</v>
      </c>
      <c r="CV141" s="13">
        <f t="shared" si="149"/>
        <v>51.063487709141484</v>
      </c>
      <c r="CW141" s="20">
        <f t="shared" si="121"/>
        <v>447.74259442675481</v>
      </c>
      <c r="CX141" s="59">
        <f t="shared" si="122"/>
        <v>741.07592776008812</v>
      </c>
      <c r="CY141" s="59">
        <f ca="1">AVERAGE(OFFSET($CX$3,0,0,'Données projet'!$E$13+1,1))-AVERAGE(OFFSET($H$3,0,0,'Données projet'!$E$13+1,1))</f>
        <v>212.32823943192528</v>
      </c>
      <c r="CZ141" s="59">
        <f t="shared" si="150"/>
        <v>209.60834138503003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10.482374646740443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10.482374646740443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285.99999999999972</v>
      </c>
      <c r="DP141" s="17">
        <f>DO141*VLOOKUP('Données projet'!$B$14,Paramètres!$A$1:$I$89,3,0)*VLOOKUP('Données projet'!$B$14,Paramètres!$A$1:$I$89,5,0)</f>
        <v>223.07999999999979</v>
      </c>
      <c r="DQ141" s="13">
        <f t="shared" si="151"/>
        <v>54.783765878062617</v>
      </c>
      <c r="DR141" s="20">
        <f t="shared" si="124"/>
        <v>483.94605890429199</v>
      </c>
      <c r="DS141" s="59">
        <f t="shared" si="125"/>
        <v>777.2793922376253</v>
      </c>
      <c r="DT141" s="59">
        <f ca="1">AVERAGE(OFFSET($DS$3,0,0,'Données projet'!$E$14+1,1))-AVERAGE(OFFSET($H$3,0,0,'Données projet'!$E$14+1,1))</f>
        <v>215.84581110302656</v>
      </c>
      <c r="DU141" s="59">
        <f t="shared" si="152"/>
        <v>193.88588526156104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15.260134808194278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15.260134808194278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6">
        <f t="shared" si="110"/>
        <v>442.68188515929319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401</v>
      </c>
      <c r="O142" s="13">
        <f>N142*VLOOKUP('Données projet'!$B$9,Paramètres!$A$1:$I$89,3,0)*VLOOKUP('Données projet'!$B$9,Paramètres!$A$1:$I$89,5,0)</f>
        <v>250.22399999999999</v>
      </c>
      <c r="P142" s="13">
        <f t="shared" si="141"/>
        <v>60.633904580527918</v>
      </c>
      <c r="Q142" s="20">
        <f t="shared" si="108"/>
        <v>541.41085047775289</v>
      </c>
      <c r="R142" s="59">
        <f t="shared" si="109"/>
        <v>834.74418381108626</v>
      </c>
      <c r="S142" s="59">
        <f ca="1">AVERAGE(OFFSET($R$3,0,0,'Données projet'!$E$9+1,1))-AVERAGE(OFFSET($H$3,0,0,'Données projet'!$E$9+1,1))</f>
        <v>269.77739619445515</v>
      </c>
      <c r="T142" s="59">
        <f t="shared" si="142"/>
        <v>347.56964743629885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16.019107301100043</v>
      </c>
      <c r="AA142" s="21">
        <f>EXP(-LN(2)/25)*AA141+(1-EXP(-LN(2)/25))/(LN(2)/25)*Calculateur!V142*Calculateur!X142*VLOOKUP('Données projet'!$B$9,Paramètres!$A$1:$I$89,3,0)*0.475*44/12</f>
        <v>4.4676416522929721</v>
      </c>
      <c r="AB142" s="21">
        <f>EXP(-LN(2)/2)*AB141+(1-EXP(-LN(2)/2))/(LN(2)/2)*V142*Y142*VLOOKUP('Données projet'!$B$9,Paramètres!$A$1:$I$89,3,0)*0.475*44/12</f>
        <v>9.7496249457875413E-19</v>
      </c>
      <c r="AC142" s="22">
        <f t="shared" si="111"/>
        <v>20.486748953393015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789</v>
      </c>
      <c r="AJ142" s="13">
        <f>AI142*VLOOKUP('Données projet'!$B$10,Paramètres!$A$1:$I$89,3,0)*VLOOKUP('Données projet'!$B$10,Paramètres!$A$1:$I$89,5,0)</f>
        <v>389.76600000000002</v>
      </c>
      <c r="AK142" s="13">
        <f t="shared" si="143"/>
        <v>89.698759503620408</v>
      </c>
      <c r="AL142" s="20">
        <f t="shared" si="112"/>
        <v>835.06778946880547</v>
      </c>
      <c r="AM142" s="59">
        <f t="shared" si="113"/>
        <v>1128.4011228021388</v>
      </c>
      <c r="AN142" s="59">
        <f ca="1">AVERAGE(OFFSET($AM$3,0,0,'Données projet'!$E$10+1,1))-AVERAGE(OFFSET($H$3,0,0,'Données projet'!$E$10+1,1))</f>
        <v>396.27049617044378</v>
      </c>
      <c r="AO142" s="59">
        <f t="shared" si="144"/>
        <v>335.2680289568774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44.802222264071013</v>
      </c>
      <c r="AV142" s="21">
        <f>EXP(-LN(2)/25)*AV141+(1-EXP(-LN(2)/25))/(LN(2)/25)*Calculateur!AQ142*Calculateur!AS142*VLOOKUP('Données projet'!$B$10,Paramètres!$A$1:$I$89,3,0)*0.475*44/12</f>
        <v>2.2891874053458343</v>
      </c>
      <c r="AW142" s="21">
        <f>EXP(-LN(2)/2)*AW141+(1-EXP(-LN(2)/2))/(LN(2)/2)*AQ142*AT142*VLOOKUP('Données projet'!$B$10,Paramètres!$A$1:$I$89,3,0)*0.475*44/12</f>
        <v>1.5093863804959976E-17</v>
      </c>
      <c r="AX142" s="21">
        <f t="shared" si="114"/>
        <v>47.091409669416848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403.99999999999989</v>
      </c>
      <c r="BE142" s="13">
        <f>BD142*VLOOKUP('Données projet'!$B$11,Paramètres!$A$1:$I$89,3,0)*VLOOKUP('Données projet'!$B$11,Paramètres!$A$1:$I$89,5,0)</f>
        <v>346.63199999999995</v>
      </c>
      <c r="BF142" s="13">
        <f t="shared" si="145"/>
        <v>80.868615263336864</v>
      </c>
      <c r="BG142" s="20">
        <f t="shared" si="115"/>
        <v>744.56357158364483</v>
      </c>
      <c r="BH142" s="59">
        <f t="shared" si="116"/>
        <v>1037.8969049169782</v>
      </c>
      <c r="BI142" s="59">
        <f ca="1">AVERAGE(OFFSET($BH$3,0,0,'Données projet'!$E$11+1,1))-AVERAGE(OFFSET($H$3,0,0,'Données projet'!$E$11+1,1))</f>
        <v>352.61091660077574</v>
      </c>
      <c r="BJ142" s="59">
        <f t="shared" si="146"/>
        <v>186.48649111821521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68.610620128485195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68.610620128485195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266.99999999999983</v>
      </c>
      <c r="BZ142" s="13">
        <f>BY142*VLOOKUP('Données projet'!$B$12,Paramètres!$A$1:$I$89,3,0)*VLOOKUP('Données projet'!$B$12,Paramètres!$A$1:$I$89,5,0)</f>
        <v>212.42519999999985</v>
      </c>
      <c r="CA142" s="13">
        <f t="shared" si="147"/>
        <v>52.465198231787184</v>
      </c>
      <c r="CB142" s="20">
        <f t="shared" si="118"/>
        <v>461.35077692036231</v>
      </c>
      <c r="CC142" s="59">
        <f t="shared" si="119"/>
        <v>754.68411025369562</v>
      </c>
      <c r="CD142" s="59">
        <f ca="1">AVERAGE(OFFSET($CC$3,0,0,'Données projet'!$E$12+1,1))-AVERAGE(OFFSET($H$3,0,0,'Données projet'!$E$12+1,1))</f>
        <v>225.2323446080772</v>
      </c>
      <c r="CE142" s="59">
        <f t="shared" si="148"/>
        <v>222.29030402759292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13.486735011306997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13.486735011306997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213.00000000000003</v>
      </c>
      <c r="CU142" s="17">
        <f>CT142*VLOOKUP('Données projet'!$B$13,Paramètres!$A$1:$I$89,3,0)*VLOOKUP('Données projet'!$B$13,Paramètres!$A$1:$I$89,5,0)</f>
        <v>206.01360000000005</v>
      </c>
      <c r="CV142" s="13">
        <f t="shared" si="149"/>
        <v>51.063487709141484</v>
      </c>
      <c r="CW142" s="20">
        <f t="shared" si="121"/>
        <v>447.74259442675481</v>
      </c>
      <c r="CX142" s="59">
        <f t="shared" si="122"/>
        <v>741.07592776008812</v>
      </c>
      <c r="CY142" s="59">
        <f ca="1">AVERAGE(OFFSET($CX$3,0,0,'Données projet'!$E$13+1,1))-AVERAGE(OFFSET($H$3,0,0,'Données projet'!$E$13+1,1))</f>
        <v>212.32823943192528</v>
      </c>
      <c r="CZ142" s="59">
        <f t="shared" si="150"/>
        <v>209.60834138503003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10.27682167353508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10.27682167353508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285.99999999999972</v>
      </c>
      <c r="DP142" s="17">
        <f>DO142*VLOOKUP('Données projet'!$B$14,Paramètres!$A$1:$I$89,3,0)*VLOOKUP('Données projet'!$B$14,Paramètres!$A$1:$I$89,5,0)</f>
        <v>223.07999999999979</v>
      </c>
      <c r="DQ142" s="13">
        <f t="shared" si="151"/>
        <v>54.783765878062617</v>
      </c>
      <c r="DR142" s="20">
        <f t="shared" si="124"/>
        <v>483.94605890429199</v>
      </c>
      <c r="DS142" s="59">
        <f t="shared" si="125"/>
        <v>777.2793922376253</v>
      </c>
      <c r="DT142" s="59">
        <f ca="1">AVERAGE(OFFSET($DS$3,0,0,'Données projet'!$E$14+1,1))-AVERAGE(OFFSET($H$3,0,0,'Données projet'!$E$14+1,1))</f>
        <v>215.84581110302656</v>
      </c>
      <c r="DU142" s="59">
        <f t="shared" si="152"/>
        <v>193.88588526156104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14.960892872368756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14.960892872368756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6">
        <f t="shared" si="110"/>
        <v>443.72869498000898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401</v>
      </c>
      <c r="O143" s="13">
        <f>N143*VLOOKUP('Données projet'!$B$9,Paramètres!$A$1:$I$89,3,0)*VLOOKUP('Données projet'!$B$9,Paramètres!$A$1:$I$89,5,0)</f>
        <v>250.22399999999999</v>
      </c>
      <c r="P143" s="13">
        <f t="shared" si="141"/>
        <v>60.633904580527918</v>
      </c>
      <c r="Q143" s="20">
        <f t="shared" si="108"/>
        <v>541.41085047775289</v>
      </c>
      <c r="R143" s="59">
        <f t="shared" si="109"/>
        <v>834.74418381108626</v>
      </c>
      <c r="S143" s="59">
        <f ca="1">AVERAGE(OFFSET($R$3,0,0,'Données projet'!$E$9+1,1))-AVERAGE(OFFSET($H$3,0,0,'Données projet'!$E$9+1,1))</f>
        <v>269.77739619445515</v>
      </c>
      <c r="T143" s="59">
        <f t="shared" si="142"/>
        <v>347.56964743629885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15.704982377616149</v>
      </c>
      <c r="AA143" s="21">
        <f>EXP(-LN(2)/25)*AA142+(1-EXP(-LN(2)/25))/(LN(2)/25)*Calculateur!V143*Calculateur!X143*VLOOKUP('Données projet'!$B$9,Paramètres!$A$1:$I$89,3,0)*0.475*44/12</f>
        <v>4.3454737563679569</v>
      </c>
      <c r="AB143" s="21">
        <f>EXP(-LN(2)/2)*AB142+(1-EXP(-LN(2)/2))/(LN(2)/2)*V143*Y143*VLOOKUP('Données projet'!$B$9,Paramètres!$A$1:$I$89,3,0)*0.475*44/12</f>
        <v>6.8940259131918964E-19</v>
      </c>
      <c r="AC143" s="22">
        <f t="shared" si="111"/>
        <v>20.050456133984106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789</v>
      </c>
      <c r="AJ143" s="13">
        <f>AI143*VLOOKUP('Données projet'!$B$10,Paramètres!$A$1:$I$89,3,0)*VLOOKUP('Données projet'!$B$10,Paramètres!$A$1:$I$89,5,0)</f>
        <v>389.76600000000002</v>
      </c>
      <c r="AK143" s="13">
        <f t="shared" si="143"/>
        <v>89.698759503620408</v>
      </c>
      <c r="AL143" s="20">
        <f t="shared" si="112"/>
        <v>835.06778946880547</v>
      </c>
      <c r="AM143" s="59">
        <f t="shared" si="113"/>
        <v>1128.4011228021388</v>
      </c>
      <c r="AN143" s="59">
        <f ca="1">AVERAGE(OFFSET($AM$3,0,0,'Données projet'!$E$10+1,1))-AVERAGE(OFFSET($H$3,0,0,'Données projet'!$E$10+1,1))</f>
        <v>396.27049617044378</v>
      </c>
      <c r="AO143" s="59">
        <f t="shared" si="144"/>
        <v>335.2680289568774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43.923678012129876</v>
      </c>
      <c r="AV143" s="21">
        <f>EXP(-LN(2)/25)*AV142+(1-EXP(-LN(2)/25))/(LN(2)/25)*Calculateur!AQ143*Calculateur!AS143*VLOOKUP('Données projet'!$B$10,Paramètres!$A$1:$I$89,3,0)*0.475*44/12</f>
        <v>2.226589455363519</v>
      </c>
      <c r="AW143" s="21">
        <f>EXP(-LN(2)/2)*AW142+(1-EXP(-LN(2)/2))/(LN(2)/2)*AQ143*AT143*VLOOKUP('Données projet'!$B$10,Paramètres!$A$1:$I$89,3,0)*0.475*44/12</f>
        <v>1.0672973450793384E-17</v>
      </c>
      <c r="AX143" s="21">
        <f t="shared" si="114"/>
        <v>46.150267467493393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403.99999999999989</v>
      </c>
      <c r="BE143" s="13">
        <f>BD143*VLOOKUP('Données projet'!$B$11,Paramètres!$A$1:$I$89,3,0)*VLOOKUP('Données projet'!$B$11,Paramètres!$A$1:$I$89,5,0)</f>
        <v>346.63199999999995</v>
      </c>
      <c r="BF143" s="13">
        <f t="shared" si="145"/>
        <v>80.868615263336864</v>
      </c>
      <c r="BG143" s="20">
        <f t="shared" si="115"/>
        <v>744.56357158364483</v>
      </c>
      <c r="BH143" s="59">
        <f t="shared" si="116"/>
        <v>1037.8969049169782</v>
      </c>
      <c r="BI143" s="59">
        <f ca="1">AVERAGE(OFFSET($BH$3,0,0,'Données projet'!$E$11+1,1))-AVERAGE(OFFSET($H$3,0,0,'Données projet'!$E$11+1,1))</f>
        <v>352.61091660077574</v>
      </c>
      <c r="BJ143" s="59">
        <f t="shared" si="146"/>
        <v>186.48649111821521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67.265207716111703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67.265207716111703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266.99999999999983</v>
      </c>
      <c r="BZ143" s="13">
        <f>BY143*VLOOKUP('Données projet'!$B$12,Paramètres!$A$1:$I$89,3,0)*VLOOKUP('Données projet'!$B$12,Paramètres!$A$1:$I$89,5,0)</f>
        <v>212.42519999999985</v>
      </c>
      <c r="CA143" s="13">
        <f t="shared" si="147"/>
        <v>52.465198231787184</v>
      </c>
      <c r="CB143" s="20">
        <f t="shared" si="118"/>
        <v>461.35077692036231</v>
      </c>
      <c r="CC143" s="59">
        <f t="shared" si="119"/>
        <v>754.68411025369562</v>
      </c>
      <c r="CD143" s="59">
        <f ca="1">AVERAGE(OFFSET($CC$3,0,0,'Données projet'!$E$12+1,1))-AVERAGE(OFFSET($H$3,0,0,'Données projet'!$E$12+1,1))</f>
        <v>225.2323446080772</v>
      </c>
      <c r="CE143" s="59">
        <f t="shared" si="148"/>
        <v>222.29030402759292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13.222268363831365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13.222268363831365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213.00000000000003</v>
      </c>
      <c r="CU143" s="17">
        <f>CT143*VLOOKUP('Données projet'!$B$13,Paramètres!$A$1:$I$89,3,0)*VLOOKUP('Données projet'!$B$13,Paramètres!$A$1:$I$89,5,0)</f>
        <v>206.01360000000005</v>
      </c>
      <c r="CV143" s="13">
        <f t="shared" si="149"/>
        <v>51.063487709141484</v>
      </c>
      <c r="CW143" s="20">
        <f t="shared" si="121"/>
        <v>447.74259442675481</v>
      </c>
      <c r="CX143" s="59">
        <f t="shared" si="122"/>
        <v>741.07592776008812</v>
      </c>
      <c r="CY143" s="59">
        <f ca="1">AVERAGE(OFFSET($CX$3,0,0,'Données projet'!$E$13+1,1))-AVERAGE(OFFSET($H$3,0,0,'Données projet'!$E$13+1,1))</f>
        <v>212.32823943192528</v>
      </c>
      <c r="CZ143" s="59">
        <f t="shared" si="150"/>
        <v>209.60834138503003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10.07529946875934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10.07529946875934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285.99999999999972</v>
      </c>
      <c r="DP143" s="17">
        <f>DO143*VLOOKUP('Données projet'!$B$14,Paramètres!$A$1:$I$89,3,0)*VLOOKUP('Données projet'!$B$14,Paramètres!$A$1:$I$89,5,0)</f>
        <v>223.07999999999979</v>
      </c>
      <c r="DQ143" s="13">
        <f t="shared" si="151"/>
        <v>54.783765878062617</v>
      </c>
      <c r="DR143" s="20">
        <f t="shared" si="124"/>
        <v>483.94605890429199</v>
      </c>
      <c r="DS143" s="59">
        <f t="shared" si="125"/>
        <v>777.2793922376253</v>
      </c>
      <c r="DT143" s="59">
        <f ca="1">AVERAGE(OFFSET($DS$3,0,0,'Données projet'!$E$14+1,1))-AVERAGE(OFFSET($H$3,0,0,'Données projet'!$E$14+1,1))</f>
        <v>215.84581110302656</v>
      </c>
      <c r="DU143" s="59">
        <f t="shared" si="152"/>
        <v>193.88588526156104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14.667518888385214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14.667518888385214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6">
        <f t="shared" si="110"/>
        <v>444.7753310461668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401</v>
      </c>
      <c r="O144" s="13">
        <f>N144*VLOOKUP('Données projet'!$B$9,Paramètres!$A$1:$I$89,3,0)*VLOOKUP('Données projet'!$B$9,Paramètres!$A$1:$I$89,5,0)</f>
        <v>250.22399999999999</v>
      </c>
      <c r="P144" s="13">
        <f t="shared" si="141"/>
        <v>60.633904580527918</v>
      </c>
      <c r="Q144" s="20">
        <f t="shared" si="108"/>
        <v>541.41085047775289</v>
      </c>
      <c r="R144" s="59">
        <f t="shared" si="109"/>
        <v>834.74418381108626</v>
      </c>
      <c r="S144" s="59">
        <f ca="1">AVERAGE(OFFSET($R$3,0,0,'Données projet'!$E$9+1,1))-AVERAGE(OFFSET($H$3,0,0,'Données projet'!$E$9+1,1))</f>
        <v>269.77739619445515</v>
      </c>
      <c r="T144" s="59">
        <f t="shared" si="142"/>
        <v>347.56964743629885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15.39701725228449</v>
      </c>
      <c r="AA144" s="21">
        <f>EXP(-LN(2)/25)*AA143+(1-EXP(-LN(2)/25))/(LN(2)/25)*Calculateur!V144*Calculateur!X144*VLOOKUP('Données projet'!$B$9,Paramètres!$A$1:$I$89,3,0)*0.475*44/12</f>
        <v>4.2266465479815416</v>
      </c>
      <c r="AB144" s="21">
        <f>EXP(-LN(2)/2)*AB143+(1-EXP(-LN(2)/2))/(LN(2)/2)*V144*Y144*VLOOKUP('Données projet'!$B$9,Paramètres!$A$1:$I$89,3,0)*0.475*44/12</f>
        <v>4.8748124728937707E-19</v>
      </c>
      <c r="AC144" s="22">
        <f t="shared" si="111"/>
        <v>19.62366380026603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789</v>
      </c>
      <c r="AJ144" s="13">
        <f>AI144*VLOOKUP('Données projet'!$B$10,Paramètres!$A$1:$I$89,3,0)*VLOOKUP('Données projet'!$B$10,Paramètres!$A$1:$I$89,5,0)</f>
        <v>389.76600000000002</v>
      </c>
      <c r="AK144" s="13">
        <f t="shared" si="143"/>
        <v>89.698759503620408</v>
      </c>
      <c r="AL144" s="20">
        <f t="shared" si="112"/>
        <v>835.06778946880547</v>
      </c>
      <c r="AM144" s="59">
        <f t="shared" si="113"/>
        <v>1128.4011228021388</v>
      </c>
      <c r="AN144" s="59">
        <f ca="1">AVERAGE(OFFSET($AM$3,0,0,'Données projet'!$E$10+1,1))-AVERAGE(OFFSET($H$3,0,0,'Données projet'!$E$10+1,1))</f>
        <v>396.27049617044378</v>
      </c>
      <c r="AO144" s="59">
        <f t="shared" si="144"/>
        <v>335.2680289568774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43.062361477110223</v>
      </c>
      <c r="AV144" s="21">
        <f>EXP(-LN(2)/25)*AV143+(1-EXP(-LN(2)/25))/(LN(2)/25)*Calculateur!AQ144*Calculateur!AS144*VLOOKUP('Données projet'!$B$10,Paramètres!$A$1:$I$89,3,0)*0.475*44/12</f>
        <v>2.165703249615353</v>
      </c>
      <c r="AW144" s="21">
        <f>EXP(-LN(2)/2)*AW143+(1-EXP(-LN(2)/2))/(LN(2)/2)*AQ144*AT144*VLOOKUP('Données projet'!$B$10,Paramètres!$A$1:$I$89,3,0)*0.475*44/12</f>
        <v>7.546931902479988E-18</v>
      </c>
      <c r="AX144" s="21">
        <f t="shared" si="114"/>
        <v>45.228064726725577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403.99999999999989</v>
      </c>
      <c r="BE144" s="13">
        <f>BD144*VLOOKUP('Données projet'!$B$11,Paramètres!$A$1:$I$89,3,0)*VLOOKUP('Données projet'!$B$11,Paramètres!$A$1:$I$89,5,0)</f>
        <v>346.63199999999995</v>
      </c>
      <c r="BF144" s="13">
        <f t="shared" si="145"/>
        <v>80.868615263336864</v>
      </c>
      <c r="BG144" s="20">
        <f t="shared" si="115"/>
        <v>744.56357158364483</v>
      </c>
      <c r="BH144" s="59">
        <f t="shared" si="116"/>
        <v>1037.8969049169782</v>
      </c>
      <c r="BI144" s="59">
        <f ca="1">AVERAGE(OFFSET($BH$3,0,0,'Données projet'!$E$11+1,1))-AVERAGE(OFFSET($H$3,0,0,'Données projet'!$E$11+1,1))</f>
        <v>352.61091660077574</v>
      </c>
      <c r="BJ144" s="59">
        <f t="shared" si="146"/>
        <v>186.48649111821521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65.946178020524314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65.946178020524314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266.99999999999983</v>
      </c>
      <c r="BZ144" s="13">
        <f>BY144*VLOOKUP('Données projet'!$B$12,Paramètres!$A$1:$I$89,3,0)*VLOOKUP('Données projet'!$B$12,Paramètres!$A$1:$I$89,5,0)</f>
        <v>212.42519999999985</v>
      </c>
      <c r="CA144" s="13">
        <f t="shared" si="147"/>
        <v>52.465198231787184</v>
      </c>
      <c r="CB144" s="20">
        <f t="shared" si="118"/>
        <v>461.35077692036231</v>
      </c>
      <c r="CC144" s="59">
        <f t="shared" si="119"/>
        <v>754.68411025369562</v>
      </c>
      <c r="CD144" s="59">
        <f ca="1">AVERAGE(OFFSET($CC$3,0,0,'Données projet'!$E$12+1,1))-AVERAGE(OFFSET($H$3,0,0,'Données projet'!$E$12+1,1))</f>
        <v>225.2323446080772</v>
      </c>
      <c r="CE144" s="59">
        <f t="shared" si="148"/>
        <v>222.29030402759292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12.962987746004002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12.962987746004002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213.00000000000003</v>
      </c>
      <c r="CU144" s="17">
        <f>CT144*VLOOKUP('Données projet'!$B$13,Paramètres!$A$1:$I$89,3,0)*VLOOKUP('Données projet'!$B$13,Paramètres!$A$1:$I$89,5,0)</f>
        <v>206.01360000000005</v>
      </c>
      <c r="CV144" s="13">
        <f t="shared" si="149"/>
        <v>51.063487709141484</v>
      </c>
      <c r="CW144" s="20">
        <f t="shared" si="121"/>
        <v>447.74259442675481</v>
      </c>
      <c r="CX144" s="59">
        <f t="shared" si="122"/>
        <v>741.07592776008812</v>
      </c>
      <c r="CY144" s="59">
        <f ca="1">AVERAGE(OFFSET($CX$3,0,0,'Données projet'!$E$13+1,1))-AVERAGE(OFFSET($H$3,0,0,'Données projet'!$E$13+1,1))</f>
        <v>212.32823943192528</v>
      </c>
      <c r="CZ144" s="59">
        <f t="shared" si="150"/>
        <v>209.60834138503003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9.8777289915028454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9.8777289915028454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285.99999999999972</v>
      </c>
      <c r="DP144" s="17">
        <f>DO144*VLOOKUP('Données projet'!$B$14,Paramètres!$A$1:$I$89,3,0)*VLOOKUP('Données projet'!$B$14,Paramètres!$A$1:$I$89,5,0)</f>
        <v>223.07999999999979</v>
      </c>
      <c r="DQ144" s="13">
        <f t="shared" si="151"/>
        <v>54.783765878062617</v>
      </c>
      <c r="DR144" s="20">
        <f t="shared" si="124"/>
        <v>483.94605890429199</v>
      </c>
      <c r="DS144" s="59">
        <f t="shared" si="125"/>
        <v>777.2793922376253</v>
      </c>
      <c r="DT144" s="59">
        <f ca="1">AVERAGE(OFFSET($DS$3,0,0,'Données projet'!$E$14+1,1))-AVERAGE(OFFSET($H$3,0,0,'Données projet'!$E$14+1,1))</f>
        <v>215.84581110302656</v>
      </c>
      <c r="DU144" s="59">
        <f t="shared" si="152"/>
        <v>193.88588526156104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14.379897789287128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14.379897789287128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6">
        <f t="shared" si="110"/>
        <v>445.82179473296389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401</v>
      </c>
      <c r="O145" s="13">
        <f>N145*VLOOKUP('Données projet'!$B$9,Paramètres!$A$1:$I$89,3,0)*VLOOKUP('Données projet'!$B$9,Paramètres!$A$1:$I$89,5,0)</f>
        <v>250.22399999999999</v>
      </c>
      <c r="P145" s="13">
        <f t="shared" si="141"/>
        <v>60.633904580527918</v>
      </c>
      <c r="Q145" s="20">
        <f t="shared" si="108"/>
        <v>541.41085047775289</v>
      </c>
      <c r="R145" s="59">
        <f t="shared" si="109"/>
        <v>834.74418381108626</v>
      </c>
      <c r="S145" s="59">
        <f ca="1">AVERAGE(OFFSET($R$3,0,0,'Données projet'!$E$9+1,1))-AVERAGE(OFFSET($H$3,0,0,'Données projet'!$E$9+1,1))</f>
        <v>269.77739619445515</v>
      </c>
      <c r="T145" s="59">
        <f t="shared" si="142"/>
        <v>347.56964743629885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15.095091135220406</v>
      </c>
      <c r="AA145" s="21">
        <f>EXP(-LN(2)/25)*AA144+(1-EXP(-LN(2)/25))/(LN(2)/25)*Calculateur!V145*Calculateur!X145*VLOOKUP('Données projet'!$B$9,Paramètres!$A$1:$I$89,3,0)*0.475*44/12</f>
        <v>4.1110686758573047</v>
      </c>
      <c r="AB145" s="21">
        <f>EXP(-LN(2)/2)*AB144+(1-EXP(-LN(2)/2))/(LN(2)/2)*V145*Y145*VLOOKUP('Données projet'!$B$9,Paramètres!$A$1:$I$89,3,0)*0.475*44/12</f>
        <v>3.4470129565959482E-19</v>
      </c>
      <c r="AC145" s="22">
        <f t="shared" si="111"/>
        <v>19.206159811077711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789</v>
      </c>
      <c r="AJ145" s="13">
        <f>AI145*VLOOKUP('Données projet'!$B$10,Paramètres!$A$1:$I$89,3,0)*VLOOKUP('Données projet'!$B$10,Paramètres!$A$1:$I$89,5,0)</f>
        <v>389.76600000000002</v>
      </c>
      <c r="AK145" s="13">
        <f t="shared" si="143"/>
        <v>89.698759503620408</v>
      </c>
      <c r="AL145" s="20">
        <f t="shared" si="112"/>
        <v>835.06778946880547</v>
      </c>
      <c r="AM145" s="59">
        <f t="shared" si="113"/>
        <v>1128.4011228021388</v>
      </c>
      <c r="AN145" s="59">
        <f ca="1">AVERAGE(OFFSET($AM$3,0,0,'Données projet'!$E$10+1,1))-AVERAGE(OFFSET($H$3,0,0,'Données projet'!$E$10+1,1))</f>
        <v>396.27049617044378</v>
      </c>
      <c r="AO145" s="59">
        <f t="shared" si="144"/>
        <v>335.2680289568774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42.217934833991094</v>
      </c>
      <c r="AV145" s="21">
        <f>EXP(-LN(2)/25)*AV144+(1-EXP(-LN(2)/25))/(LN(2)/25)*Calculateur!AQ145*Calculateur!AS145*VLOOKUP('Données projet'!$B$10,Paramètres!$A$1:$I$89,3,0)*0.475*44/12</f>
        <v>2.106481980365237</v>
      </c>
      <c r="AW145" s="21">
        <f>EXP(-LN(2)/2)*AW144+(1-EXP(-LN(2)/2))/(LN(2)/2)*AQ145*AT145*VLOOKUP('Données projet'!$B$10,Paramètres!$A$1:$I$89,3,0)*0.475*44/12</f>
        <v>5.3364867253966918E-18</v>
      </c>
      <c r="AX145" s="21">
        <f t="shared" si="114"/>
        <v>44.324416814356333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403.99999999999989</v>
      </c>
      <c r="BE145" s="13">
        <f>BD145*VLOOKUP('Données projet'!$B$11,Paramètres!$A$1:$I$89,3,0)*VLOOKUP('Données projet'!$B$11,Paramètres!$A$1:$I$89,5,0)</f>
        <v>346.63199999999995</v>
      </c>
      <c r="BF145" s="13">
        <f t="shared" si="145"/>
        <v>80.868615263336864</v>
      </c>
      <c r="BG145" s="20">
        <f t="shared" si="115"/>
        <v>744.56357158364483</v>
      </c>
      <c r="BH145" s="59">
        <f t="shared" si="116"/>
        <v>1037.8969049169782</v>
      </c>
      <c r="BI145" s="59">
        <f ca="1">AVERAGE(OFFSET($BH$3,0,0,'Données projet'!$E$11+1,1))-AVERAGE(OFFSET($H$3,0,0,'Données projet'!$E$11+1,1))</f>
        <v>352.61091660077574</v>
      </c>
      <c r="BJ145" s="59">
        <f t="shared" si="146"/>
        <v>186.48649111821521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64.65301369273871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64.65301369273871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266.99999999999983</v>
      </c>
      <c r="BZ145" s="13">
        <f>BY145*VLOOKUP('Données projet'!$B$12,Paramètres!$A$1:$I$89,3,0)*VLOOKUP('Données projet'!$B$12,Paramètres!$A$1:$I$89,5,0)</f>
        <v>212.42519999999985</v>
      </c>
      <c r="CA145" s="13">
        <f t="shared" si="147"/>
        <v>52.465198231787184</v>
      </c>
      <c r="CB145" s="20">
        <f t="shared" si="118"/>
        <v>461.35077692036231</v>
      </c>
      <c r="CC145" s="59">
        <f t="shared" si="119"/>
        <v>754.68411025369562</v>
      </c>
      <c r="CD145" s="59">
        <f ca="1">AVERAGE(OFFSET($CC$3,0,0,'Données projet'!$E$12+1,1))-AVERAGE(OFFSET($H$3,0,0,'Données projet'!$E$12+1,1))</f>
        <v>225.2323446080772</v>
      </c>
      <c r="CE145" s="59">
        <f t="shared" si="148"/>
        <v>222.29030402759292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12.708791462946673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12.708791462946673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213.00000000000003</v>
      </c>
      <c r="CU145" s="17">
        <f>CT145*VLOOKUP('Données projet'!$B$13,Paramètres!$A$1:$I$89,3,0)*VLOOKUP('Données projet'!$B$13,Paramètres!$A$1:$I$89,5,0)</f>
        <v>206.01360000000005</v>
      </c>
      <c r="CV145" s="13">
        <f t="shared" si="149"/>
        <v>51.063487709141484</v>
      </c>
      <c r="CW145" s="20">
        <f t="shared" si="121"/>
        <v>447.74259442675481</v>
      </c>
      <c r="CX145" s="59">
        <f t="shared" si="122"/>
        <v>741.07592776008812</v>
      </c>
      <c r="CY145" s="59">
        <f ca="1">AVERAGE(OFFSET($CX$3,0,0,'Données projet'!$E$13+1,1))-AVERAGE(OFFSET($H$3,0,0,'Données projet'!$E$13+1,1))</f>
        <v>212.32823943192528</v>
      </c>
      <c r="CZ145" s="59">
        <f t="shared" si="150"/>
        <v>209.60834138503003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9.6840327507992576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9.6840327507992576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285.99999999999972</v>
      </c>
      <c r="DP145" s="17">
        <f>DO145*VLOOKUP('Données projet'!$B$14,Paramètres!$A$1:$I$89,3,0)*VLOOKUP('Données projet'!$B$14,Paramètres!$A$1:$I$89,5,0)</f>
        <v>223.07999999999979</v>
      </c>
      <c r="DQ145" s="13">
        <f t="shared" si="151"/>
        <v>54.783765878062617</v>
      </c>
      <c r="DR145" s="20">
        <f t="shared" si="124"/>
        <v>483.94605890429199</v>
      </c>
      <c r="DS145" s="59">
        <f t="shared" si="125"/>
        <v>777.2793922376253</v>
      </c>
      <c r="DT145" s="59">
        <f ca="1">AVERAGE(OFFSET($DS$3,0,0,'Données projet'!$E$14+1,1))-AVERAGE(OFFSET($H$3,0,0,'Données projet'!$E$14+1,1))</f>
        <v>215.84581110302656</v>
      </c>
      <c r="DU145" s="59">
        <f t="shared" si="152"/>
        <v>193.88588526156104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14.097916764510806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14.097916764510806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6">
        <f t="shared" si="110"/>
        <v>446.86808739510911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401</v>
      </c>
      <c r="O146" s="13">
        <f>N146*VLOOKUP('Données projet'!$B$9,Paramètres!$A$1:$I$89,3,0)*VLOOKUP('Données projet'!$B$9,Paramètres!$A$1:$I$89,5,0)</f>
        <v>250.22399999999999</v>
      </c>
      <c r="P146" s="13">
        <f t="shared" si="141"/>
        <v>60.633904580527918</v>
      </c>
      <c r="Q146" s="20">
        <f t="shared" si="108"/>
        <v>541.41085047775289</v>
      </c>
      <c r="R146" s="59">
        <f t="shared" si="109"/>
        <v>834.74418381108626</v>
      </c>
      <c r="S146" s="59">
        <f ca="1">AVERAGE(OFFSET($R$3,0,0,'Données projet'!$E$9+1,1))-AVERAGE(OFFSET($H$3,0,0,'Données projet'!$E$9+1,1))</f>
        <v>269.77739619445515</v>
      </c>
      <c r="T146" s="59">
        <f t="shared" si="142"/>
        <v>347.56964743629885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14.7990856051552</v>
      </c>
      <c r="AA146" s="21">
        <f>EXP(-LN(2)/25)*AA145+(1-EXP(-LN(2)/25))/(LN(2)/25)*Calculateur!V146*Calculateur!X146*VLOOKUP('Données projet'!$B$9,Paramètres!$A$1:$I$89,3,0)*0.475*44/12</f>
        <v>3.9986512867242809</v>
      </c>
      <c r="AB146" s="21">
        <f>EXP(-LN(2)/2)*AB145+(1-EXP(-LN(2)/2))/(LN(2)/2)*V146*Y146*VLOOKUP('Données projet'!$B$9,Paramètres!$A$1:$I$89,3,0)*0.475*44/12</f>
        <v>2.4374062364468853E-19</v>
      </c>
      <c r="AC146" s="22">
        <f t="shared" si="111"/>
        <v>18.797736891879481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789</v>
      </c>
      <c r="AJ146" s="13">
        <f>AI146*VLOOKUP('Données projet'!$B$10,Paramètres!$A$1:$I$89,3,0)*VLOOKUP('Données projet'!$B$10,Paramètres!$A$1:$I$89,5,0)</f>
        <v>389.76600000000002</v>
      </c>
      <c r="AK146" s="13">
        <f t="shared" si="143"/>
        <v>89.698759503620408</v>
      </c>
      <c r="AL146" s="20">
        <f t="shared" si="112"/>
        <v>835.06778946880547</v>
      </c>
      <c r="AM146" s="59">
        <f t="shared" si="113"/>
        <v>1128.4011228021388</v>
      </c>
      <c r="AN146" s="59">
        <f ca="1">AVERAGE(OFFSET($AM$3,0,0,'Données projet'!$E$10+1,1))-AVERAGE(OFFSET($H$3,0,0,'Données projet'!$E$10+1,1))</f>
        <v>396.27049617044378</v>
      </c>
      <c r="AO146" s="59">
        <f t="shared" si="144"/>
        <v>335.2680289568774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41.390066882294136</v>
      </c>
      <c r="AV146" s="21">
        <f>EXP(-LN(2)/25)*AV145+(1-EXP(-LN(2)/25))/(LN(2)/25)*Calculateur!AQ146*Calculateur!AS146*VLOOKUP('Données projet'!$B$10,Paramètres!$A$1:$I$89,3,0)*0.475*44/12</f>
        <v>2.0488801198370767</v>
      </c>
      <c r="AW146" s="21">
        <f>EXP(-LN(2)/2)*AW145+(1-EXP(-LN(2)/2))/(LN(2)/2)*AQ146*AT146*VLOOKUP('Données projet'!$B$10,Paramètres!$A$1:$I$89,3,0)*0.475*44/12</f>
        <v>3.773465951239994E-18</v>
      </c>
      <c r="AX146" s="21">
        <f t="shared" si="114"/>
        <v>43.438947002131215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403.99999999999989</v>
      </c>
      <c r="BE146" s="13">
        <f>BD146*VLOOKUP('Données projet'!$B$11,Paramètres!$A$1:$I$89,3,0)*VLOOKUP('Données projet'!$B$11,Paramètres!$A$1:$I$89,5,0)</f>
        <v>346.63199999999995</v>
      </c>
      <c r="BF146" s="13">
        <f t="shared" si="145"/>
        <v>80.868615263336864</v>
      </c>
      <c r="BG146" s="20">
        <f t="shared" si="115"/>
        <v>744.56357158364483</v>
      </c>
      <c r="BH146" s="59">
        <f t="shared" si="116"/>
        <v>1037.8969049169782</v>
      </c>
      <c r="BI146" s="59">
        <f ca="1">AVERAGE(OFFSET($BH$3,0,0,'Données projet'!$E$11+1,1))-AVERAGE(OFFSET($H$3,0,0,'Données projet'!$E$11+1,1))</f>
        <v>352.61091660077574</v>
      </c>
      <c r="BJ146" s="59">
        <f t="shared" si="146"/>
        <v>186.48649111821521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63.38520752866863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63.38520752866863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266.99999999999983</v>
      </c>
      <c r="BZ146" s="13">
        <f>BY146*VLOOKUP('Données projet'!$B$12,Paramètres!$A$1:$I$89,3,0)*VLOOKUP('Données projet'!$B$12,Paramètres!$A$1:$I$89,5,0)</f>
        <v>212.42519999999985</v>
      </c>
      <c r="CA146" s="13">
        <f t="shared" si="147"/>
        <v>52.465198231787184</v>
      </c>
      <c r="CB146" s="20">
        <f t="shared" si="118"/>
        <v>461.35077692036231</v>
      </c>
      <c r="CC146" s="59">
        <f t="shared" si="119"/>
        <v>754.68411025369562</v>
      </c>
      <c r="CD146" s="59">
        <f ca="1">AVERAGE(OFFSET($CC$3,0,0,'Données projet'!$E$12+1,1))-AVERAGE(OFFSET($H$3,0,0,'Données projet'!$E$12+1,1))</f>
        <v>225.2323446080772</v>
      </c>
      <c r="CE146" s="59">
        <f t="shared" si="148"/>
        <v>222.29030402759292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12.459579813955674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12.459579813955674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213.00000000000003</v>
      </c>
      <c r="CU146" s="17">
        <f>CT146*VLOOKUP('Données projet'!$B$13,Paramètres!$A$1:$I$89,3,0)*VLOOKUP('Données projet'!$B$13,Paramètres!$A$1:$I$89,5,0)</f>
        <v>206.01360000000005</v>
      </c>
      <c r="CV146" s="13">
        <f t="shared" si="149"/>
        <v>51.063487709141484</v>
      </c>
      <c r="CW146" s="20">
        <f t="shared" si="121"/>
        <v>447.74259442675481</v>
      </c>
      <c r="CX146" s="59">
        <f t="shared" si="122"/>
        <v>741.07592776008812</v>
      </c>
      <c r="CY146" s="59">
        <f ca="1">AVERAGE(OFFSET($CX$3,0,0,'Données projet'!$E$13+1,1))-AVERAGE(OFFSET($H$3,0,0,'Données projet'!$E$13+1,1))</f>
        <v>212.32823943192528</v>
      </c>
      <c r="CZ146" s="59">
        <f t="shared" si="150"/>
        <v>209.60834138503003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9.4941347752328262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9.4941347752328262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285.99999999999972</v>
      </c>
      <c r="DP146" s="17">
        <f>DO146*VLOOKUP('Données projet'!$B$14,Paramètres!$A$1:$I$89,3,0)*VLOOKUP('Données projet'!$B$14,Paramètres!$A$1:$I$89,5,0)</f>
        <v>223.07999999999979</v>
      </c>
      <c r="DQ146" s="13">
        <f t="shared" si="151"/>
        <v>54.783765878062617</v>
      </c>
      <c r="DR146" s="20">
        <f t="shared" si="124"/>
        <v>483.94605890429199</v>
      </c>
      <c r="DS146" s="59">
        <f t="shared" si="125"/>
        <v>777.2793922376253</v>
      </c>
      <c r="DT146" s="59">
        <f ca="1">AVERAGE(OFFSET($DS$3,0,0,'Données projet'!$E$14+1,1))-AVERAGE(OFFSET($H$3,0,0,'Données projet'!$E$14+1,1))</f>
        <v>215.84581110302656</v>
      </c>
      <c r="DU146" s="59">
        <f t="shared" si="152"/>
        <v>193.88588526156104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13.821465215638908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13.821465215638908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6">
        <f t="shared" si="110"/>
        <v>447.91421036726933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401</v>
      </c>
      <c r="O147" s="13">
        <f>N147*VLOOKUP('Données projet'!$B$9,Paramètres!$A$1:$I$89,3,0)*VLOOKUP('Données projet'!$B$9,Paramètres!$A$1:$I$89,5,0)</f>
        <v>250.22399999999999</v>
      </c>
      <c r="P147" s="13">
        <f t="shared" si="141"/>
        <v>60.633904580527918</v>
      </c>
      <c r="Q147" s="20">
        <f t="shared" si="108"/>
        <v>541.41085047775289</v>
      </c>
      <c r="R147" s="59">
        <f t="shared" si="109"/>
        <v>834.74418381108626</v>
      </c>
      <c r="S147" s="59">
        <f ca="1">AVERAGE(OFFSET($R$3,0,0,'Données projet'!$E$9+1,1))-AVERAGE(OFFSET($H$3,0,0,'Données projet'!$E$9+1,1))</f>
        <v>269.77739619445515</v>
      </c>
      <c r="T147" s="59">
        <f t="shared" si="142"/>
        <v>347.56964743629885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14.508884562989028</v>
      </c>
      <c r="AA147" s="21">
        <f>EXP(-LN(2)/25)*AA146+(1-EXP(-LN(2)/25))/(LN(2)/25)*Calculateur!V147*Calculateur!X147*VLOOKUP('Données projet'!$B$9,Paramètres!$A$1:$I$89,3,0)*0.475*44/12</f>
        <v>3.8893079570088736</v>
      </c>
      <c r="AB147" s="21">
        <f>EXP(-LN(2)/2)*AB146+(1-EXP(-LN(2)/2))/(LN(2)/2)*V147*Y147*VLOOKUP('Données projet'!$B$9,Paramètres!$A$1:$I$89,3,0)*0.475*44/12</f>
        <v>1.7235064782979741E-19</v>
      </c>
      <c r="AC147" s="22">
        <f t="shared" si="111"/>
        <v>18.398192519997902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789</v>
      </c>
      <c r="AJ147" s="13">
        <f>AI147*VLOOKUP('Données projet'!$B$10,Paramètres!$A$1:$I$89,3,0)*VLOOKUP('Données projet'!$B$10,Paramètres!$A$1:$I$89,5,0)</f>
        <v>389.76600000000002</v>
      </c>
      <c r="AK147" s="13">
        <f t="shared" si="143"/>
        <v>89.698759503620408</v>
      </c>
      <c r="AL147" s="20">
        <f t="shared" si="112"/>
        <v>835.06778946880547</v>
      </c>
      <c r="AM147" s="59">
        <f t="shared" si="113"/>
        <v>1128.4011228021388</v>
      </c>
      <c r="AN147" s="59">
        <f ca="1">AVERAGE(OFFSET($AM$3,0,0,'Données projet'!$E$10+1,1))-AVERAGE(OFFSET($H$3,0,0,'Données projet'!$E$10+1,1))</f>
        <v>396.27049617044378</v>
      </c>
      <c r="AO147" s="59">
        <f t="shared" si="144"/>
        <v>335.2680289568774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40.578432916180368</v>
      </c>
      <c r="AV147" s="21">
        <f>EXP(-LN(2)/25)*AV146+(1-EXP(-LN(2)/25))/(LN(2)/25)*Calculateur!AQ147*Calculateur!AS147*VLOOKUP('Données projet'!$B$10,Paramètres!$A$1:$I$89,3,0)*0.475*44/12</f>
        <v>1.9928533852142092</v>
      </c>
      <c r="AW147" s="21">
        <f>EXP(-LN(2)/2)*AW146+(1-EXP(-LN(2)/2))/(LN(2)/2)*AQ147*AT147*VLOOKUP('Données projet'!$B$10,Paramètres!$A$1:$I$89,3,0)*0.475*44/12</f>
        <v>2.6682433626983459E-18</v>
      </c>
      <c r="AX147" s="21">
        <f t="shared" si="114"/>
        <v>42.571286301394579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403.99999999999989</v>
      </c>
      <c r="BE147" s="13">
        <f>BD147*VLOOKUP('Données projet'!$B$11,Paramètres!$A$1:$I$89,3,0)*VLOOKUP('Données projet'!$B$11,Paramètres!$A$1:$I$89,5,0)</f>
        <v>346.63199999999995</v>
      </c>
      <c r="BF147" s="13">
        <f t="shared" si="145"/>
        <v>80.868615263336864</v>
      </c>
      <c r="BG147" s="20">
        <f t="shared" si="115"/>
        <v>744.56357158364483</v>
      </c>
      <c r="BH147" s="59">
        <f t="shared" si="116"/>
        <v>1037.8969049169782</v>
      </c>
      <c r="BI147" s="59">
        <f ca="1">AVERAGE(OFFSET($BH$3,0,0,'Données projet'!$E$11+1,1))-AVERAGE(OFFSET($H$3,0,0,'Données projet'!$E$11+1,1))</f>
        <v>352.61091660077574</v>
      </c>
      <c r="BJ147" s="59">
        <f t="shared" si="146"/>
        <v>186.48649111821521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62.142262270190557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62.142262270190557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266.99999999999983</v>
      </c>
      <c r="BZ147" s="13">
        <f>BY147*VLOOKUP('Données projet'!$B$12,Paramètres!$A$1:$I$89,3,0)*VLOOKUP('Données projet'!$B$12,Paramètres!$A$1:$I$89,5,0)</f>
        <v>212.42519999999985</v>
      </c>
      <c r="CA147" s="13">
        <f t="shared" si="147"/>
        <v>52.465198231787184</v>
      </c>
      <c r="CB147" s="20">
        <f t="shared" si="118"/>
        <v>461.35077692036231</v>
      </c>
      <c r="CC147" s="59">
        <f t="shared" si="119"/>
        <v>754.68411025369562</v>
      </c>
      <c r="CD147" s="59">
        <f ca="1">AVERAGE(OFFSET($CC$3,0,0,'Données projet'!$E$12+1,1))-AVERAGE(OFFSET($H$3,0,0,'Données projet'!$E$12+1,1))</f>
        <v>225.2323446080772</v>
      </c>
      <c r="CE147" s="59">
        <f t="shared" si="148"/>
        <v>222.29030402759292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12.215255053397293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12.215255053397293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213.00000000000003</v>
      </c>
      <c r="CU147" s="17">
        <f>CT147*VLOOKUP('Données projet'!$B$13,Paramètres!$A$1:$I$89,3,0)*VLOOKUP('Données projet'!$B$13,Paramètres!$A$1:$I$89,5,0)</f>
        <v>206.01360000000005</v>
      </c>
      <c r="CV147" s="13">
        <f t="shared" si="149"/>
        <v>51.063487709141484</v>
      </c>
      <c r="CW147" s="20">
        <f t="shared" si="121"/>
        <v>447.74259442675481</v>
      </c>
      <c r="CX147" s="59">
        <f t="shared" si="122"/>
        <v>741.07592776008812</v>
      </c>
      <c r="CY147" s="59">
        <f ca="1">AVERAGE(OFFSET($CX$3,0,0,'Données projet'!$E$13+1,1))-AVERAGE(OFFSET($H$3,0,0,'Données projet'!$E$13+1,1))</f>
        <v>212.32823943192528</v>
      </c>
      <c r="CZ147" s="59">
        <f t="shared" si="150"/>
        <v>209.60834138503003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9.3079605831409236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9.3079605831409236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285.99999999999972</v>
      </c>
      <c r="DP147" s="17">
        <f>DO147*VLOOKUP('Données projet'!$B$14,Paramètres!$A$1:$I$89,3,0)*VLOOKUP('Données projet'!$B$14,Paramètres!$A$1:$I$89,5,0)</f>
        <v>223.07999999999979</v>
      </c>
      <c r="DQ147" s="13">
        <f t="shared" si="151"/>
        <v>54.783765878062617</v>
      </c>
      <c r="DR147" s="20">
        <f t="shared" si="124"/>
        <v>483.94605890429199</v>
      </c>
      <c r="DS147" s="59">
        <f t="shared" si="125"/>
        <v>777.2793922376253</v>
      </c>
      <c r="DT147" s="59">
        <f ca="1">AVERAGE(OFFSET($DS$3,0,0,'Données projet'!$E$14+1,1))-AVERAGE(OFFSET($H$3,0,0,'Données projet'!$E$14+1,1))</f>
        <v>215.84581110302656</v>
      </c>
      <c r="DU147" s="59">
        <f t="shared" si="152"/>
        <v>193.88588526156104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13.550434713021591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13.550434713021591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6">
        <f t="shared" si="110"/>
        <v>448.96016496450284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401</v>
      </c>
      <c r="O148" s="13">
        <f>N148*VLOOKUP('Données projet'!$B$9,Paramètres!$A$1:$I$89,3,0)*VLOOKUP('Données projet'!$B$9,Paramètres!$A$1:$I$89,5,0)</f>
        <v>250.22399999999999</v>
      </c>
      <c r="P148" s="13">
        <f t="shared" si="141"/>
        <v>60.633904580527918</v>
      </c>
      <c r="Q148" s="20">
        <f t="shared" si="108"/>
        <v>541.41085047775289</v>
      </c>
      <c r="R148" s="59">
        <f t="shared" si="109"/>
        <v>834.74418381108626</v>
      </c>
      <c r="S148" s="59">
        <f ca="1">AVERAGE(OFFSET($R$3,0,0,'Données projet'!$E$9+1,1))-AVERAGE(OFFSET($H$3,0,0,'Données projet'!$E$9+1,1))</f>
        <v>269.77739619445515</v>
      </c>
      <c r="T148" s="59">
        <f t="shared" si="142"/>
        <v>347.56964743629885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14.224374186254577</v>
      </c>
      <c r="AA148" s="21">
        <f>EXP(-LN(2)/25)*AA147+(1-EXP(-LN(2)/25))/(LN(2)/25)*Calculateur!V148*Calculateur!X148*VLOOKUP('Données projet'!$B$9,Paramètres!$A$1:$I$89,3,0)*0.475*44/12</f>
        <v>3.7829546263946496</v>
      </c>
      <c r="AB148" s="21">
        <f>EXP(-LN(2)/2)*AB147+(1-EXP(-LN(2)/2))/(LN(2)/2)*V148*Y148*VLOOKUP('Données projet'!$B$9,Paramètres!$A$1:$I$89,3,0)*0.475*44/12</f>
        <v>1.2187031182234427E-19</v>
      </c>
      <c r="AC148" s="22">
        <f t="shared" si="111"/>
        <v>18.007328812649227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789</v>
      </c>
      <c r="AJ148" s="13">
        <f>AI148*VLOOKUP('Données projet'!$B$10,Paramètres!$A$1:$I$89,3,0)*VLOOKUP('Données projet'!$B$10,Paramètres!$A$1:$I$89,5,0)</f>
        <v>389.76600000000002</v>
      </c>
      <c r="AK148" s="13">
        <f t="shared" si="143"/>
        <v>89.698759503620408</v>
      </c>
      <c r="AL148" s="20">
        <f t="shared" si="112"/>
        <v>835.06778946880547</v>
      </c>
      <c r="AM148" s="59">
        <f t="shared" si="113"/>
        <v>1128.4011228021388</v>
      </c>
      <c r="AN148" s="59">
        <f ca="1">AVERAGE(OFFSET($AM$3,0,0,'Données projet'!$E$10+1,1))-AVERAGE(OFFSET($H$3,0,0,'Données projet'!$E$10+1,1))</f>
        <v>396.27049617044378</v>
      </c>
      <c r="AO148" s="59">
        <f t="shared" si="144"/>
        <v>335.2680289568774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39.782714597094248</v>
      </c>
      <c r="AV148" s="21">
        <f>EXP(-LN(2)/25)*AV147+(1-EXP(-LN(2)/25))/(LN(2)/25)*Calculateur!AQ148*Calculateur!AS148*VLOOKUP('Données projet'!$B$10,Paramètres!$A$1:$I$89,3,0)*0.475*44/12</f>
        <v>1.9383587045959219</v>
      </c>
      <c r="AW148" s="21">
        <f>EXP(-LN(2)/2)*AW147+(1-EXP(-LN(2)/2))/(LN(2)/2)*AQ148*AT148*VLOOKUP('Données projet'!$B$10,Paramètres!$A$1:$I$89,3,0)*0.475*44/12</f>
        <v>1.886732975619997E-18</v>
      </c>
      <c r="AX148" s="21">
        <f t="shared" si="114"/>
        <v>41.721073301690168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403.99999999999989</v>
      </c>
      <c r="BE148" s="13">
        <f>BD148*VLOOKUP('Données projet'!$B$11,Paramètres!$A$1:$I$89,3,0)*VLOOKUP('Données projet'!$B$11,Paramètres!$A$1:$I$89,5,0)</f>
        <v>346.63199999999995</v>
      </c>
      <c r="BF148" s="13">
        <f t="shared" si="145"/>
        <v>80.868615263336864</v>
      </c>
      <c r="BG148" s="20">
        <f t="shared" si="115"/>
        <v>744.56357158364483</v>
      </c>
      <c r="BH148" s="59">
        <f t="shared" si="116"/>
        <v>1037.8969049169782</v>
      </c>
      <c r="BI148" s="59">
        <f ca="1">AVERAGE(OFFSET($BH$3,0,0,'Données projet'!$E$11+1,1))-AVERAGE(OFFSET($H$3,0,0,'Données projet'!$E$11+1,1))</f>
        <v>352.61091660077574</v>
      </c>
      <c r="BJ148" s="59">
        <f t="shared" si="146"/>
        <v>186.48649111821521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60.923690410109494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60.923690410109494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266.99999999999983</v>
      </c>
      <c r="BZ148" s="13">
        <f>BY148*VLOOKUP('Données projet'!$B$12,Paramètres!$A$1:$I$89,3,0)*VLOOKUP('Données projet'!$B$12,Paramètres!$A$1:$I$89,5,0)</f>
        <v>212.42519999999985</v>
      </c>
      <c r="CA148" s="13">
        <f t="shared" si="147"/>
        <v>52.465198231787184</v>
      </c>
      <c r="CB148" s="20">
        <f t="shared" si="118"/>
        <v>461.35077692036231</v>
      </c>
      <c r="CC148" s="59">
        <f t="shared" si="119"/>
        <v>754.68411025369562</v>
      </c>
      <c r="CD148" s="59">
        <f ca="1">AVERAGE(OFFSET($CC$3,0,0,'Données projet'!$E$12+1,1))-AVERAGE(OFFSET($H$3,0,0,'Données projet'!$E$12+1,1))</f>
        <v>225.2323446080772</v>
      </c>
      <c r="CE148" s="59">
        <f t="shared" si="148"/>
        <v>222.29030402759292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11.975721352370071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11.975721352370071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213.00000000000003</v>
      </c>
      <c r="CU148" s="17">
        <f>CT148*VLOOKUP('Données projet'!$B$13,Paramètres!$A$1:$I$89,3,0)*VLOOKUP('Données projet'!$B$13,Paramètres!$A$1:$I$89,5,0)</f>
        <v>206.01360000000005</v>
      </c>
      <c r="CV148" s="13">
        <f t="shared" si="149"/>
        <v>51.063487709141484</v>
      </c>
      <c r="CW148" s="20">
        <f t="shared" si="121"/>
        <v>447.74259442675481</v>
      </c>
      <c r="CX148" s="59">
        <f t="shared" si="122"/>
        <v>741.07592776008812</v>
      </c>
      <c r="CY148" s="59">
        <f ca="1">AVERAGE(OFFSET($CX$3,0,0,'Données projet'!$E$13+1,1))-AVERAGE(OFFSET($H$3,0,0,'Données projet'!$E$13+1,1))</f>
        <v>212.32823943192528</v>
      </c>
      <c r="CZ148" s="59">
        <f t="shared" si="150"/>
        <v>209.60834138503003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9.1254371534008989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9.1254371534008989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285.99999999999972</v>
      </c>
      <c r="DP148" s="17">
        <f>DO148*VLOOKUP('Données projet'!$B$14,Paramètres!$A$1:$I$89,3,0)*VLOOKUP('Données projet'!$B$14,Paramètres!$A$1:$I$89,5,0)</f>
        <v>223.07999999999979</v>
      </c>
      <c r="DQ148" s="13">
        <f t="shared" si="151"/>
        <v>54.783765878062617</v>
      </c>
      <c r="DR148" s="20">
        <f t="shared" si="124"/>
        <v>483.94605890429199</v>
      </c>
      <c r="DS148" s="59">
        <f t="shared" si="125"/>
        <v>777.2793922376253</v>
      </c>
      <c r="DT148" s="59">
        <f ca="1">AVERAGE(OFFSET($DS$3,0,0,'Données projet'!$E$14+1,1))-AVERAGE(OFFSET($H$3,0,0,'Données projet'!$E$14+1,1))</f>
        <v>215.84581110302656</v>
      </c>
      <c r="DU148" s="59">
        <f t="shared" si="152"/>
        <v>193.88588526156104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13.284718953248317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13.284718953248317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6">
        <f t="shared" si="110"/>
        <v>450.00595248268087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401</v>
      </c>
      <c r="O149" s="13">
        <f>N149*VLOOKUP('Données projet'!$B$9,Paramètres!$A$1:$I$89,3,0)*VLOOKUP('Données projet'!$B$9,Paramètres!$A$1:$I$89,5,0)</f>
        <v>250.22399999999999</v>
      </c>
      <c r="P149" s="13">
        <f t="shared" si="141"/>
        <v>60.633904580527918</v>
      </c>
      <c r="Q149" s="20">
        <f t="shared" si="108"/>
        <v>541.41085047775289</v>
      </c>
      <c r="R149" s="59">
        <f t="shared" si="109"/>
        <v>834.74418381108626</v>
      </c>
      <c r="S149" s="59">
        <f ca="1">AVERAGE(OFFSET($R$3,0,0,'Données projet'!$E$9+1,1))-AVERAGE(OFFSET($H$3,0,0,'Données projet'!$E$9+1,1))</f>
        <v>269.77739619445515</v>
      </c>
      <c r="T149" s="59">
        <f t="shared" si="142"/>
        <v>347.56964743629885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13.945442884473694</v>
      </c>
      <c r="AA149" s="21">
        <f>EXP(-LN(2)/25)*AA148+(1-EXP(-LN(2)/25))/(LN(2)/25)*Calculateur!V149*Calculateur!X149*VLOOKUP('Données projet'!$B$9,Paramètres!$A$1:$I$89,3,0)*0.475*44/12</f>
        <v>3.6795095331989502</v>
      </c>
      <c r="AB149" s="21">
        <f>EXP(-LN(2)/2)*AB148+(1-EXP(-LN(2)/2))/(LN(2)/2)*V149*Y149*VLOOKUP('Données projet'!$B$9,Paramètres!$A$1:$I$89,3,0)*0.475*44/12</f>
        <v>8.6175323914898705E-20</v>
      </c>
      <c r="AC149" s="22">
        <f t="shared" si="111"/>
        <v>17.624952417672645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789</v>
      </c>
      <c r="AJ149" s="13">
        <f>AI149*VLOOKUP('Données projet'!$B$10,Paramètres!$A$1:$I$89,3,0)*VLOOKUP('Données projet'!$B$10,Paramètres!$A$1:$I$89,5,0)</f>
        <v>389.76600000000002</v>
      </c>
      <c r="AK149" s="13">
        <f t="shared" si="143"/>
        <v>89.698759503620408</v>
      </c>
      <c r="AL149" s="20">
        <f t="shared" si="112"/>
        <v>835.06778946880547</v>
      </c>
      <c r="AM149" s="59">
        <f t="shared" si="113"/>
        <v>1128.4011228021388</v>
      </c>
      <c r="AN149" s="59">
        <f ca="1">AVERAGE(OFFSET($AM$3,0,0,'Données projet'!$E$10+1,1))-AVERAGE(OFFSET($H$3,0,0,'Données projet'!$E$10+1,1))</f>
        <v>396.27049617044378</v>
      </c>
      <c r="AO149" s="59">
        <f t="shared" si="144"/>
        <v>335.2680289568774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39.002599828905161</v>
      </c>
      <c r="AV149" s="21">
        <f>EXP(-LN(2)/25)*AV148+(1-EXP(-LN(2)/25))/(LN(2)/25)*Calculateur!AQ149*Calculateur!AS149*VLOOKUP('Données projet'!$B$10,Paramètres!$A$1:$I$89,3,0)*0.475*44/12</f>
        <v>1.8853541838848922</v>
      </c>
      <c r="AW149" s="21">
        <f>EXP(-LN(2)/2)*AW148+(1-EXP(-LN(2)/2))/(LN(2)/2)*AQ149*AT149*VLOOKUP('Données projet'!$B$10,Paramètres!$A$1:$I$89,3,0)*0.475*44/12</f>
        <v>1.3341216813491729E-18</v>
      </c>
      <c r="AX149" s="21">
        <f t="shared" si="114"/>
        <v>40.887954012790054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403.99999999999989</v>
      </c>
      <c r="BE149" s="13">
        <f>BD149*VLOOKUP('Données projet'!$B$11,Paramètres!$A$1:$I$89,3,0)*VLOOKUP('Données projet'!$B$11,Paramètres!$A$1:$I$89,5,0)</f>
        <v>346.63199999999995</v>
      </c>
      <c r="BF149" s="13">
        <f t="shared" si="145"/>
        <v>80.868615263336864</v>
      </c>
      <c r="BG149" s="20">
        <f t="shared" si="115"/>
        <v>744.56357158364483</v>
      </c>
      <c r="BH149" s="59">
        <f t="shared" si="116"/>
        <v>1037.8969049169782</v>
      </c>
      <c r="BI149" s="59">
        <f ca="1">AVERAGE(OFFSET($BH$3,0,0,'Données projet'!$E$11+1,1))-AVERAGE(OFFSET($H$3,0,0,'Données projet'!$E$11+1,1))</f>
        <v>352.61091660077574</v>
      </c>
      <c r="BJ149" s="59">
        <f t="shared" si="146"/>
        <v>186.48649111821521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59.729014000949171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59.729014000949171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266.99999999999983</v>
      </c>
      <c r="BZ149" s="13">
        <f>BY149*VLOOKUP('Données projet'!$B$12,Paramètres!$A$1:$I$89,3,0)*VLOOKUP('Données projet'!$B$12,Paramètres!$A$1:$I$89,5,0)</f>
        <v>212.42519999999985</v>
      </c>
      <c r="CA149" s="13">
        <f t="shared" si="147"/>
        <v>52.465198231787184</v>
      </c>
      <c r="CB149" s="20">
        <f t="shared" si="118"/>
        <v>461.35077692036231</v>
      </c>
      <c r="CC149" s="59">
        <f t="shared" si="119"/>
        <v>754.68411025369562</v>
      </c>
      <c r="CD149" s="59">
        <f ca="1">AVERAGE(OFFSET($CC$3,0,0,'Données projet'!$E$12+1,1))-AVERAGE(OFFSET($H$3,0,0,'Données projet'!$E$12+1,1))</f>
        <v>225.2323446080772</v>
      </c>
      <c r="CE149" s="59">
        <f t="shared" si="148"/>
        <v>222.29030402759292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11.740884761118862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11.740884761118862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213.00000000000003</v>
      </c>
      <c r="CU149" s="17">
        <f>CT149*VLOOKUP('Données projet'!$B$13,Paramètres!$A$1:$I$89,3,0)*VLOOKUP('Données projet'!$B$13,Paramètres!$A$1:$I$89,5,0)</f>
        <v>206.01360000000005</v>
      </c>
      <c r="CV149" s="13">
        <f t="shared" si="149"/>
        <v>51.063487709141484</v>
      </c>
      <c r="CW149" s="20">
        <f t="shared" si="121"/>
        <v>447.74259442675481</v>
      </c>
      <c r="CX149" s="59">
        <f t="shared" si="122"/>
        <v>741.07592776008812</v>
      </c>
      <c r="CY149" s="59">
        <f ca="1">AVERAGE(OFFSET($CX$3,0,0,'Données projet'!$E$13+1,1))-AVERAGE(OFFSET($H$3,0,0,'Données projet'!$E$13+1,1))</f>
        <v>212.32823943192528</v>
      </c>
      <c r="CZ149" s="59">
        <f t="shared" si="150"/>
        <v>209.60834138503003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8.9464928967897777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8.9464928967897777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285.99999999999972</v>
      </c>
      <c r="DP149" s="17">
        <f>DO149*VLOOKUP('Données projet'!$B$14,Paramètres!$A$1:$I$89,3,0)*VLOOKUP('Données projet'!$B$14,Paramètres!$A$1:$I$89,5,0)</f>
        <v>223.07999999999979</v>
      </c>
      <c r="DQ149" s="13">
        <f t="shared" si="151"/>
        <v>54.783765878062617</v>
      </c>
      <c r="DR149" s="20">
        <f t="shared" si="124"/>
        <v>483.94605890429199</v>
      </c>
      <c r="DS149" s="59">
        <f t="shared" si="125"/>
        <v>777.2793922376253</v>
      </c>
      <c r="DT149" s="59">
        <f ca="1">AVERAGE(OFFSET($DS$3,0,0,'Données projet'!$E$14+1,1))-AVERAGE(OFFSET($H$3,0,0,'Données projet'!$E$14+1,1))</f>
        <v>215.84581110302656</v>
      </c>
      <c r="DU149" s="59">
        <f t="shared" si="152"/>
        <v>193.88588526156104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13.024213717453586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13.024213717453586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6">
        <f t="shared" si="110"/>
        <v>451.05157419889701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401</v>
      </c>
      <c r="O150" s="13">
        <f>N150*VLOOKUP('Données projet'!$B$9,Paramètres!$A$1:$I$89,3,0)*VLOOKUP('Données projet'!$B$9,Paramètres!$A$1:$I$89,5,0)</f>
        <v>250.22399999999999</v>
      </c>
      <c r="P150" s="13">
        <f t="shared" si="141"/>
        <v>60.633904580527918</v>
      </c>
      <c r="Q150" s="20">
        <f t="shared" si="108"/>
        <v>541.41085047775289</v>
      </c>
      <c r="R150" s="59">
        <f t="shared" si="109"/>
        <v>834.74418381108626</v>
      </c>
      <c r="S150" s="59">
        <f ca="1">AVERAGE(OFFSET($R$3,0,0,'Données projet'!$E$9+1,1))-AVERAGE(OFFSET($H$3,0,0,'Données projet'!$E$9+1,1))</f>
        <v>269.77739619445515</v>
      </c>
      <c r="T150" s="59">
        <f t="shared" si="142"/>
        <v>347.56964743629885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13.671981255389438</v>
      </c>
      <c r="AA150" s="21">
        <f>EXP(-LN(2)/25)*AA149+(1-EXP(-LN(2)/25))/(LN(2)/25)*Calculateur!V150*Calculateur!X150*VLOOKUP('Données projet'!$B$9,Paramètres!$A$1:$I$89,3,0)*0.475*44/12</f>
        <v>3.578893151516628</v>
      </c>
      <c r="AB150" s="21">
        <f>EXP(-LN(2)/2)*AB149+(1-EXP(-LN(2)/2))/(LN(2)/2)*V150*Y150*VLOOKUP('Données projet'!$B$9,Paramètres!$A$1:$I$89,3,0)*0.475*44/12</f>
        <v>6.0935155911172133E-20</v>
      </c>
      <c r="AC150" s="22">
        <f t="shared" si="111"/>
        <v>17.250874406906068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789</v>
      </c>
      <c r="AJ150" s="13">
        <f>AI150*VLOOKUP('Données projet'!$B$10,Paramètres!$A$1:$I$89,3,0)*VLOOKUP('Données projet'!$B$10,Paramètres!$A$1:$I$89,5,0)</f>
        <v>389.76600000000002</v>
      </c>
      <c r="AK150" s="13">
        <f t="shared" si="143"/>
        <v>89.698759503620408</v>
      </c>
      <c r="AL150" s="20">
        <f t="shared" si="112"/>
        <v>835.06778946880547</v>
      </c>
      <c r="AM150" s="59">
        <f t="shared" si="113"/>
        <v>1128.4011228021388</v>
      </c>
      <c r="AN150" s="59">
        <f ca="1">AVERAGE(OFFSET($AM$3,0,0,'Données projet'!$E$10+1,1))-AVERAGE(OFFSET($H$3,0,0,'Données projet'!$E$10+1,1))</f>
        <v>396.27049617044378</v>
      </c>
      <c r="AO150" s="59">
        <f t="shared" si="144"/>
        <v>335.2680289568774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38.237782635497233</v>
      </c>
      <c r="AV150" s="21">
        <f>EXP(-LN(2)/25)*AV149+(1-EXP(-LN(2)/25))/(LN(2)/25)*Calculateur!AQ150*Calculateur!AS150*VLOOKUP('Données projet'!$B$10,Paramètres!$A$1:$I$89,3,0)*0.475*44/12</f>
        <v>1.8337990745800923</v>
      </c>
      <c r="AW150" s="21">
        <f>EXP(-LN(2)/2)*AW149+(1-EXP(-LN(2)/2))/(LN(2)/2)*AQ150*AT150*VLOOKUP('Données projet'!$B$10,Paramètres!$A$1:$I$89,3,0)*0.475*44/12</f>
        <v>9.433664878099985E-19</v>
      </c>
      <c r="AX150" s="21">
        <f t="shared" si="114"/>
        <v>40.071581710077325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403.99999999999989</v>
      </c>
      <c r="BE150" s="13">
        <f>BD150*VLOOKUP('Données projet'!$B$11,Paramètres!$A$1:$I$89,3,0)*VLOOKUP('Données projet'!$B$11,Paramètres!$A$1:$I$89,5,0)</f>
        <v>346.63199999999995</v>
      </c>
      <c r="BF150" s="13">
        <f t="shared" si="145"/>
        <v>80.868615263336864</v>
      </c>
      <c r="BG150" s="20">
        <f t="shared" si="115"/>
        <v>744.56357158364483</v>
      </c>
      <c r="BH150" s="59">
        <f t="shared" si="116"/>
        <v>1037.8969049169782</v>
      </c>
      <c r="BI150" s="59">
        <f ca="1">AVERAGE(OFFSET($BH$3,0,0,'Données projet'!$E$11+1,1))-AVERAGE(OFFSET($H$3,0,0,'Données projet'!$E$11+1,1))</f>
        <v>352.61091660077574</v>
      </c>
      <c r="BJ150" s="59">
        <f t="shared" si="146"/>
        <v>186.48649111821521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58.557764467491829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58.557764467491829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266.99999999999983</v>
      </c>
      <c r="BZ150" s="13">
        <f>BY150*VLOOKUP('Données projet'!$B$12,Paramètres!$A$1:$I$89,3,0)*VLOOKUP('Données projet'!$B$12,Paramètres!$A$1:$I$89,5,0)</f>
        <v>212.42519999999985</v>
      </c>
      <c r="CA150" s="13">
        <f t="shared" si="147"/>
        <v>52.465198231787184</v>
      </c>
      <c r="CB150" s="20">
        <f t="shared" si="118"/>
        <v>461.35077692036231</v>
      </c>
      <c r="CC150" s="59">
        <f t="shared" si="119"/>
        <v>754.68411025369562</v>
      </c>
      <c r="CD150" s="59">
        <f ca="1">AVERAGE(OFFSET($CC$3,0,0,'Données projet'!$E$12+1,1))-AVERAGE(OFFSET($H$3,0,0,'Données projet'!$E$12+1,1))</f>
        <v>225.2323446080772</v>
      </c>
      <c r="CE150" s="59">
        <f t="shared" si="148"/>
        <v>222.29030402759292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11.510653172185911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11.510653172185911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213.00000000000003</v>
      </c>
      <c r="CU150" s="17">
        <f>CT150*VLOOKUP('Données projet'!$B$13,Paramètres!$A$1:$I$89,3,0)*VLOOKUP('Données projet'!$B$13,Paramètres!$A$1:$I$89,5,0)</f>
        <v>206.01360000000005</v>
      </c>
      <c r="CV150" s="13">
        <f t="shared" si="149"/>
        <v>51.063487709141484</v>
      </c>
      <c r="CW150" s="20">
        <f t="shared" si="121"/>
        <v>447.74259442675481</v>
      </c>
      <c r="CX150" s="59">
        <f t="shared" si="122"/>
        <v>741.07592776008812</v>
      </c>
      <c r="CY150" s="59">
        <f ca="1">AVERAGE(OFFSET($CX$3,0,0,'Données projet'!$E$13+1,1))-AVERAGE(OFFSET($H$3,0,0,'Données projet'!$E$13+1,1))</f>
        <v>212.32823943192528</v>
      </c>
      <c r="CZ150" s="59">
        <f t="shared" si="150"/>
        <v>209.60834138503003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8.7710576279055807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8.7710576279055807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285.99999999999972</v>
      </c>
      <c r="DP150" s="17">
        <f>DO150*VLOOKUP('Données projet'!$B$14,Paramètres!$A$1:$I$89,3,0)*VLOOKUP('Données projet'!$B$14,Paramètres!$A$1:$I$89,5,0)</f>
        <v>223.07999999999979</v>
      </c>
      <c r="DQ150" s="13">
        <f t="shared" si="151"/>
        <v>54.783765878062617</v>
      </c>
      <c r="DR150" s="20">
        <f t="shared" si="124"/>
        <v>483.94605890429199</v>
      </c>
      <c r="DS150" s="59">
        <f t="shared" si="125"/>
        <v>777.2793922376253</v>
      </c>
      <c r="DT150" s="59">
        <f ca="1">AVERAGE(OFFSET($DS$3,0,0,'Données projet'!$E$14+1,1))-AVERAGE(OFFSET($H$3,0,0,'Données projet'!$E$14+1,1))</f>
        <v>215.84581110302656</v>
      </c>
      <c r="DU150" s="59">
        <f t="shared" si="152"/>
        <v>193.88588526156104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12.768816830440285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12.768816830440285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6">
        <f t="shared" si="110"/>
        <v>452.09703137186477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401</v>
      </c>
      <c r="O151" s="13">
        <f>N151*VLOOKUP('Données projet'!$B$9,Paramètres!$A$1:$I$89,3,0)*VLOOKUP('Données projet'!$B$9,Paramètres!$A$1:$I$89,5,0)</f>
        <v>250.22399999999999</v>
      </c>
      <c r="P151" s="13">
        <f t="shared" si="141"/>
        <v>60.633904580527918</v>
      </c>
      <c r="Q151" s="20">
        <f t="shared" si="108"/>
        <v>541.41085047775289</v>
      </c>
      <c r="R151" s="59">
        <f t="shared" si="109"/>
        <v>834.74418381108626</v>
      </c>
      <c r="S151" s="59">
        <f ca="1">AVERAGE(OFFSET($R$3,0,0,'Données projet'!$E$9+1,1))-AVERAGE(OFFSET($H$3,0,0,'Données projet'!$E$9+1,1))</f>
        <v>269.77739619445515</v>
      </c>
      <c r="T151" s="59">
        <f t="shared" si="142"/>
        <v>347.56964743629885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13.4038820420564</v>
      </c>
      <c r="AA151" s="21">
        <f>EXP(-LN(2)/25)*AA150+(1-EXP(-LN(2)/25))/(LN(2)/25)*Calculateur!V151*Calculateur!X151*VLOOKUP('Données projet'!$B$9,Paramètres!$A$1:$I$89,3,0)*0.475*44/12</f>
        <v>3.4810281300825947</v>
      </c>
      <c r="AB151" s="21">
        <f>EXP(-LN(2)/2)*AB150+(1-EXP(-LN(2)/2))/(LN(2)/2)*V151*Y151*VLOOKUP('Données projet'!$B$9,Paramètres!$A$1:$I$89,3,0)*0.475*44/12</f>
        <v>4.3087661957449353E-20</v>
      </c>
      <c r="AC151" s="22">
        <f t="shared" si="111"/>
        <v>16.884910172138994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789</v>
      </c>
      <c r="AJ151" s="13">
        <f>AI151*VLOOKUP('Données projet'!$B$10,Paramètres!$A$1:$I$89,3,0)*VLOOKUP('Données projet'!$B$10,Paramètres!$A$1:$I$89,5,0)</f>
        <v>389.76600000000002</v>
      </c>
      <c r="AK151" s="13">
        <f t="shared" si="143"/>
        <v>89.698759503620408</v>
      </c>
      <c r="AL151" s="20">
        <f t="shared" si="112"/>
        <v>835.06778946880547</v>
      </c>
      <c r="AM151" s="59">
        <f t="shared" si="113"/>
        <v>1128.4011228021388</v>
      </c>
      <c r="AN151" s="59">
        <f ca="1">AVERAGE(OFFSET($AM$3,0,0,'Données projet'!$E$10+1,1))-AVERAGE(OFFSET($H$3,0,0,'Données projet'!$E$10+1,1))</f>
        <v>396.27049617044378</v>
      </c>
      <c r="AO151" s="59">
        <f t="shared" si="144"/>
        <v>335.2680289568774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37.48796304075961</v>
      </c>
      <c r="AV151" s="21">
        <f>EXP(-LN(2)/25)*AV150+(1-EXP(-LN(2)/25))/(LN(2)/25)*Calculateur!AQ151*Calculateur!AS151*VLOOKUP('Données projet'!$B$10,Paramètres!$A$1:$I$89,3,0)*0.475*44/12</f>
        <v>1.7836537424503975</v>
      </c>
      <c r="AW151" s="21">
        <f>EXP(-LN(2)/2)*AW150+(1-EXP(-LN(2)/2))/(LN(2)/2)*AQ151*AT151*VLOOKUP('Données projet'!$B$10,Paramètres!$A$1:$I$89,3,0)*0.475*44/12</f>
        <v>6.6706084067458647E-19</v>
      </c>
      <c r="AX151" s="21">
        <f t="shared" si="114"/>
        <v>39.271616783210007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403.99999999999989</v>
      </c>
      <c r="BE151" s="13">
        <f>BD151*VLOOKUP('Données projet'!$B$11,Paramètres!$A$1:$I$89,3,0)*VLOOKUP('Données projet'!$B$11,Paramètres!$A$1:$I$89,5,0)</f>
        <v>346.63199999999995</v>
      </c>
      <c r="BF151" s="13">
        <f t="shared" si="145"/>
        <v>80.868615263336864</v>
      </c>
      <c r="BG151" s="20">
        <f t="shared" si="115"/>
        <v>744.56357158364483</v>
      </c>
      <c r="BH151" s="59">
        <f t="shared" si="116"/>
        <v>1037.8969049169782</v>
      </c>
      <c r="BI151" s="59">
        <f ca="1">AVERAGE(OFFSET($BH$3,0,0,'Données projet'!$E$11+1,1))-AVERAGE(OFFSET($H$3,0,0,'Données projet'!$E$11+1,1))</f>
        <v>352.61091660077574</v>
      </c>
      <c r="BJ151" s="59">
        <f t="shared" si="146"/>
        <v>186.48649111821521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57.409482422993911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57.409482422993911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266.99999999999983</v>
      </c>
      <c r="BZ151" s="13">
        <f>BY151*VLOOKUP('Données projet'!$B$12,Paramètres!$A$1:$I$89,3,0)*VLOOKUP('Données projet'!$B$12,Paramètres!$A$1:$I$89,5,0)</f>
        <v>212.42519999999985</v>
      </c>
      <c r="CA151" s="13">
        <f t="shared" si="147"/>
        <v>52.465198231787184</v>
      </c>
      <c r="CB151" s="20">
        <f t="shared" si="118"/>
        <v>461.35077692036231</v>
      </c>
      <c r="CC151" s="59">
        <f t="shared" si="119"/>
        <v>754.68411025369562</v>
      </c>
      <c r="CD151" s="59">
        <f ca="1">AVERAGE(OFFSET($CC$3,0,0,'Données projet'!$E$12+1,1))-AVERAGE(OFFSET($H$3,0,0,'Données projet'!$E$12+1,1))</f>
        <v>225.2323446080772</v>
      </c>
      <c r="CE151" s="59">
        <f t="shared" si="148"/>
        <v>222.29030402759292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11.284936284284534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11.284936284284534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213.00000000000003</v>
      </c>
      <c r="CU151" s="17">
        <f>CT151*VLOOKUP('Données projet'!$B$13,Paramètres!$A$1:$I$89,3,0)*VLOOKUP('Données projet'!$B$13,Paramètres!$A$1:$I$89,5,0)</f>
        <v>206.01360000000005</v>
      </c>
      <c r="CV151" s="13">
        <f t="shared" si="149"/>
        <v>51.063487709141484</v>
      </c>
      <c r="CW151" s="20">
        <f t="shared" si="121"/>
        <v>447.74259442675481</v>
      </c>
      <c r="CX151" s="59">
        <f t="shared" si="122"/>
        <v>741.07592776008812</v>
      </c>
      <c r="CY151" s="59">
        <f ca="1">AVERAGE(OFFSET($CX$3,0,0,'Données projet'!$E$13+1,1))-AVERAGE(OFFSET($H$3,0,0,'Données projet'!$E$13+1,1))</f>
        <v>212.32823943192528</v>
      </c>
      <c r="CZ151" s="59">
        <f t="shared" si="150"/>
        <v>209.60834138503003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8.599062537639254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8.599062537639254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285.99999999999972</v>
      </c>
      <c r="DP151" s="17">
        <f>DO151*VLOOKUP('Données projet'!$B$14,Paramètres!$A$1:$I$89,3,0)*VLOOKUP('Données projet'!$B$14,Paramètres!$A$1:$I$89,5,0)</f>
        <v>223.07999999999979</v>
      </c>
      <c r="DQ151" s="13">
        <f t="shared" si="151"/>
        <v>54.783765878062617</v>
      </c>
      <c r="DR151" s="20">
        <f t="shared" si="124"/>
        <v>483.94605890429199</v>
      </c>
      <c r="DS151" s="59">
        <f t="shared" si="125"/>
        <v>777.2793922376253</v>
      </c>
      <c r="DT151" s="59">
        <f ca="1">AVERAGE(OFFSET($DS$3,0,0,'Données projet'!$E$14+1,1))-AVERAGE(OFFSET($H$3,0,0,'Données projet'!$E$14+1,1))</f>
        <v>215.84581110302656</v>
      </c>
      <c r="DU151" s="59">
        <f t="shared" si="152"/>
        <v>193.88588526156104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12.518428120604595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12.518428120604595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6">
        <f t="shared" si="110"/>
        <v>453.14232524230488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401</v>
      </c>
      <c r="O152" s="13">
        <f>N152*VLOOKUP('Données projet'!$B$9,Paramètres!$A$1:$I$89,3,0)*VLOOKUP('Données projet'!$B$9,Paramètres!$A$1:$I$89,5,0)</f>
        <v>250.22399999999999</v>
      </c>
      <c r="P152" s="13">
        <f t="shared" si="141"/>
        <v>60.633904580527918</v>
      </c>
      <c r="Q152" s="20">
        <f t="shared" si="108"/>
        <v>541.41085047775289</v>
      </c>
      <c r="R152" s="59">
        <f t="shared" si="109"/>
        <v>834.74418381108626</v>
      </c>
      <c r="S152" s="59">
        <f ca="1">AVERAGE(OFFSET($R$3,0,0,'Données projet'!$E$9+1,1))-AVERAGE(OFFSET($H$3,0,0,'Données projet'!$E$9+1,1))</f>
        <v>269.77739619445515</v>
      </c>
      <c r="T152" s="59">
        <f t="shared" si="142"/>
        <v>347.56964743629885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13.141040090772451</v>
      </c>
      <c r="AA152" s="21">
        <f>EXP(-LN(2)/25)*AA151+(1-EXP(-LN(2)/25))/(LN(2)/25)*Calculateur!V152*Calculateur!X152*VLOOKUP('Données projet'!$B$9,Paramètres!$A$1:$I$89,3,0)*0.475*44/12</f>
        <v>3.3858392328061728</v>
      </c>
      <c r="AB152" s="21">
        <f>EXP(-LN(2)/2)*AB151+(1-EXP(-LN(2)/2))/(LN(2)/2)*V152*Y152*VLOOKUP('Données projet'!$B$9,Paramètres!$A$1:$I$89,3,0)*0.475*44/12</f>
        <v>3.0467577955586067E-20</v>
      </c>
      <c r="AC152" s="22">
        <f t="shared" si="111"/>
        <v>16.526879323578623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789</v>
      </c>
      <c r="AJ152" s="13">
        <f>AI152*VLOOKUP('Données projet'!$B$10,Paramètres!$A$1:$I$89,3,0)*VLOOKUP('Données projet'!$B$10,Paramètres!$A$1:$I$89,5,0)</f>
        <v>389.76600000000002</v>
      </c>
      <c r="AK152" s="13">
        <f t="shared" si="143"/>
        <v>89.698759503620408</v>
      </c>
      <c r="AL152" s="20">
        <f t="shared" si="112"/>
        <v>835.06778946880547</v>
      </c>
      <c r="AM152" s="59">
        <f t="shared" si="113"/>
        <v>1128.4011228021388</v>
      </c>
      <c r="AN152" s="59">
        <f ca="1">AVERAGE(OFFSET($AM$3,0,0,'Données projet'!$E$10+1,1))-AVERAGE(OFFSET($H$3,0,0,'Données projet'!$E$10+1,1))</f>
        <v>396.27049617044378</v>
      </c>
      <c r="AO152" s="59">
        <f t="shared" si="144"/>
        <v>335.2680289568774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36.75284695093</v>
      </c>
      <c r="AV152" s="21">
        <f>EXP(-LN(2)/25)*AV151+(1-EXP(-LN(2)/25))/(LN(2)/25)*Calculateur!AQ152*Calculateur!AS152*VLOOKUP('Données projet'!$B$10,Paramètres!$A$1:$I$89,3,0)*0.475*44/12</f>
        <v>1.7348796370648176</v>
      </c>
      <c r="AW152" s="21">
        <f>EXP(-LN(2)/2)*AW151+(1-EXP(-LN(2)/2))/(LN(2)/2)*AQ152*AT152*VLOOKUP('Données projet'!$B$10,Paramètres!$A$1:$I$89,3,0)*0.475*44/12</f>
        <v>4.7168324390499925E-19</v>
      </c>
      <c r="AX152" s="21">
        <f t="shared" si="114"/>
        <v>38.487726587994814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403.99999999999989</v>
      </c>
      <c r="BE152" s="13">
        <f>BD152*VLOOKUP('Données projet'!$B$11,Paramètres!$A$1:$I$89,3,0)*VLOOKUP('Données projet'!$B$11,Paramètres!$A$1:$I$89,5,0)</f>
        <v>346.63199999999995</v>
      </c>
      <c r="BF152" s="13">
        <f t="shared" si="145"/>
        <v>80.868615263336864</v>
      </c>
      <c r="BG152" s="20">
        <f t="shared" si="115"/>
        <v>744.56357158364483</v>
      </c>
      <c r="BH152" s="59">
        <f t="shared" si="116"/>
        <v>1037.8969049169782</v>
      </c>
      <c r="BI152" s="59">
        <f ca="1">AVERAGE(OFFSET($BH$3,0,0,'Données projet'!$E$11+1,1))-AVERAGE(OFFSET($H$3,0,0,'Données projet'!$E$11+1,1))</f>
        <v>352.61091660077574</v>
      </c>
      <c r="BJ152" s="59">
        <f t="shared" si="146"/>
        <v>186.48649111821521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56.283717489005703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56.283717489005703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266.99999999999983</v>
      </c>
      <c r="BZ152" s="13">
        <f>BY152*VLOOKUP('Données projet'!$B$12,Paramètres!$A$1:$I$89,3,0)*VLOOKUP('Données projet'!$B$12,Paramètres!$A$1:$I$89,5,0)</f>
        <v>212.42519999999985</v>
      </c>
      <c r="CA152" s="13">
        <f t="shared" si="147"/>
        <v>52.465198231787184</v>
      </c>
      <c r="CB152" s="20">
        <f t="shared" si="118"/>
        <v>461.35077692036231</v>
      </c>
      <c r="CC152" s="59">
        <f t="shared" si="119"/>
        <v>754.68411025369562</v>
      </c>
      <c r="CD152" s="59">
        <f ca="1">AVERAGE(OFFSET($CC$3,0,0,'Données projet'!$E$12+1,1))-AVERAGE(OFFSET($H$3,0,0,'Données projet'!$E$12+1,1))</f>
        <v>225.2323446080772</v>
      </c>
      <c r="CE152" s="59">
        <f t="shared" si="148"/>
        <v>222.29030402759292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11.063645566881195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11.063645566881195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213.00000000000003</v>
      </c>
      <c r="CU152" s="17">
        <f>CT152*VLOOKUP('Données projet'!$B$13,Paramètres!$A$1:$I$89,3,0)*VLOOKUP('Données projet'!$B$13,Paramètres!$A$1:$I$89,5,0)</f>
        <v>206.01360000000005</v>
      </c>
      <c r="CV152" s="13">
        <f t="shared" si="149"/>
        <v>51.063487709141484</v>
      </c>
      <c r="CW152" s="20">
        <f t="shared" si="121"/>
        <v>447.74259442675481</v>
      </c>
      <c r="CX152" s="59">
        <f t="shared" si="122"/>
        <v>741.07592776008812</v>
      </c>
      <c r="CY152" s="59">
        <f ca="1">AVERAGE(OFFSET($CX$3,0,0,'Données projet'!$E$13+1,1))-AVERAGE(OFFSET($H$3,0,0,'Données projet'!$E$13+1,1))</f>
        <v>212.32823943192528</v>
      </c>
      <c r="CZ152" s="59">
        <f t="shared" si="150"/>
        <v>209.60834138503003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8.4304401661864041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8.4304401661864041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285.99999999999972</v>
      </c>
      <c r="DP152" s="17">
        <f>DO152*VLOOKUP('Données projet'!$B$14,Paramètres!$A$1:$I$89,3,0)*VLOOKUP('Données projet'!$B$14,Paramètres!$A$1:$I$89,5,0)</f>
        <v>223.07999999999979</v>
      </c>
      <c r="DQ152" s="13">
        <f t="shared" si="151"/>
        <v>54.783765878062617</v>
      </c>
      <c r="DR152" s="20">
        <f t="shared" si="124"/>
        <v>483.94605890429199</v>
      </c>
      <c r="DS152" s="59">
        <f t="shared" si="125"/>
        <v>777.2793922376253</v>
      </c>
      <c r="DT152" s="59">
        <f ca="1">AVERAGE(OFFSET($DS$3,0,0,'Données projet'!$E$14+1,1))-AVERAGE(OFFSET($H$3,0,0,'Données projet'!$E$14+1,1))</f>
        <v>215.84581110302656</v>
      </c>
      <c r="DU152" s="59">
        <f t="shared" si="152"/>
        <v>193.88588526156104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12.27294938064675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12.27294938064675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6">
        <f t="shared" si="110"/>
        <v>454.18745703332144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401</v>
      </c>
      <c r="O153" s="13">
        <f>N153*VLOOKUP('Données projet'!$B$9,Paramètres!$A$1:$I$89,3,0)*VLOOKUP('Données projet'!$B$9,Paramètres!$A$1:$I$89,5,0)</f>
        <v>250.22399999999999</v>
      </c>
      <c r="P153" s="13">
        <f t="shared" si="141"/>
        <v>60.633904580527918</v>
      </c>
      <c r="Q153" s="20">
        <f t="shared" si="108"/>
        <v>541.41085047775289</v>
      </c>
      <c r="R153" s="59">
        <f t="shared" si="109"/>
        <v>834.74418381108626</v>
      </c>
      <c r="S153" s="59">
        <f ca="1">AVERAGE(OFFSET($R$3,0,0,'Données projet'!$E$9+1,1))-AVERAGE(OFFSET($H$3,0,0,'Données projet'!$E$9+1,1))</f>
        <v>269.77739619445515</v>
      </c>
      <c r="T153" s="59">
        <f t="shared" si="142"/>
        <v>347.56964743629885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12.88335230983542</v>
      </c>
      <c r="AA153" s="21">
        <f>EXP(-LN(2)/25)*AA152+(1-EXP(-LN(2)/25))/(LN(2)/25)*Calculateur!V153*Calculateur!X153*VLOOKUP('Données projet'!$B$9,Paramètres!$A$1:$I$89,3,0)*0.475*44/12</f>
        <v>3.2932532809315411</v>
      </c>
      <c r="AB153" s="21">
        <f>EXP(-LN(2)/2)*AB152+(1-EXP(-LN(2)/2))/(LN(2)/2)*V153*Y153*VLOOKUP('Données projet'!$B$9,Paramètres!$A$1:$I$89,3,0)*0.475*44/12</f>
        <v>2.1543830978724676E-20</v>
      </c>
      <c r="AC153" s="22">
        <f t="shared" si="111"/>
        <v>16.176605590766961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789</v>
      </c>
      <c r="AJ153" s="13">
        <f>AI153*VLOOKUP('Données projet'!$B$10,Paramètres!$A$1:$I$89,3,0)*VLOOKUP('Données projet'!$B$10,Paramètres!$A$1:$I$89,5,0)</f>
        <v>389.76600000000002</v>
      </c>
      <c r="AK153" s="13">
        <f t="shared" si="143"/>
        <v>89.698759503620408</v>
      </c>
      <c r="AL153" s="20">
        <f t="shared" si="112"/>
        <v>835.06778946880547</v>
      </c>
      <c r="AM153" s="59">
        <f t="shared" si="113"/>
        <v>1128.4011228021388</v>
      </c>
      <c r="AN153" s="59">
        <f ca="1">AVERAGE(OFFSET($AM$3,0,0,'Données projet'!$E$10+1,1))-AVERAGE(OFFSET($H$3,0,0,'Données projet'!$E$10+1,1))</f>
        <v>396.27049617044378</v>
      </c>
      <c r="AO153" s="59">
        <f t="shared" si="144"/>
        <v>335.2680289568774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36.032146039245404</v>
      </c>
      <c r="AV153" s="21">
        <f>EXP(-LN(2)/25)*AV152+(1-EXP(-LN(2)/25))/(LN(2)/25)*Calculateur!AQ153*Calculateur!AS153*VLOOKUP('Données projet'!$B$10,Paramètres!$A$1:$I$89,3,0)*0.475*44/12</f>
        <v>1.6874392621559251</v>
      </c>
      <c r="AW153" s="21">
        <f>EXP(-LN(2)/2)*AW152+(1-EXP(-LN(2)/2))/(LN(2)/2)*AQ153*AT153*VLOOKUP('Données projet'!$B$10,Paramètres!$A$1:$I$89,3,0)*0.475*44/12</f>
        <v>3.3353042033729324E-19</v>
      </c>
      <c r="AX153" s="21">
        <f t="shared" si="114"/>
        <v>37.719585301401331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403.99999999999989</v>
      </c>
      <c r="BE153" s="13">
        <f>BD153*VLOOKUP('Données projet'!$B$11,Paramètres!$A$1:$I$89,3,0)*VLOOKUP('Données projet'!$B$11,Paramètres!$A$1:$I$89,5,0)</f>
        <v>346.63199999999995</v>
      </c>
      <c r="BF153" s="13">
        <f t="shared" si="145"/>
        <v>80.868615263336864</v>
      </c>
      <c r="BG153" s="20">
        <f t="shared" si="115"/>
        <v>744.56357158364483</v>
      </c>
      <c r="BH153" s="59">
        <f t="shared" si="116"/>
        <v>1037.8969049169782</v>
      </c>
      <c r="BI153" s="59">
        <f ca="1">AVERAGE(OFFSET($BH$3,0,0,'Données projet'!$E$11+1,1))-AVERAGE(OFFSET($H$3,0,0,'Données projet'!$E$11+1,1))</f>
        <v>352.61091660077574</v>
      </c>
      <c r="BJ153" s="59">
        <f t="shared" si="146"/>
        <v>186.48649111821521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55.180028118724195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55.180028118724195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266.99999999999983</v>
      </c>
      <c r="BZ153" s="13">
        <f>BY153*VLOOKUP('Données projet'!$B$12,Paramètres!$A$1:$I$89,3,0)*VLOOKUP('Données projet'!$B$12,Paramètres!$A$1:$I$89,5,0)</f>
        <v>212.42519999999985</v>
      </c>
      <c r="CA153" s="13">
        <f t="shared" si="147"/>
        <v>52.465198231787184</v>
      </c>
      <c r="CB153" s="20">
        <f t="shared" si="118"/>
        <v>461.35077692036231</v>
      </c>
      <c r="CC153" s="59">
        <f t="shared" si="119"/>
        <v>754.68411025369562</v>
      </c>
      <c r="CD153" s="59">
        <f ca="1">AVERAGE(OFFSET($CC$3,0,0,'Données projet'!$E$12+1,1))-AVERAGE(OFFSET($H$3,0,0,'Données projet'!$E$12+1,1))</f>
        <v>225.2323446080772</v>
      </c>
      <c r="CE153" s="59">
        <f t="shared" si="148"/>
        <v>222.29030402759292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10.846694225472126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10.846694225472126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213.00000000000003</v>
      </c>
      <c r="CU153" s="17">
        <f>CT153*VLOOKUP('Données projet'!$B$13,Paramètres!$A$1:$I$89,3,0)*VLOOKUP('Données projet'!$B$13,Paramètres!$A$1:$I$89,5,0)</f>
        <v>206.01360000000005</v>
      </c>
      <c r="CV153" s="13">
        <f t="shared" si="149"/>
        <v>51.063487709141484</v>
      </c>
      <c r="CW153" s="20">
        <f t="shared" si="121"/>
        <v>447.74259442675481</v>
      </c>
      <c r="CX153" s="59">
        <f t="shared" si="122"/>
        <v>741.07592776008812</v>
      </c>
      <c r="CY153" s="59">
        <f ca="1">AVERAGE(OFFSET($CX$3,0,0,'Données projet'!$E$13+1,1))-AVERAGE(OFFSET($H$3,0,0,'Données projet'!$E$13+1,1))</f>
        <v>212.32823943192528</v>
      </c>
      <c r="CZ153" s="59">
        <f t="shared" si="150"/>
        <v>209.60834138503003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8.2651243765882541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8.2651243765882541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285.99999999999972</v>
      </c>
      <c r="DP153" s="17">
        <f>DO153*VLOOKUP('Données projet'!$B$14,Paramètres!$A$1:$I$89,3,0)*VLOOKUP('Données projet'!$B$14,Paramètres!$A$1:$I$89,5,0)</f>
        <v>223.07999999999979</v>
      </c>
      <c r="DQ153" s="13">
        <f t="shared" si="151"/>
        <v>54.783765878062617</v>
      </c>
      <c r="DR153" s="20">
        <f t="shared" si="124"/>
        <v>483.94605890429199</v>
      </c>
      <c r="DS153" s="59">
        <f t="shared" si="125"/>
        <v>777.2793922376253</v>
      </c>
      <c r="DT153" s="59">
        <f ca="1">AVERAGE(OFFSET($DS$3,0,0,'Données projet'!$E$14+1,1))-AVERAGE(OFFSET($H$3,0,0,'Données projet'!$E$14+1,1))</f>
        <v>215.84581110302656</v>
      </c>
      <c r="DU153" s="59">
        <f t="shared" si="152"/>
        <v>193.88588526156104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12.032284329052231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12.032284329052231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6">
        <f t="shared" si="110"/>
        <v>455.23242795076749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401</v>
      </c>
      <c r="O154" s="13">
        <f>N154*VLOOKUP('Données projet'!$B$9,Paramètres!$A$1:$I$89,3,0)*VLOOKUP('Données projet'!$B$9,Paramètres!$A$1:$I$89,5,0)</f>
        <v>250.22399999999999</v>
      </c>
      <c r="P154" s="13">
        <f t="shared" si="141"/>
        <v>60.633904580527918</v>
      </c>
      <c r="Q154" s="20">
        <f t="shared" ref="Q154:Q203" si="162">(O154+P154)*0.475*44/12</f>
        <v>541.41085047775289</v>
      </c>
      <c r="R154" s="59">
        <f t="shared" si="109"/>
        <v>834.74418381108626</v>
      </c>
      <c r="S154" s="59">
        <f ca="1">AVERAGE(OFFSET($R$3,0,0,'Données projet'!$E$9+1,1))-AVERAGE(OFFSET($H$3,0,0,'Données projet'!$E$9+1,1))</f>
        <v>269.77739619445515</v>
      </c>
      <c r="T154" s="59">
        <f t="shared" si="142"/>
        <v>347.56964743629885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12.630717629108537</v>
      </c>
      <c r="AA154" s="21">
        <f>EXP(-LN(2)/25)*AA153+(1-EXP(-LN(2)/25))/(LN(2)/25)*Calculateur!V154*Calculateur!X154*VLOOKUP('Données projet'!$B$9,Paramètres!$A$1:$I$89,3,0)*0.475*44/12</f>
        <v>3.2031990967798047</v>
      </c>
      <c r="AB154" s="21">
        <f>EXP(-LN(2)/2)*AB153+(1-EXP(-LN(2)/2))/(LN(2)/2)*V154*Y154*VLOOKUP('Données projet'!$B$9,Paramètres!$A$1:$I$89,3,0)*0.475*44/12</f>
        <v>1.5233788977793033E-20</v>
      </c>
      <c r="AC154" s="22">
        <f t="shared" ref="AC154:AC203" si="163">SUM(Z154:AB154)</f>
        <v>15.833916725888342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789</v>
      </c>
      <c r="AJ154" s="13">
        <f>AI154*VLOOKUP('Données projet'!$B$10,Paramètres!$A$1:$I$89,3,0)*VLOOKUP('Données projet'!$B$10,Paramètres!$A$1:$I$89,5,0)</f>
        <v>389.76600000000002</v>
      </c>
      <c r="AK154" s="13">
        <f t="shared" ref="AK154:AK203" si="164">EXP(-1.0587+0.8836*LN(AJ154)+0.284)</f>
        <v>89.698759503620408</v>
      </c>
      <c r="AL154" s="20">
        <f t="shared" ref="AL154:AL203" si="165">(AJ154+AK154)*0.475*44/12</f>
        <v>835.06778946880547</v>
      </c>
      <c r="AM154" s="59">
        <f t="shared" si="113"/>
        <v>1128.4011228021388</v>
      </c>
      <c r="AN154" s="59">
        <f ca="1">AVERAGE(OFFSET($AM$3,0,0,'Données projet'!$E$10+1,1))-AVERAGE(OFFSET($H$3,0,0,'Données projet'!$E$10+1,1))</f>
        <v>396.27049617044378</v>
      </c>
      <c r="AO154" s="59">
        <f t="shared" si="144"/>
        <v>335.2680289568774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35.325577632854795</v>
      </c>
      <c r="AV154" s="21">
        <f>EXP(-LN(2)/25)*AV153+(1-EXP(-LN(2)/25))/(LN(2)/25)*Calculateur!AQ154*Calculateur!AS154*VLOOKUP('Données projet'!$B$10,Paramètres!$A$1:$I$89,3,0)*0.475*44/12</f>
        <v>1.6412961467936973</v>
      </c>
      <c r="AW154" s="21">
        <f>EXP(-LN(2)/2)*AW153+(1-EXP(-LN(2)/2))/(LN(2)/2)*AQ154*AT154*VLOOKUP('Données projet'!$B$10,Paramètres!$A$1:$I$89,3,0)*0.475*44/12</f>
        <v>2.3584162195249963E-19</v>
      </c>
      <c r="AX154" s="21">
        <f t="shared" ref="AX154:AX203" si="166">SUM(AU154:AW154)</f>
        <v>36.966873779648495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403.99999999999989</v>
      </c>
      <c r="BE154" s="13">
        <f>BD154*VLOOKUP('Données projet'!$B$11,Paramètres!$A$1:$I$89,3,0)*VLOOKUP('Données projet'!$B$11,Paramètres!$A$1:$I$89,5,0)</f>
        <v>346.63199999999995</v>
      </c>
      <c r="BF154" s="13">
        <f t="shared" ref="BF154:BF203" si="167">EXP(-1.0587+0.8836*LN(BE154)+0.284)</f>
        <v>80.868615263336864</v>
      </c>
      <c r="BG154" s="20">
        <f t="shared" ref="BG154:BG203" si="168">(BE154+BF154)*0.475*44/12</f>
        <v>744.56357158364483</v>
      </c>
      <c r="BH154" s="59">
        <f t="shared" si="116"/>
        <v>1037.8969049169782</v>
      </c>
      <c r="BI154" s="59">
        <f ca="1">AVERAGE(OFFSET($BH$3,0,0,'Données projet'!$E$11+1,1))-AVERAGE(OFFSET($H$3,0,0,'Données projet'!$E$11+1,1))</f>
        <v>352.61091660077574</v>
      </c>
      <c r="BJ154" s="59">
        <f t="shared" si="146"/>
        <v>186.48649111821521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54.097981423809863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54.097981423809863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266.99999999999983</v>
      </c>
      <c r="BZ154" s="13">
        <f>BY154*VLOOKUP('Données projet'!$B$12,Paramètres!$A$1:$I$89,3,0)*VLOOKUP('Données projet'!$B$12,Paramètres!$A$1:$I$89,5,0)</f>
        <v>212.42519999999985</v>
      </c>
      <c r="CA154" s="13">
        <f t="shared" ref="CA154:CA203" si="170">EXP(-1.0587+0.8836*LN(BZ154)+0.284)</f>
        <v>52.465198231787184</v>
      </c>
      <c r="CB154" s="20">
        <f t="shared" ref="CB154:CB203" si="171">(BZ154+CA154)*0.475*44/12</f>
        <v>461.35077692036231</v>
      </c>
      <c r="CC154" s="59">
        <f t="shared" si="119"/>
        <v>754.68411025369562</v>
      </c>
      <c r="CD154" s="59">
        <f ca="1">AVERAGE(OFFSET($CC$3,0,0,'Données projet'!$E$12+1,1))-AVERAGE(OFFSET($H$3,0,0,'Données projet'!$E$12+1,1))</f>
        <v>225.2323446080772</v>
      </c>
      <c r="CE154" s="59">
        <f t="shared" si="148"/>
        <v>222.29030402759292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10.633997167540835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10.633997167540835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213.00000000000003</v>
      </c>
      <c r="CU154" s="17">
        <f>CT154*VLOOKUP('Données projet'!$B$13,Paramètres!$A$1:$I$89,3,0)*VLOOKUP('Données projet'!$B$13,Paramètres!$A$1:$I$89,5,0)</f>
        <v>206.01360000000005</v>
      </c>
      <c r="CV154" s="13">
        <f t="shared" ref="CV154:CV203" si="173">EXP(-1.0587+0.8836*LN(CU154)+0.284)</f>
        <v>51.063487709141484</v>
      </c>
      <c r="CW154" s="20">
        <f t="shared" ref="CW154:CW203" si="174">(CU154+CV154)*0.475*44/12</f>
        <v>447.74259442675481</v>
      </c>
      <c r="CX154" s="59">
        <f t="shared" si="122"/>
        <v>741.07592776008812</v>
      </c>
      <c r="CY154" s="59">
        <f ca="1">AVERAGE(OFFSET($CX$3,0,0,'Données projet'!$E$13+1,1))-AVERAGE(OFFSET($H$3,0,0,'Données projet'!$E$13+1,1))</f>
        <v>212.32823943192528</v>
      </c>
      <c r="CZ154" s="59">
        <f t="shared" si="150"/>
        <v>209.60834138503003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8.1030503287914488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8.1030503287914488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285.99999999999972</v>
      </c>
      <c r="DP154" s="17">
        <f>DO154*VLOOKUP('Données projet'!$B$14,Paramètres!$A$1:$I$89,3,0)*VLOOKUP('Données projet'!$B$14,Paramètres!$A$1:$I$89,5,0)</f>
        <v>223.07999999999979</v>
      </c>
      <c r="DQ154" s="13">
        <f t="shared" ref="DQ154:DQ203" si="176">EXP(-1.0587+0.8836*LN(DP154)+0.284)</f>
        <v>54.783765878062617</v>
      </c>
      <c r="DR154" s="20">
        <f t="shared" ref="DR154:DR203" si="177">(DP154+DQ154)*0.475*44/12</f>
        <v>483.94605890429199</v>
      </c>
      <c r="DS154" s="59">
        <f t="shared" si="125"/>
        <v>777.2793922376253</v>
      </c>
      <c r="DT154" s="59">
        <f ca="1">AVERAGE(OFFSET($DS$3,0,0,'Données projet'!$E$14+1,1))-AVERAGE(OFFSET($H$3,0,0,'Données projet'!$E$14+1,1))</f>
        <v>215.84581110302656</v>
      </c>
      <c r="DU154" s="59">
        <f t="shared" si="152"/>
        <v>193.88588526156104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11.796338572328295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11.796338572328295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6">
        <f t="shared" si="110"/>
        <v>456.27723918360118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401</v>
      </c>
      <c r="O155" s="13">
        <f>N155*VLOOKUP('Données projet'!$B$9,Paramètres!$A$1:$I$89,3,0)*VLOOKUP('Données projet'!$B$9,Paramètres!$A$1:$I$89,5,0)</f>
        <v>250.22399999999999</v>
      </c>
      <c r="P155" s="13">
        <f t="shared" si="141"/>
        <v>60.633904580527918</v>
      </c>
      <c r="Q155" s="20">
        <f t="shared" si="162"/>
        <v>541.41085047775289</v>
      </c>
      <c r="R155" s="59">
        <f t="shared" si="109"/>
        <v>834.74418381108626</v>
      </c>
      <c r="S155" s="59">
        <f ca="1">AVERAGE(OFFSET($R$3,0,0,'Données projet'!$E$9+1,1))-AVERAGE(OFFSET($H$3,0,0,'Données projet'!$E$9+1,1))</f>
        <v>269.77739619445515</v>
      </c>
      <c r="T155" s="59">
        <f t="shared" si="142"/>
        <v>347.56964743629885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12.383036960378767</v>
      </c>
      <c r="AA155" s="21">
        <f>EXP(-LN(2)/25)*AA154+(1-EXP(-LN(2)/25))/(LN(2)/25)*Calculateur!V155*Calculateur!X155*VLOOKUP('Données projet'!$B$9,Paramètres!$A$1:$I$89,3,0)*0.475*44/12</f>
        <v>3.1156074490294414</v>
      </c>
      <c r="AB155" s="21">
        <f>EXP(-LN(2)/2)*AB154+(1-EXP(-LN(2)/2))/(LN(2)/2)*V155*Y155*VLOOKUP('Données projet'!$B$9,Paramètres!$A$1:$I$89,3,0)*0.475*44/12</f>
        <v>1.0771915489362338E-20</v>
      </c>
      <c r="AC155" s="22">
        <f t="shared" si="163"/>
        <v>15.498644409408209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789</v>
      </c>
      <c r="AJ155" s="13">
        <f>AI155*VLOOKUP('Données projet'!$B$10,Paramètres!$A$1:$I$89,3,0)*VLOOKUP('Données projet'!$B$10,Paramètres!$A$1:$I$89,5,0)</f>
        <v>389.76600000000002</v>
      </c>
      <c r="AK155" s="13">
        <f t="shared" si="164"/>
        <v>89.698759503620408</v>
      </c>
      <c r="AL155" s="20">
        <f t="shared" si="165"/>
        <v>835.06778946880547</v>
      </c>
      <c r="AM155" s="59">
        <f t="shared" si="113"/>
        <v>1128.4011228021388</v>
      </c>
      <c r="AN155" s="59">
        <f ca="1">AVERAGE(OFFSET($AM$3,0,0,'Données projet'!$E$10+1,1))-AVERAGE(OFFSET($H$3,0,0,'Données projet'!$E$10+1,1))</f>
        <v>396.27049617044378</v>
      </c>
      <c r="AO155" s="59">
        <f t="shared" si="144"/>
        <v>335.2680289568774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34.632864601949329</v>
      </c>
      <c r="AV155" s="21">
        <f>EXP(-LN(2)/25)*AV154+(1-EXP(-LN(2)/25))/(LN(2)/25)*Calculateur!AQ155*Calculateur!AS155*VLOOKUP('Données projet'!$B$10,Paramètres!$A$1:$I$89,3,0)*0.475*44/12</f>
        <v>1.5964148173476105</v>
      </c>
      <c r="AW155" s="21">
        <f>EXP(-LN(2)/2)*AW154+(1-EXP(-LN(2)/2))/(LN(2)/2)*AQ155*AT155*VLOOKUP('Données projet'!$B$10,Paramètres!$A$1:$I$89,3,0)*0.475*44/12</f>
        <v>1.6676521016864662E-19</v>
      </c>
      <c r="AX155" s="21">
        <f t="shared" si="166"/>
        <v>36.229279419296937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403.99999999999989</v>
      </c>
      <c r="BE155" s="13">
        <f>BD155*VLOOKUP('Données projet'!$B$11,Paramètres!$A$1:$I$89,3,0)*VLOOKUP('Données projet'!$B$11,Paramètres!$A$1:$I$89,5,0)</f>
        <v>346.63199999999995</v>
      </c>
      <c r="BF155" s="13">
        <f t="shared" si="167"/>
        <v>80.868615263336864</v>
      </c>
      <c r="BG155" s="20">
        <f t="shared" si="168"/>
        <v>744.56357158364483</v>
      </c>
      <c r="BH155" s="59">
        <f t="shared" si="116"/>
        <v>1037.8969049169782</v>
      </c>
      <c r="BI155" s="59">
        <f ca="1">AVERAGE(OFFSET($BH$3,0,0,'Données projet'!$E$11+1,1))-AVERAGE(OFFSET($H$3,0,0,'Données projet'!$E$11+1,1))</f>
        <v>352.61091660077574</v>
      </c>
      <c r="BJ155" s="59">
        <f t="shared" si="146"/>
        <v>186.48649111821521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53.037153004599482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53.037153004599482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266.99999999999983</v>
      </c>
      <c r="BZ155" s="13">
        <f>BY155*VLOOKUP('Données projet'!$B$12,Paramètres!$A$1:$I$89,3,0)*VLOOKUP('Données projet'!$B$12,Paramètres!$A$1:$I$89,5,0)</f>
        <v>212.42519999999985</v>
      </c>
      <c r="CA155" s="13">
        <f t="shared" si="170"/>
        <v>52.465198231787184</v>
      </c>
      <c r="CB155" s="20">
        <f t="shared" si="171"/>
        <v>461.35077692036231</v>
      </c>
      <c r="CC155" s="59">
        <f t="shared" si="119"/>
        <v>754.68411025369562</v>
      </c>
      <c r="CD155" s="59">
        <f ca="1">AVERAGE(OFFSET($CC$3,0,0,'Données projet'!$E$12+1,1))-AVERAGE(OFFSET($H$3,0,0,'Données projet'!$E$12+1,1))</f>
        <v>225.2323446080772</v>
      </c>
      <c r="CE155" s="59">
        <f t="shared" si="148"/>
        <v>222.29030402759292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10.425470969183182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10.425470969183182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213.00000000000003</v>
      </c>
      <c r="CU155" s="17">
        <f>CT155*VLOOKUP('Données projet'!$B$13,Paramètres!$A$1:$I$89,3,0)*VLOOKUP('Données projet'!$B$13,Paramètres!$A$1:$I$89,5,0)</f>
        <v>206.01360000000005</v>
      </c>
      <c r="CV155" s="13">
        <f t="shared" si="173"/>
        <v>51.063487709141484</v>
      </c>
      <c r="CW155" s="20">
        <f t="shared" si="174"/>
        <v>447.74259442675481</v>
      </c>
      <c r="CX155" s="59">
        <f t="shared" si="122"/>
        <v>741.07592776008812</v>
      </c>
      <c r="CY155" s="59">
        <f ca="1">AVERAGE(OFFSET($CX$3,0,0,'Données projet'!$E$13+1,1))-AVERAGE(OFFSET($H$3,0,0,'Données projet'!$E$13+1,1))</f>
        <v>212.32823943192528</v>
      </c>
      <c r="CZ155" s="59">
        <f t="shared" si="150"/>
        <v>209.60834138503003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7.9441544542165303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7.9441544542165303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285.99999999999972</v>
      </c>
      <c r="DP155" s="17">
        <f>DO155*VLOOKUP('Données projet'!$B$14,Paramètres!$A$1:$I$89,3,0)*VLOOKUP('Données projet'!$B$14,Paramètres!$A$1:$I$89,5,0)</f>
        <v>223.07999999999979</v>
      </c>
      <c r="DQ155" s="13">
        <f t="shared" si="176"/>
        <v>54.783765878062617</v>
      </c>
      <c r="DR155" s="20">
        <f t="shared" si="177"/>
        <v>483.94605890429199</v>
      </c>
      <c r="DS155" s="59">
        <f t="shared" si="125"/>
        <v>777.2793922376253</v>
      </c>
      <c r="DT155" s="59">
        <f ca="1">AVERAGE(OFFSET($DS$3,0,0,'Données projet'!$E$14+1,1))-AVERAGE(OFFSET($H$3,0,0,'Données projet'!$E$14+1,1))</f>
        <v>215.84581110302656</v>
      </c>
      <c r="DU155" s="59">
        <f t="shared" si="152"/>
        <v>193.88588526156104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11.565019567981015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11.565019567981015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6">
        <f t="shared" si="110"/>
        <v>457.32189190423196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401</v>
      </c>
      <c r="O156" s="13">
        <f>N156*VLOOKUP('Données projet'!$B$9,Paramètres!$A$1:$I$89,3,0)*VLOOKUP('Données projet'!$B$9,Paramètres!$A$1:$I$89,5,0)</f>
        <v>250.22399999999999</v>
      </c>
      <c r="P156" s="13">
        <f t="shared" si="141"/>
        <v>60.633904580527918</v>
      </c>
      <c r="Q156" s="20">
        <f t="shared" si="162"/>
        <v>541.41085047775289</v>
      </c>
      <c r="R156" s="59">
        <f t="shared" si="109"/>
        <v>834.74418381108626</v>
      </c>
      <c r="S156" s="59">
        <f ca="1">AVERAGE(OFFSET($R$3,0,0,'Données projet'!$E$9+1,1))-AVERAGE(OFFSET($H$3,0,0,'Données projet'!$E$9+1,1))</f>
        <v>269.77739619445515</v>
      </c>
      <c r="T156" s="59">
        <f t="shared" si="142"/>
        <v>347.56964743629885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12.140213158492498</v>
      </c>
      <c r="AA156" s="21">
        <f>EXP(-LN(2)/25)*AA155+(1-EXP(-LN(2)/25))/(LN(2)/25)*Calculateur!V156*Calculateur!X156*VLOOKUP('Données projet'!$B$9,Paramètres!$A$1:$I$89,3,0)*0.475*44/12</f>
        <v>3.0304109994930566</v>
      </c>
      <c r="AB156" s="21">
        <f>EXP(-LN(2)/2)*AB155+(1-EXP(-LN(2)/2))/(LN(2)/2)*V156*Y156*VLOOKUP('Données projet'!$B$9,Paramètres!$A$1:$I$89,3,0)*0.475*44/12</f>
        <v>7.6168944888965167E-21</v>
      </c>
      <c r="AC156" s="22">
        <f t="shared" si="163"/>
        <v>15.170624157985555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789</v>
      </c>
      <c r="AJ156" s="13">
        <f>AI156*VLOOKUP('Données projet'!$B$10,Paramètres!$A$1:$I$89,3,0)*VLOOKUP('Données projet'!$B$10,Paramètres!$A$1:$I$89,5,0)</f>
        <v>389.76600000000002</v>
      </c>
      <c r="AK156" s="13">
        <f t="shared" si="164"/>
        <v>89.698759503620408</v>
      </c>
      <c r="AL156" s="20">
        <f t="shared" si="165"/>
        <v>835.06778946880547</v>
      </c>
      <c r="AM156" s="59">
        <f t="shared" si="113"/>
        <v>1128.4011228021388</v>
      </c>
      <c r="AN156" s="59">
        <f ca="1">AVERAGE(OFFSET($AM$3,0,0,'Données projet'!$E$10+1,1))-AVERAGE(OFFSET($H$3,0,0,'Données projet'!$E$10+1,1))</f>
        <v>396.27049617044378</v>
      </c>
      <c r="AO156" s="59">
        <f t="shared" si="144"/>
        <v>335.2680289568774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33.953735251066689</v>
      </c>
      <c r="AV156" s="21">
        <f>EXP(-LN(2)/25)*AV155+(1-EXP(-LN(2)/25))/(LN(2)/25)*Calculateur!AQ156*Calculateur!AS156*VLOOKUP('Données projet'!$B$10,Paramètres!$A$1:$I$89,3,0)*0.475*44/12</f>
        <v>1.5527607702154336</v>
      </c>
      <c r="AW156" s="21">
        <f>EXP(-LN(2)/2)*AW155+(1-EXP(-LN(2)/2))/(LN(2)/2)*AQ156*AT156*VLOOKUP('Données projet'!$B$10,Paramètres!$A$1:$I$89,3,0)*0.475*44/12</f>
        <v>1.1792081097624981E-19</v>
      </c>
      <c r="AX156" s="21">
        <f t="shared" si="166"/>
        <v>35.506496021282125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403.99999999999989</v>
      </c>
      <c r="BE156" s="13">
        <f>BD156*VLOOKUP('Données projet'!$B$11,Paramètres!$A$1:$I$89,3,0)*VLOOKUP('Données projet'!$B$11,Paramètres!$A$1:$I$89,5,0)</f>
        <v>346.63199999999995</v>
      </c>
      <c r="BF156" s="13">
        <f t="shared" si="167"/>
        <v>80.868615263336864</v>
      </c>
      <c r="BG156" s="20">
        <f t="shared" si="168"/>
        <v>744.56357158364483</v>
      </c>
      <c r="BH156" s="59">
        <f t="shared" si="116"/>
        <v>1037.8969049169782</v>
      </c>
      <c r="BI156" s="59">
        <f ca="1">AVERAGE(OFFSET($BH$3,0,0,'Données projet'!$E$11+1,1))-AVERAGE(OFFSET($H$3,0,0,'Données projet'!$E$11+1,1))</f>
        <v>352.61091660077574</v>
      </c>
      <c r="BJ156" s="59">
        <f t="shared" si="146"/>
        <v>186.48649111821521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51.997126783648376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51.997126783648376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266.99999999999983</v>
      </c>
      <c r="BZ156" s="13">
        <f>BY156*VLOOKUP('Données projet'!$B$12,Paramètres!$A$1:$I$89,3,0)*VLOOKUP('Données projet'!$B$12,Paramètres!$A$1:$I$89,5,0)</f>
        <v>212.42519999999985</v>
      </c>
      <c r="CA156" s="13">
        <f t="shared" si="170"/>
        <v>52.465198231787184</v>
      </c>
      <c r="CB156" s="20">
        <f t="shared" si="171"/>
        <v>461.35077692036231</v>
      </c>
      <c r="CC156" s="59">
        <f t="shared" si="119"/>
        <v>754.68411025369562</v>
      </c>
      <c r="CD156" s="59">
        <f ca="1">AVERAGE(OFFSET($CC$3,0,0,'Données projet'!$E$12+1,1))-AVERAGE(OFFSET($H$3,0,0,'Données projet'!$E$12+1,1))</f>
        <v>225.2323446080772</v>
      </c>
      <c r="CE156" s="59">
        <f t="shared" si="148"/>
        <v>222.29030402759292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10.221033842386902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10.221033842386902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213.00000000000003</v>
      </c>
      <c r="CU156" s="17">
        <f>CT156*VLOOKUP('Données projet'!$B$13,Paramètres!$A$1:$I$89,3,0)*VLOOKUP('Données projet'!$B$13,Paramètres!$A$1:$I$89,5,0)</f>
        <v>206.01360000000005</v>
      </c>
      <c r="CV156" s="13">
        <f t="shared" si="173"/>
        <v>51.063487709141484</v>
      </c>
      <c r="CW156" s="20">
        <f t="shared" si="174"/>
        <v>447.74259442675481</v>
      </c>
      <c r="CX156" s="59">
        <f t="shared" si="122"/>
        <v>741.07592776008812</v>
      </c>
      <c r="CY156" s="59">
        <f ca="1">AVERAGE(OFFSET($CX$3,0,0,'Données projet'!$E$13+1,1))-AVERAGE(OFFSET($H$3,0,0,'Données projet'!$E$13+1,1))</f>
        <v>212.32823943192528</v>
      </c>
      <c r="CZ156" s="59">
        <f t="shared" si="150"/>
        <v>209.60834138503003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7.7883744308251126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7.7883744308251126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285.99999999999972</v>
      </c>
      <c r="DP156" s="17">
        <f>DO156*VLOOKUP('Données projet'!$B$14,Paramètres!$A$1:$I$89,3,0)*VLOOKUP('Données projet'!$B$14,Paramètres!$A$1:$I$89,5,0)</f>
        <v>223.07999999999979</v>
      </c>
      <c r="DQ156" s="13">
        <f t="shared" si="176"/>
        <v>54.783765878062617</v>
      </c>
      <c r="DR156" s="20">
        <f t="shared" si="177"/>
        <v>483.94605890429199</v>
      </c>
      <c r="DS156" s="59">
        <f t="shared" si="125"/>
        <v>777.2793922376253</v>
      </c>
      <c r="DT156" s="59">
        <f ca="1">AVERAGE(OFFSET($DS$3,0,0,'Données projet'!$E$14+1,1))-AVERAGE(OFFSET($H$3,0,0,'Données projet'!$E$14+1,1))</f>
        <v>215.84581110302656</v>
      </c>
      <c r="DU156" s="59">
        <f t="shared" si="152"/>
        <v>193.88588526156104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11.338236588218322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11.338236588218322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6">
        <f t="shared" si="110"/>
        <v>458.36638726885758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401</v>
      </c>
      <c r="O157" s="13">
        <f>N157*VLOOKUP('Données projet'!$B$9,Paramètres!$A$1:$I$89,3,0)*VLOOKUP('Données projet'!$B$9,Paramètres!$A$1:$I$89,5,0)</f>
        <v>250.22399999999999</v>
      </c>
      <c r="P157" s="13">
        <f t="shared" si="141"/>
        <v>60.633904580527918</v>
      </c>
      <c r="Q157" s="20">
        <f t="shared" si="162"/>
        <v>541.41085047775289</v>
      </c>
      <c r="R157" s="59">
        <f t="shared" si="109"/>
        <v>834.74418381108626</v>
      </c>
      <c r="S157" s="59">
        <f ca="1">AVERAGE(OFFSET($R$3,0,0,'Données projet'!$E$9+1,1))-AVERAGE(OFFSET($H$3,0,0,'Données projet'!$E$9+1,1))</f>
        <v>269.77739619445515</v>
      </c>
      <c r="T157" s="59">
        <f t="shared" si="142"/>
        <v>347.56964743629885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11.902150983253325</v>
      </c>
      <c r="AA157" s="21">
        <f>EXP(-LN(2)/25)*AA156+(1-EXP(-LN(2)/25))/(LN(2)/25)*Calculateur!V157*Calculateur!X157*VLOOKUP('Données projet'!$B$9,Paramètres!$A$1:$I$89,3,0)*0.475*44/12</f>
        <v>2.9475442513495307</v>
      </c>
      <c r="AB157" s="21">
        <f>EXP(-LN(2)/2)*AB156+(1-EXP(-LN(2)/2))/(LN(2)/2)*V157*Y157*VLOOKUP('Données projet'!$B$9,Paramètres!$A$1:$I$89,3,0)*0.475*44/12</f>
        <v>5.3859577446811691E-21</v>
      </c>
      <c r="AC157" s="22">
        <f t="shared" si="163"/>
        <v>14.849695234602855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789</v>
      </c>
      <c r="AJ157" s="13">
        <f>AI157*VLOOKUP('Données projet'!$B$10,Paramètres!$A$1:$I$89,3,0)*VLOOKUP('Données projet'!$B$10,Paramètres!$A$1:$I$89,5,0)</f>
        <v>389.76600000000002</v>
      </c>
      <c r="AK157" s="13">
        <f t="shared" si="164"/>
        <v>89.698759503620408</v>
      </c>
      <c r="AL157" s="20">
        <f t="shared" si="165"/>
        <v>835.06778946880547</v>
      </c>
      <c r="AM157" s="59">
        <f t="shared" si="113"/>
        <v>1128.4011228021388</v>
      </c>
      <c r="AN157" s="59">
        <f ca="1">AVERAGE(OFFSET($AM$3,0,0,'Données projet'!$E$10+1,1))-AVERAGE(OFFSET($H$3,0,0,'Données projet'!$E$10+1,1))</f>
        <v>396.27049617044378</v>
      </c>
      <c r="AO157" s="59">
        <f t="shared" si="144"/>
        <v>335.2680289568774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33.287923212526856</v>
      </c>
      <c r="AV157" s="21">
        <f>EXP(-LN(2)/25)*AV156+(1-EXP(-LN(2)/25))/(LN(2)/25)*Calculateur!AQ157*Calculateur!AS157*VLOOKUP('Données projet'!$B$10,Paramètres!$A$1:$I$89,3,0)*0.475*44/12</f>
        <v>1.5103004452977524</v>
      </c>
      <c r="AW157" s="21">
        <f>EXP(-LN(2)/2)*AW156+(1-EXP(-LN(2)/2))/(LN(2)/2)*AQ157*AT157*VLOOKUP('Données projet'!$B$10,Paramètres!$A$1:$I$89,3,0)*0.475*44/12</f>
        <v>8.3382605084323309E-20</v>
      </c>
      <c r="AX157" s="21">
        <f t="shared" si="166"/>
        <v>34.798223657824607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403.99999999999989</v>
      </c>
      <c r="BE157" s="13">
        <f>BD157*VLOOKUP('Données projet'!$B$11,Paramètres!$A$1:$I$89,3,0)*VLOOKUP('Données projet'!$B$11,Paramètres!$A$1:$I$89,5,0)</f>
        <v>346.63199999999995</v>
      </c>
      <c r="BF157" s="13">
        <f t="shared" si="167"/>
        <v>80.868615263336864</v>
      </c>
      <c r="BG157" s="20">
        <f t="shared" si="168"/>
        <v>744.56357158364483</v>
      </c>
      <c r="BH157" s="59">
        <f t="shared" si="116"/>
        <v>1037.8969049169782</v>
      </c>
      <c r="BI157" s="59">
        <f ca="1">AVERAGE(OFFSET($BH$3,0,0,'Données projet'!$E$11+1,1))-AVERAGE(OFFSET($H$3,0,0,'Données projet'!$E$11+1,1))</f>
        <v>352.61091660077574</v>
      </c>
      <c r="BJ157" s="59">
        <f t="shared" si="146"/>
        <v>186.48649111821521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50.977494842536764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50.977494842536764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266.99999999999983</v>
      </c>
      <c r="BZ157" s="13">
        <f>BY157*VLOOKUP('Données projet'!$B$12,Paramètres!$A$1:$I$89,3,0)*VLOOKUP('Données projet'!$B$12,Paramètres!$A$1:$I$89,5,0)</f>
        <v>212.42519999999985</v>
      </c>
      <c r="CA157" s="13">
        <f t="shared" si="170"/>
        <v>52.465198231787184</v>
      </c>
      <c r="CB157" s="20">
        <f t="shared" si="171"/>
        <v>461.35077692036231</v>
      </c>
      <c r="CC157" s="59">
        <f t="shared" si="119"/>
        <v>754.68411025369562</v>
      </c>
      <c r="CD157" s="59">
        <f ca="1">AVERAGE(OFFSET($CC$3,0,0,'Données projet'!$E$12+1,1))-AVERAGE(OFFSET($H$3,0,0,'Données projet'!$E$12+1,1))</f>
        <v>225.2323446080772</v>
      </c>
      <c r="CE157" s="59">
        <f t="shared" si="148"/>
        <v>222.29030402759292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10.020605602952761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10.020605602952761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213.00000000000003</v>
      </c>
      <c r="CU157" s="17">
        <f>CT157*VLOOKUP('Données projet'!$B$13,Paramètres!$A$1:$I$89,3,0)*VLOOKUP('Données projet'!$B$13,Paramètres!$A$1:$I$89,5,0)</f>
        <v>206.01360000000005</v>
      </c>
      <c r="CV157" s="13">
        <f t="shared" si="173"/>
        <v>51.063487709141484</v>
      </c>
      <c r="CW157" s="20">
        <f t="shared" si="174"/>
        <v>447.74259442675481</v>
      </c>
      <c r="CX157" s="59">
        <f t="shared" si="122"/>
        <v>741.07592776008812</v>
      </c>
      <c r="CY157" s="59">
        <f ca="1">AVERAGE(OFFSET($CX$3,0,0,'Données projet'!$E$13+1,1))-AVERAGE(OFFSET($H$3,0,0,'Données projet'!$E$13+1,1))</f>
        <v>212.32823943192528</v>
      </c>
      <c r="CZ157" s="59">
        <f t="shared" si="150"/>
        <v>209.60834138503003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7.6356491586759683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7.6356491586759683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285.99999999999972</v>
      </c>
      <c r="DP157" s="17">
        <f>DO157*VLOOKUP('Données projet'!$B$14,Paramètres!$A$1:$I$89,3,0)*VLOOKUP('Données projet'!$B$14,Paramètres!$A$1:$I$89,5,0)</f>
        <v>223.07999999999979</v>
      </c>
      <c r="DQ157" s="13">
        <f t="shared" si="176"/>
        <v>54.783765878062617</v>
      </c>
      <c r="DR157" s="20">
        <f t="shared" si="177"/>
        <v>483.94605890429199</v>
      </c>
      <c r="DS157" s="59">
        <f t="shared" si="125"/>
        <v>777.2793922376253</v>
      </c>
      <c r="DT157" s="59">
        <f ca="1">AVERAGE(OFFSET($DS$3,0,0,'Données projet'!$E$14+1,1))-AVERAGE(OFFSET($H$3,0,0,'Données projet'!$E$14+1,1))</f>
        <v>215.84581110302656</v>
      </c>
      <c r="DU157" s="59">
        <f t="shared" si="152"/>
        <v>193.88588526156104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11.115900684364817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11.115900684364817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6">
        <f t="shared" si="110"/>
        <v>459.41072641779198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401</v>
      </c>
      <c r="O158" s="13">
        <f>N158*VLOOKUP('Données projet'!$B$9,Paramètres!$A$1:$I$89,3,0)*VLOOKUP('Données projet'!$B$9,Paramètres!$A$1:$I$89,5,0)</f>
        <v>250.22399999999999</v>
      </c>
      <c r="P158" s="13">
        <f t="shared" si="141"/>
        <v>60.633904580527918</v>
      </c>
      <c r="Q158" s="20">
        <f t="shared" si="162"/>
        <v>541.41085047775289</v>
      </c>
      <c r="R158" s="59">
        <f t="shared" si="109"/>
        <v>834.74418381108626</v>
      </c>
      <c r="S158" s="59">
        <f ca="1">AVERAGE(OFFSET($R$3,0,0,'Données projet'!$E$9+1,1))-AVERAGE(OFFSET($H$3,0,0,'Données projet'!$E$9+1,1))</f>
        <v>269.77739619445515</v>
      </c>
      <c r="T158" s="59">
        <f t="shared" si="142"/>
        <v>347.56964743629885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11.668757062067002</v>
      </c>
      <c r="AA158" s="21">
        <f>EXP(-LN(2)/25)*AA157+(1-EXP(-LN(2)/25))/(LN(2)/25)*Calculateur!V158*Calculateur!X158*VLOOKUP('Données projet'!$B$9,Paramètres!$A$1:$I$89,3,0)*0.475*44/12</f>
        <v>2.8669434987917621</v>
      </c>
      <c r="AB158" s="21">
        <f>EXP(-LN(2)/2)*AB157+(1-EXP(-LN(2)/2))/(LN(2)/2)*V158*Y158*VLOOKUP('Données projet'!$B$9,Paramètres!$A$1:$I$89,3,0)*0.475*44/12</f>
        <v>3.8084472444482583E-21</v>
      </c>
      <c r="AC158" s="22">
        <f t="shared" si="163"/>
        <v>14.535700560858764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789</v>
      </c>
      <c r="AJ158" s="13">
        <f>AI158*VLOOKUP('Données projet'!$B$10,Paramètres!$A$1:$I$89,3,0)*VLOOKUP('Données projet'!$B$10,Paramètres!$A$1:$I$89,5,0)</f>
        <v>389.76600000000002</v>
      </c>
      <c r="AK158" s="13">
        <f t="shared" si="164"/>
        <v>89.698759503620408</v>
      </c>
      <c r="AL158" s="20">
        <f t="shared" si="165"/>
        <v>835.06778946880547</v>
      </c>
      <c r="AM158" s="59">
        <f t="shared" si="113"/>
        <v>1128.4011228021388</v>
      </c>
      <c r="AN158" s="59">
        <f ca="1">AVERAGE(OFFSET($AM$3,0,0,'Données projet'!$E$10+1,1))-AVERAGE(OFFSET($H$3,0,0,'Données projet'!$E$10+1,1))</f>
        <v>396.27049617044378</v>
      </c>
      <c r="AO158" s="59">
        <f t="shared" si="144"/>
        <v>335.2680289568774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32.635167341957548</v>
      </c>
      <c r="AV158" s="21">
        <f>EXP(-LN(2)/25)*AV157+(1-EXP(-LN(2)/25))/(LN(2)/25)*Calculateur!AQ158*Calculateur!AS158*VLOOKUP('Données projet'!$B$10,Paramètres!$A$1:$I$89,3,0)*0.475*44/12</f>
        <v>1.4690012001978368</v>
      </c>
      <c r="AW158" s="21">
        <f>EXP(-LN(2)/2)*AW157+(1-EXP(-LN(2)/2))/(LN(2)/2)*AQ158*AT158*VLOOKUP('Données projet'!$B$10,Paramètres!$A$1:$I$89,3,0)*0.475*44/12</f>
        <v>5.8960405488124907E-20</v>
      </c>
      <c r="AX158" s="21">
        <f t="shared" si="166"/>
        <v>34.104168542155385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403.99999999999989</v>
      </c>
      <c r="BE158" s="13">
        <f>BD158*VLOOKUP('Données projet'!$B$11,Paramètres!$A$1:$I$89,3,0)*VLOOKUP('Données projet'!$B$11,Paramètres!$A$1:$I$89,5,0)</f>
        <v>346.63199999999995</v>
      </c>
      <c r="BF158" s="13">
        <f t="shared" si="167"/>
        <v>80.868615263336864</v>
      </c>
      <c r="BG158" s="20">
        <f t="shared" si="168"/>
        <v>744.56357158364483</v>
      </c>
      <c r="BH158" s="59">
        <f t="shared" si="116"/>
        <v>1037.8969049169782</v>
      </c>
      <c r="BI158" s="59">
        <f ca="1">AVERAGE(OFFSET($BH$3,0,0,'Données projet'!$E$11+1,1))-AVERAGE(OFFSET($H$3,0,0,'Données projet'!$E$11+1,1))</f>
        <v>352.61091660077574</v>
      </c>
      <c r="BJ158" s="59">
        <f t="shared" si="146"/>
        <v>186.48649111821521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49.977857261876274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49.977857261876274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266.99999999999983</v>
      </c>
      <c r="BZ158" s="13">
        <f>BY158*VLOOKUP('Données projet'!$B$12,Paramètres!$A$1:$I$89,3,0)*VLOOKUP('Données projet'!$B$12,Paramètres!$A$1:$I$89,5,0)</f>
        <v>212.42519999999985</v>
      </c>
      <c r="CA158" s="13">
        <f t="shared" si="170"/>
        <v>52.465198231787184</v>
      </c>
      <c r="CB158" s="20">
        <f t="shared" si="171"/>
        <v>461.35077692036231</v>
      </c>
      <c r="CC158" s="59">
        <f t="shared" si="119"/>
        <v>754.68411025369562</v>
      </c>
      <c r="CD158" s="59">
        <f ca="1">AVERAGE(OFFSET($CC$3,0,0,'Données projet'!$E$12+1,1))-AVERAGE(OFFSET($H$3,0,0,'Données projet'!$E$12+1,1))</f>
        <v>225.2323446080772</v>
      </c>
      <c r="CE158" s="59">
        <f t="shared" si="148"/>
        <v>222.29030402759292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9.8241076390447688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9.8241076390447688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213.00000000000003</v>
      </c>
      <c r="CU158" s="17">
        <f>CT158*VLOOKUP('Données projet'!$B$13,Paramètres!$A$1:$I$89,3,0)*VLOOKUP('Données projet'!$B$13,Paramètres!$A$1:$I$89,5,0)</f>
        <v>206.01360000000005</v>
      </c>
      <c r="CV158" s="13">
        <f t="shared" si="173"/>
        <v>51.063487709141484</v>
      </c>
      <c r="CW158" s="20">
        <f t="shared" si="174"/>
        <v>447.74259442675481</v>
      </c>
      <c r="CX158" s="59">
        <f t="shared" si="122"/>
        <v>741.07592776008812</v>
      </c>
      <c r="CY158" s="59">
        <f ca="1">AVERAGE(OFFSET($CX$3,0,0,'Données projet'!$E$13+1,1))-AVERAGE(OFFSET($H$3,0,0,'Données projet'!$E$13+1,1))</f>
        <v>212.32823943192528</v>
      </c>
      <c r="CZ158" s="59">
        <f t="shared" si="150"/>
        <v>209.60834138503003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7.4859187359604507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7.4859187359604507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285.99999999999972</v>
      </c>
      <c r="DP158" s="17">
        <f>DO158*VLOOKUP('Données projet'!$B$14,Paramètres!$A$1:$I$89,3,0)*VLOOKUP('Données projet'!$B$14,Paramètres!$A$1:$I$89,5,0)</f>
        <v>223.07999999999979</v>
      </c>
      <c r="DQ158" s="13">
        <f t="shared" si="176"/>
        <v>54.783765878062617</v>
      </c>
      <c r="DR158" s="20">
        <f t="shared" si="177"/>
        <v>483.94605890429199</v>
      </c>
      <c r="DS158" s="59">
        <f t="shared" si="125"/>
        <v>777.2793922376253</v>
      </c>
      <c r="DT158" s="59">
        <f ca="1">AVERAGE(OFFSET($DS$3,0,0,'Données projet'!$E$14+1,1))-AVERAGE(OFFSET($H$3,0,0,'Données projet'!$E$14+1,1))</f>
        <v>215.84581110302656</v>
      </c>
      <c r="DU158" s="59">
        <f t="shared" si="152"/>
        <v>193.88588526156104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10.897924651974368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10.897924651974368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6">
        <f t="shared" si="110"/>
        <v>460.45491047578457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401</v>
      </c>
      <c r="O159" s="13">
        <f>N159*VLOOKUP('Données projet'!$B$9,Paramètres!$A$1:$I$89,3,0)*VLOOKUP('Données projet'!$B$9,Paramètres!$A$1:$I$89,5,0)</f>
        <v>250.22399999999999</v>
      </c>
      <c r="P159" s="13">
        <f t="shared" si="141"/>
        <v>60.633904580527918</v>
      </c>
      <c r="Q159" s="20">
        <f t="shared" si="162"/>
        <v>541.41085047775289</v>
      </c>
      <c r="R159" s="59">
        <f t="shared" si="109"/>
        <v>834.74418381108626</v>
      </c>
      <c r="S159" s="59">
        <f ca="1">AVERAGE(OFFSET($R$3,0,0,'Données projet'!$E$9+1,1))-AVERAGE(OFFSET($H$3,0,0,'Données projet'!$E$9+1,1))</f>
        <v>269.77739619445515</v>
      </c>
      <c r="T159" s="59">
        <f t="shared" si="142"/>
        <v>347.56964743629885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11.439939853318906</v>
      </c>
      <c r="AA159" s="21">
        <f>EXP(-LN(2)/25)*AA158+(1-EXP(-LN(2)/25))/(LN(2)/25)*Calculateur!V159*Calculateur!X159*VLOOKUP('Données projet'!$B$9,Paramètres!$A$1:$I$89,3,0)*0.475*44/12</f>
        <v>2.7885467780512951</v>
      </c>
      <c r="AB159" s="21">
        <f>EXP(-LN(2)/2)*AB158+(1-EXP(-LN(2)/2))/(LN(2)/2)*V159*Y159*VLOOKUP('Données projet'!$B$9,Paramètres!$A$1:$I$89,3,0)*0.475*44/12</f>
        <v>2.6929788723405845E-21</v>
      </c>
      <c r="AC159" s="22">
        <f t="shared" si="163"/>
        <v>14.228486631370201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789</v>
      </c>
      <c r="AJ159" s="13">
        <f>AI159*VLOOKUP('Données projet'!$B$10,Paramètres!$A$1:$I$89,3,0)*VLOOKUP('Données projet'!$B$10,Paramètres!$A$1:$I$89,5,0)</f>
        <v>389.76600000000002</v>
      </c>
      <c r="AK159" s="13">
        <f t="shared" si="164"/>
        <v>89.698759503620408</v>
      </c>
      <c r="AL159" s="20">
        <f t="shared" si="165"/>
        <v>835.06778946880547</v>
      </c>
      <c r="AM159" s="59">
        <f t="shared" si="113"/>
        <v>1128.4011228021388</v>
      </c>
      <c r="AN159" s="59">
        <f ca="1">AVERAGE(OFFSET($AM$3,0,0,'Données projet'!$E$10+1,1))-AVERAGE(OFFSET($H$3,0,0,'Données projet'!$E$10+1,1))</f>
        <v>396.27049617044378</v>
      </c>
      <c r="AO159" s="59">
        <f t="shared" si="144"/>
        <v>335.2680289568774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31.995211615868335</v>
      </c>
      <c r="AV159" s="21">
        <f>EXP(-LN(2)/25)*AV158+(1-EXP(-LN(2)/25))/(LN(2)/25)*Calculateur!AQ159*Calculateur!AS159*VLOOKUP('Données projet'!$B$10,Paramètres!$A$1:$I$89,3,0)*0.475*44/12</f>
        <v>1.4288312851270113</v>
      </c>
      <c r="AW159" s="21">
        <f>EXP(-LN(2)/2)*AW158+(1-EXP(-LN(2)/2))/(LN(2)/2)*AQ159*AT159*VLOOKUP('Données projet'!$B$10,Paramètres!$A$1:$I$89,3,0)*0.475*44/12</f>
        <v>4.1691302542161654E-20</v>
      </c>
      <c r="AX159" s="21">
        <f t="shared" si="166"/>
        <v>33.424042900995346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403.99999999999989</v>
      </c>
      <c r="BE159" s="13">
        <f>BD159*VLOOKUP('Données projet'!$B$11,Paramètres!$A$1:$I$89,3,0)*VLOOKUP('Données projet'!$B$11,Paramètres!$A$1:$I$89,5,0)</f>
        <v>346.63199999999995</v>
      </c>
      <c r="BF159" s="13">
        <f t="shared" si="167"/>
        <v>80.868615263336864</v>
      </c>
      <c r="BG159" s="20">
        <f t="shared" si="168"/>
        <v>744.56357158364483</v>
      </c>
      <c r="BH159" s="59">
        <f t="shared" si="116"/>
        <v>1037.8969049169782</v>
      </c>
      <c r="BI159" s="59">
        <f ca="1">AVERAGE(OFFSET($BH$3,0,0,'Données projet'!$E$11+1,1))-AVERAGE(OFFSET($H$3,0,0,'Données projet'!$E$11+1,1))</f>
        <v>352.61091660077574</v>
      </c>
      <c r="BJ159" s="59">
        <f t="shared" si="146"/>
        <v>186.48649111821521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48.997821964453813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48.997821964453813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266.99999999999983</v>
      </c>
      <c r="BZ159" s="13">
        <f>BY159*VLOOKUP('Données projet'!$B$12,Paramètres!$A$1:$I$89,3,0)*VLOOKUP('Données projet'!$B$12,Paramètres!$A$1:$I$89,5,0)</f>
        <v>212.42519999999985</v>
      </c>
      <c r="CA159" s="13">
        <f t="shared" si="170"/>
        <v>52.465198231787184</v>
      </c>
      <c r="CB159" s="20">
        <f t="shared" si="171"/>
        <v>461.35077692036231</v>
      </c>
      <c r="CC159" s="59">
        <f t="shared" si="119"/>
        <v>754.68411025369562</v>
      </c>
      <c r="CD159" s="59">
        <f ca="1">AVERAGE(OFFSET($CC$3,0,0,'Données projet'!$E$12+1,1))-AVERAGE(OFFSET($H$3,0,0,'Données projet'!$E$12+1,1))</f>
        <v>225.2323446080772</v>
      </c>
      <c r="CE159" s="59">
        <f t="shared" si="148"/>
        <v>222.29030402759292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9.6314628803570894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9.6314628803570894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213.00000000000003</v>
      </c>
      <c r="CU159" s="17">
        <f>CT159*VLOOKUP('Données projet'!$B$13,Paramètres!$A$1:$I$89,3,0)*VLOOKUP('Données projet'!$B$13,Paramètres!$A$1:$I$89,5,0)</f>
        <v>206.01360000000005</v>
      </c>
      <c r="CV159" s="13">
        <f t="shared" si="173"/>
        <v>51.063487709141484</v>
      </c>
      <c r="CW159" s="20">
        <f t="shared" si="174"/>
        <v>447.74259442675481</v>
      </c>
      <c r="CX159" s="59">
        <f t="shared" si="122"/>
        <v>741.07592776008812</v>
      </c>
      <c r="CY159" s="59">
        <f ca="1">AVERAGE(OFFSET($CX$3,0,0,'Données projet'!$E$13+1,1))-AVERAGE(OFFSET($H$3,0,0,'Données projet'!$E$13+1,1))</f>
        <v>212.32823943192528</v>
      </c>
      <c r="CZ159" s="59">
        <f t="shared" si="150"/>
        <v>209.60834138503003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7.339124435507844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7.339124435507844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285.99999999999972</v>
      </c>
      <c r="DP159" s="17">
        <f>DO159*VLOOKUP('Données projet'!$B$14,Paramètres!$A$1:$I$89,3,0)*VLOOKUP('Données projet'!$B$14,Paramètres!$A$1:$I$89,5,0)</f>
        <v>223.07999999999979</v>
      </c>
      <c r="DQ159" s="13">
        <f t="shared" si="176"/>
        <v>54.783765878062617</v>
      </c>
      <c r="DR159" s="20">
        <f t="shared" si="177"/>
        <v>483.94605890429199</v>
      </c>
      <c r="DS159" s="59">
        <f t="shared" si="125"/>
        <v>777.2793922376253</v>
      </c>
      <c r="DT159" s="59">
        <f ca="1">AVERAGE(OFFSET($DS$3,0,0,'Données projet'!$E$14+1,1))-AVERAGE(OFFSET($H$3,0,0,'Données projet'!$E$14+1,1))</f>
        <v>215.84581110302656</v>
      </c>
      <c r="DU159" s="59">
        <f t="shared" si="152"/>
        <v>193.88588526156104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10.684222996626843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10.684222996626843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6">
        <f t="shared" si="110"/>
        <v>461.49894055233096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401</v>
      </c>
      <c r="O160" s="13">
        <f>N160*VLOOKUP('Données projet'!$B$9,Paramètres!$A$1:$I$89,3,0)*VLOOKUP('Données projet'!$B$9,Paramètres!$A$1:$I$89,5,0)</f>
        <v>250.22399999999999</v>
      </c>
      <c r="P160" s="13">
        <f t="shared" si="141"/>
        <v>60.633904580527918</v>
      </c>
      <c r="Q160" s="20">
        <f t="shared" si="162"/>
        <v>541.41085047775289</v>
      </c>
      <c r="R160" s="59">
        <f t="shared" si="109"/>
        <v>834.74418381108626</v>
      </c>
      <c r="S160" s="59">
        <f ca="1">AVERAGE(OFFSET($R$3,0,0,'Données projet'!$E$9+1,1))-AVERAGE(OFFSET($H$3,0,0,'Données projet'!$E$9+1,1))</f>
        <v>269.77739619445515</v>
      </c>
      <c r="T160" s="59">
        <f t="shared" si="142"/>
        <v>347.56964743629885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11.215609610469645</v>
      </c>
      <c r="AA160" s="21">
        <f>EXP(-LN(2)/25)*AA159+(1-EXP(-LN(2)/25))/(LN(2)/25)*Calculateur!V160*Calculateur!X160*VLOOKUP('Données projet'!$B$9,Paramètres!$A$1:$I$89,3,0)*0.475*44/12</f>
        <v>2.7122938197621806</v>
      </c>
      <c r="AB160" s="21">
        <f>EXP(-LN(2)/2)*AB159+(1-EXP(-LN(2)/2))/(LN(2)/2)*V160*Y160*VLOOKUP('Données projet'!$B$9,Paramètres!$A$1:$I$89,3,0)*0.475*44/12</f>
        <v>1.9042236222241292E-21</v>
      </c>
      <c r="AC160" s="22">
        <f t="shared" si="163"/>
        <v>13.927903430231826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789</v>
      </c>
      <c r="AJ160" s="13">
        <f>AI160*VLOOKUP('Données projet'!$B$10,Paramètres!$A$1:$I$89,3,0)*VLOOKUP('Données projet'!$B$10,Paramètres!$A$1:$I$89,5,0)</f>
        <v>389.76600000000002</v>
      </c>
      <c r="AK160" s="13">
        <f t="shared" si="164"/>
        <v>89.698759503620408</v>
      </c>
      <c r="AL160" s="20">
        <f t="shared" si="165"/>
        <v>835.06778946880547</v>
      </c>
      <c r="AM160" s="59">
        <f t="shared" si="113"/>
        <v>1128.4011228021388</v>
      </c>
      <c r="AN160" s="59">
        <f ca="1">AVERAGE(OFFSET($AM$3,0,0,'Données projet'!$E$10+1,1))-AVERAGE(OFFSET($H$3,0,0,'Données projet'!$E$10+1,1))</f>
        <v>396.27049617044378</v>
      </c>
      <c r="AO160" s="59">
        <f t="shared" si="144"/>
        <v>335.2680289568774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31.367805031233281</v>
      </c>
      <c r="AV160" s="21">
        <f>EXP(-LN(2)/25)*AV159+(1-EXP(-LN(2)/25))/(LN(2)/25)*Calculateur!AQ160*Calculateur!AS160*VLOOKUP('Données projet'!$B$10,Paramètres!$A$1:$I$89,3,0)*0.475*44/12</f>
        <v>1.3897598184962414</v>
      </c>
      <c r="AW160" s="21">
        <f>EXP(-LN(2)/2)*AW159+(1-EXP(-LN(2)/2))/(LN(2)/2)*AQ160*AT160*VLOOKUP('Données projet'!$B$10,Paramètres!$A$1:$I$89,3,0)*0.475*44/12</f>
        <v>2.9480202744062453E-20</v>
      </c>
      <c r="AX160" s="21">
        <f t="shared" si="166"/>
        <v>32.757564849729526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403.99999999999989</v>
      </c>
      <c r="BE160" s="13">
        <f>BD160*VLOOKUP('Données projet'!$B$11,Paramètres!$A$1:$I$89,3,0)*VLOOKUP('Données projet'!$B$11,Paramètres!$A$1:$I$89,5,0)</f>
        <v>346.63199999999995</v>
      </c>
      <c r="BF160" s="13">
        <f t="shared" si="167"/>
        <v>80.868615263336864</v>
      </c>
      <c r="BG160" s="20">
        <f t="shared" si="168"/>
        <v>744.56357158364483</v>
      </c>
      <c r="BH160" s="59">
        <f t="shared" si="116"/>
        <v>1037.8969049169782</v>
      </c>
      <c r="BI160" s="59">
        <f ca="1">AVERAGE(OFFSET($BH$3,0,0,'Données projet'!$E$11+1,1))-AVERAGE(OFFSET($H$3,0,0,'Données projet'!$E$11+1,1))</f>
        <v>352.61091660077574</v>
      </c>
      <c r="BJ160" s="59">
        <f t="shared" si="146"/>
        <v>186.48649111821521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48.037004561451305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48.037004561451305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266.99999999999983</v>
      </c>
      <c r="BZ160" s="13">
        <f>BY160*VLOOKUP('Données projet'!$B$12,Paramètres!$A$1:$I$89,3,0)*VLOOKUP('Données projet'!$B$12,Paramètres!$A$1:$I$89,5,0)</f>
        <v>212.42519999999985</v>
      </c>
      <c r="CA160" s="13">
        <f t="shared" si="170"/>
        <v>52.465198231787184</v>
      </c>
      <c r="CB160" s="20">
        <f t="shared" si="171"/>
        <v>461.35077692036231</v>
      </c>
      <c r="CC160" s="59">
        <f t="shared" si="119"/>
        <v>754.68411025369562</v>
      </c>
      <c r="CD160" s="59">
        <f ca="1">AVERAGE(OFFSET($CC$3,0,0,'Données projet'!$E$12+1,1))-AVERAGE(OFFSET($H$3,0,0,'Données projet'!$E$12+1,1))</f>
        <v>225.2323446080772</v>
      </c>
      <c r="CE160" s="59">
        <f t="shared" si="148"/>
        <v>222.29030402759292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9.4425957678855745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9.4425957678855745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213.00000000000003</v>
      </c>
      <c r="CU160" s="17">
        <f>CT160*VLOOKUP('Données projet'!$B$13,Paramètres!$A$1:$I$89,3,0)*VLOOKUP('Données projet'!$B$13,Paramètres!$A$1:$I$89,5,0)</f>
        <v>206.01360000000005</v>
      </c>
      <c r="CV160" s="13">
        <f t="shared" si="173"/>
        <v>51.063487709141484</v>
      </c>
      <c r="CW160" s="20">
        <f t="shared" si="174"/>
        <v>447.74259442675481</v>
      </c>
      <c r="CX160" s="59">
        <f t="shared" si="122"/>
        <v>741.07592776008812</v>
      </c>
      <c r="CY160" s="59">
        <f ca="1">AVERAGE(OFFSET($CX$3,0,0,'Données projet'!$E$13+1,1))-AVERAGE(OFFSET($H$3,0,0,'Données projet'!$E$13+1,1))</f>
        <v>212.32823943192528</v>
      </c>
      <c r="CZ160" s="59">
        <f t="shared" si="150"/>
        <v>209.60834138503003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7.1952086817514305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7.1952086817514305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285.99999999999972</v>
      </c>
      <c r="DP160" s="17">
        <f>DO160*VLOOKUP('Données projet'!$B$14,Paramètres!$A$1:$I$89,3,0)*VLOOKUP('Données projet'!$B$14,Paramètres!$A$1:$I$89,5,0)</f>
        <v>223.07999999999979</v>
      </c>
      <c r="DQ160" s="13">
        <f t="shared" si="176"/>
        <v>54.783765878062617</v>
      </c>
      <c r="DR160" s="20">
        <f t="shared" si="177"/>
        <v>483.94605890429199</v>
      </c>
      <c r="DS160" s="59">
        <f t="shared" si="125"/>
        <v>777.2793922376253</v>
      </c>
      <c r="DT160" s="59">
        <f ca="1">AVERAGE(OFFSET($DS$3,0,0,'Données projet'!$E$14+1,1))-AVERAGE(OFFSET($H$3,0,0,'Données projet'!$E$14+1,1))</f>
        <v>215.84581110302656</v>
      </c>
      <c r="DU160" s="59">
        <f t="shared" si="152"/>
        <v>193.88588526156104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10.474711900395546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10.474711900395546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6">
        <f t="shared" si="110"/>
        <v>462.5428177419758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401</v>
      </c>
      <c r="O161" s="13">
        <f>N161*VLOOKUP('Données projet'!$B$9,Paramètres!$A$1:$I$89,3,0)*VLOOKUP('Données projet'!$B$9,Paramètres!$A$1:$I$89,5,0)</f>
        <v>250.22399999999999</v>
      </c>
      <c r="P161" s="13">
        <f t="shared" si="141"/>
        <v>60.633904580527918</v>
      </c>
      <c r="Q161" s="20">
        <f t="shared" si="162"/>
        <v>541.41085047775289</v>
      </c>
      <c r="R161" s="59">
        <f t="shared" si="109"/>
        <v>834.74418381108626</v>
      </c>
      <c r="S161" s="59">
        <f ca="1">AVERAGE(OFFSET($R$3,0,0,'Données projet'!$E$9+1,1))-AVERAGE(OFFSET($H$3,0,0,'Données projet'!$E$9+1,1))</f>
        <v>269.77739619445515</v>
      </c>
      <c r="T161" s="59">
        <f t="shared" si="142"/>
        <v>347.56964743629885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10.995678346854721</v>
      </c>
      <c r="AA161" s="21">
        <f>EXP(-LN(2)/25)*AA160+(1-EXP(-LN(2)/25))/(LN(2)/25)*Calculateur!V161*Calculateur!X161*VLOOKUP('Données projet'!$B$9,Paramètres!$A$1:$I$89,3,0)*0.475*44/12</f>
        <v>2.6381260026274509</v>
      </c>
      <c r="AB161" s="21">
        <f>EXP(-LN(2)/2)*AB160+(1-EXP(-LN(2)/2))/(LN(2)/2)*V161*Y161*VLOOKUP('Données projet'!$B$9,Paramètres!$A$1:$I$89,3,0)*0.475*44/12</f>
        <v>1.3464894361702923E-21</v>
      </c>
      <c r="AC161" s="22">
        <f t="shared" si="163"/>
        <v>13.633804349482173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789</v>
      </c>
      <c r="AJ161" s="13">
        <f>AI161*VLOOKUP('Données projet'!$B$10,Paramètres!$A$1:$I$89,3,0)*VLOOKUP('Données projet'!$B$10,Paramètres!$A$1:$I$89,5,0)</f>
        <v>389.76600000000002</v>
      </c>
      <c r="AK161" s="13">
        <f t="shared" si="164"/>
        <v>89.698759503620408</v>
      </c>
      <c r="AL161" s="20">
        <f t="shared" si="165"/>
        <v>835.06778946880547</v>
      </c>
      <c r="AM161" s="59">
        <f t="shared" si="113"/>
        <v>1128.4011228021388</v>
      </c>
      <c r="AN161" s="59">
        <f ca="1">AVERAGE(OFFSET($AM$3,0,0,'Données projet'!$E$10+1,1))-AVERAGE(OFFSET($H$3,0,0,'Données projet'!$E$10+1,1))</f>
        <v>396.27049617044378</v>
      </c>
      <c r="AO161" s="59">
        <f t="shared" si="144"/>
        <v>335.2680289568774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30.752701507042691</v>
      </c>
      <c r="AV161" s="21">
        <f>EXP(-LN(2)/25)*AV160+(1-EXP(-LN(2)/25))/(LN(2)/25)*Calculateur!AQ161*Calculateur!AS161*VLOOKUP('Données projet'!$B$10,Paramètres!$A$1:$I$89,3,0)*0.475*44/12</f>
        <v>1.3517567631751692</v>
      </c>
      <c r="AW161" s="21">
        <f>EXP(-LN(2)/2)*AW160+(1-EXP(-LN(2)/2))/(LN(2)/2)*AQ161*AT161*VLOOKUP('Données projet'!$B$10,Paramètres!$A$1:$I$89,3,0)*0.475*44/12</f>
        <v>2.0845651271080827E-20</v>
      </c>
      <c r="AX161" s="21">
        <f t="shared" si="166"/>
        <v>32.104458270217862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403.99999999999989</v>
      </c>
      <c r="BE161" s="13">
        <f>BD161*VLOOKUP('Données projet'!$B$11,Paramètres!$A$1:$I$89,3,0)*VLOOKUP('Données projet'!$B$11,Paramètres!$A$1:$I$89,5,0)</f>
        <v>346.63199999999995</v>
      </c>
      <c r="BF161" s="13">
        <f t="shared" si="167"/>
        <v>80.868615263336864</v>
      </c>
      <c r="BG161" s="20">
        <f t="shared" si="168"/>
        <v>744.56357158364483</v>
      </c>
      <c r="BH161" s="59">
        <f t="shared" si="116"/>
        <v>1037.8969049169782</v>
      </c>
      <c r="BI161" s="59">
        <f ca="1">AVERAGE(OFFSET($BH$3,0,0,'Données projet'!$E$11+1,1))-AVERAGE(OFFSET($H$3,0,0,'Données projet'!$E$11+1,1))</f>
        <v>352.61091660077574</v>
      </c>
      <c r="BJ161" s="59">
        <f t="shared" si="146"/>
        <v>186.48649111821521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47.095028201680925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47.095028201680925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266.99999999999983</v>
      </c>
      <c r="BZ161" s="13">
        <f>BY161*VLOOKUP('Données projet'!$B$12,Paramètres!$A$1:$I$89,3,0)*VLOOKUP('Données projet'!$B$12,Paramètres!$A$1:$I$89,5,0)</f>
        <v>212.42519999999985</v>
      </c>
      <c r="CA161" s="13">
        <f t="shared" si="170"/>
        <v>52.465198231787184</v>
      </c>
      <c r="CB161" s="20">
        <f t="shared" si="171"/>
        <v>461.35077692036231</v>
      </c>
      <c r="CC161" s="59">
        <f t="shared" si="119"/>
        <v>754.68411025369562</v>
      </c>
      <c r="CD161" s="59">
        <f ca="1">AVERAGE(OFFSET($CC$3,0,0,'Données projet'!$E$12+1,1))-AVERAGE(OFFSET($H$3,0,0,'Données projet'!$E$12+1,1))</f>
        <v>225.2323446080772</v>
      </c>
      <c r="CE161" s="59">
        <f t="shared" si="148"/>
        <v>222.29030402759292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9.2574322242920619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9.2574322242920619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213.00000000000003</v>
      </c>
      <c r="CU161" s="17">
        <f>CT161*VLOOKUP('Données projet'!$B$13,Paramètres!$A$1:$I$89,3,0)*VLOOKUP('Données projet'!$B$13,Paramètres!$A$1:$I$89,5,0)</f>
        <v>206.01360000000005</v>
      </c>
      <c r="CV161" s="13">
        <f t="shared" si="173"/>
        <v>51.063487709141484</v>
      </c>
      <c r="CW161" s="20">
        <f t="shared" si="174"/>
        <v>447.74259442675481</v>
      </c>
      <c r="CX161" s="59">
        <f t="shared" si="122"/>
        <v>741.07592776008812</v>
      </c>
      <c r="CY161" s="59">
        <f ca="1">AVERAGE(OFFSET($CX$3,0,0,'Données projet'!$E$13+1,1))-AVERAGE(OFFSET($H$3,0,0,'Données projet'!$E$13+1,1))</f>
        <v>212.32823943192528</v>
      </c>
      <c r="CZ161" s="59">
        <f t="shared" si="150"/>
        <v>209.60834138503003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7.0541150281462386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7.0541150281462386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285.99999999999972</v>
      </c>
      <c r="DP161" s="17">
        <f>DO161*VLOOKUP('Données projet'!$B$14,Paramètres!$A$1:$I$89,3,0)*VLOOKUP('Données projet'!$B$14,Paramètres!$A$1:$I$89,5,0)</f>
        <v>223.07999999999979</v>
      </c>
      <c r="DQ161" s="13">
        <f t="shared" si="176"/>
        <v>54.783765878062617</v>
      </c>
      <c r="DR161" s="20">
        <f t="shared" si="177"/>
        <v>483.94605890429199</v>
      </c>
      <c r="DS161" s="59">
        <f t="shared" si="125"/>
        <v>777.2793922376253</v>
      </c>
      <c r="DT161" s="59">
        <f ca="1">AVERAGE(OFFSET($DS$3,0,0,'Données projet'!$E$14+1,1))-AVERAGE(OFFSET($H$3,0,0,'Données projet'!$E$14+1,1))</f>
        <v>215.84581110302656</v>
      </c>
      <c r="DU161" s="59">
        <f t="shared" si="152"/>
        <v>193.88588526156104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10.269309188972192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10.269309188972192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6">
        <f t="shared" si="110"/>
        <v>463.58654312460754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401</v>
      </c>
      <c r="O162" s="13">
        <f>N162*VLOOKUP('Données projet'!$B$9,Paramètres!$A$1:$I$89,3,0)*VLOOKUP('Données projet'!$B$9,Paramètres!$A$1:$I$89,5,0)</f>
        <v>250.22399999999999</v>
      </c>
      <c r="P162" s="13">
        <f t="shared" si="141"/>
        <v>60.633904580527918</v>
      </c>
      <c r="Q162" s="20">
        <f t="shared" si="162"/>
        <v>541.41085047775289</v>
      </c>
      <c r="R162" s="59">
        <f t="shared" si="109"/>
        <v>834.74418381108626</v>
      </c>
      <c r="S162" s="59">
        <f ca="1">AVERAGE(OFFSET($R$3,0,0,'Données projet'!$E$9+1,1))-AVERAGE(OFFSET($H$3,0,0,'Données projet'!$E$9+1,1))</f>
        <v>269.77739619445515</v>
      </c>
      <c r="T162" s="59">
        <f t="shared" si="142"/>
        <v>347.56964743629885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10.78005980117446</v>
      </c>
      <c r="AA162" s="21">
        <f>EXP(-LN(2)/25)*AA161+(1-EXP(-LN(2)/25))/(LN(2)/25)*Calculateur!V162*Calculateur!X162*VLOOKUP('Données projet'!$B$9,Paramètres!$A$1:$I$89,3,0)*0.475*44/12</f>
        <v>2.5659863083525862</v>
      </c>
      <c r="AB162" s="21">
        <f>EXP(-LN(2)/2)*AB161+(1-EXP(-LN(2)/2))/(LN(2)/2)*V162*Y162*VLOOKUP('Données projet'!$B$9,Paramètres!$A$1:$I$89,3,0)*0.475*44/12</f>
        <v>9.5211181111206458E-22</v>
      </c>
      <c r="AC162" s="22">
        <f t="shared" si="163"/>
        <v>13.346046109527046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789</v>
      </c>
      <c r="AJ162" s="13">
        <f>AI162*VLOOKUP('Données projet'!$B$10,Paramètres!$A$1:$I$89,3,0)*VLOOKUP('Données projet'!$B$10,Paramètres!$A$1:$I$89,5,0)</f>
        <v>389.76600000000002</v>
      </c>
      <c r="AK162" s="13">
        <f t="shared" si="164"/>
        <v>89.698759503620408</v>
      </c>
      <c r="AL162" s="20">
        <f t="shared" si="165"/>
        <v>835.06778946880547</v>
      </c>
      <c r="AM162" s="59">
        <f t="shared" si="113"/>
        <v>1128.4011228021388</v>
      </c>
      <c r="AN162" s="59">
        <f ca="1">AVERAGE(OFFSET($AM$3,0,0,'Données projet'!$E$10+1,1))-AVERAGE(OFFSET($H$3,0,0,'Données projet'!$E$10+1,1))</f>
        <v>396.27049617044378</v>
      </c>
      <c r="AO162" s="59">
        <f t="shared" si="144"/>
        <v>335.2680289568774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30.149659787785374</v>
      </c>
      <c r="AV162" s="21">
        <f>EXP(-LN(2)/25)*AV161+(1-EXP(-LN(2)/25))/(LN(2)/25)*Calculateur!AQ162*Calculateur!AS162*VLOOKUP('Données projet'!$B$10,Paramètres!$A$1:$I$89,3,0)*0.475*44/12</f>
        <v>1.3147929034003456</v>
      </c>
      <c r="AW162" s="21">
        <f>EXP(-LN(2)/2)*AW161+(1-EXP(-LN(2)/2))/(LN(2)/2)*AQ162*AT162*VLOOKUP('Données projet'!$B$10,Paramètres!$A$1:$I$89,3,0)*0.475*44/12</f>
        <v>1.4740101372031227E-20</v>
      </c>
      <c r="AX162" s="21">
        <f t="shared" si="166"/>
        <v>31.46445269118572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403.99999999999989</v>
      </c>
      <c r="BE162" s="13">
        <f>BD162*VLOOKUP('Données projet'!$B$11,Paramètres!$A$1:$I$89,3,0)*VLOOKUP('Données projet'!$B$11,Paramètres!$A$1:$I$89,5,0)</f>
        <v>346.63199999999995</v>
      </c>
      <c r="BF162" s="13">
        <f t="shared" si="167"/>
        <v>80.868615263336864</v>
      </c>
      <c r="BG162" s="20">
        <f t="shared" si="168"/>
        <v>744.56357158364483</v>
      </c>
      <c r="BH162" s="59">
        <f t="shared" si="116"/>
        <v>1037.8969049169782</v>
      </c>
      <c r="BI162" s="59">
        <f ca="1">AVERAGE(OFFSET($BH$3,0,0,'Données projet'!$E$11+1,1))-AVERAGE(OFFSET($H$3,0,0,'Données projet'!$E$11+1,1))</f>
        <v>352.61091660077574</v>
      </c>
      <c r="BJ162" s="59">
        <f t="shared" si="146"/>
        <v>186.48649111821521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46.171523423776797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46.171523423776797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266.99999999999983</v>
      </c>
      <c r="BZ162" s="13">
        <f>BY162*VLOOKUP('Données projet'!$B$12,Paramètres!$A$1:$I$89,3,0)*VLOOKUP('Données projet'!$B$12,Paramètres!$A$1:$I$89,5,0)</f>
        <v>212.42519999999985</v>
      </c>
      <c r="CA162" s="13">
        <f t="shared" si="170"/>
        <v>52.465198231787184</v>
      </c>
      <c r="CB162" s="20">
        <f t="shared" si="171"/>
        <v>461.35077692036231</v>
      </c>
      <c r="CC162" s="59">
        <f t="shared" si="119"/>
        <v>754.68411025369562</v>
      </c>
      <c r="CD162" s="59">
        <f ca="1">AVERAGE(OFFSET($CC$3,0,0,'Données projet'!$E$12+1,1))-AVERAGE(OFFSET($H$3,0,0,'Données projet'!$E$12+1,1))</f>
        <v>225.2323446080772</v>
      </c>
      <c r="CE162" s="59">
        <f t="shared" si="148"/>
        <v>222.29030402759292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9.0758996248498089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9.0758996248498089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213.00000000000003</v>
      </c>
      <c r="CU162" s="17">
        <f>CT162*VLOOKUP('Données projet'!$B$13,Paramètres!$A$1:$I$89,3,0)*VLOOKUP('Données projet'!$B$13,Paramètres!$A$1:$I$89,5,0)</f>
        <v>206.01360000000005</v>
      </c>
      <c r="CV162" s="13">
        <f t="shared" si="173"/>
        <v>51.063487709141484</v>
      </c>
      <c r="CW162" s="20">
        <f t="shared" si="174"/>
        <v>447.74259442675481</v>
      </c>
      <c r="CX162" s="59">
        <f t="shared" si="122"/>
        <v>741.07592776008812</v>
      </c>
      <c r="CY162" s="59">
        <f ca="1">AVERAGE(OFFSET($CX$3,0,0,'Données projet'!$E$13+1,1))-AVERAGE(OFFSET($H$3,0,0,'Données projet'!$E$13+1,1))</f>
        <v>212.32823943192528</v>
      </c>
      <c r="CZ162" s="59">
        <f t="shared" si="150"/>
        <v>209.60834138503003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6.9157881350296133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6.9157881350296133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285.99999999999972</v>
      </c>
      <c r="DP162" s="17">
        <f>DO162*VLOOKUP('Données projet'!$B$14,Paramètres!$A$1:$I$89,3,0)*VLOOKUP('Données projet'!$B$14,Paramètres!$A$1:$I$89,5,0)</f>
        <v>223.07999999999979</v>
      </c>
      <c r="DQ162" s="13">
        <f t="shared" si="176"/>
        <v>54.783765878062617</v>
      </c>
      <c r="DR162" s="20">
        <f t="shared" si="177"/>
        <v>483.94605890429199</v>
      </c>
      <c r="DS162" s="59">
        <f t="shared" si="125"/>
        <v>777.2793922376253</v>
      </c>
      <c r="DT162" s="59">
        <f ca="1">AVERAGE(OFFSET($DS$3,0,0,'Données projet'!$E$14+1,1))-AVERAGE(OFFSET($H$3,0,0,'Données projet'!$E$14+1,1))</f>
        <v>215.84581110302656</v>
      </c>
      <c r="DU162" s="59">
        <f t="shared" si="152"/>
        <v>193.88588526156104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10.067934299436567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10.067934299436567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6">
        <f t="shared" si="110"/>
        <v>464.63011776574541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401</v>
      </c>
      <c r="O163" s="13">
        <f>N163*VLOOKUP('Données projet'!$B$9,Paramètres!$A$1:$I$89,3,0)*VLOOKUP('Données projet'!$B$9,Paramètres!$A$1:$I$89,5,0)</f>
        <v>250.22399999999999</v>
      </c>
      <c r="P163" s="13">
        <f t="shared" si="141"/>
        <v>60.633904580527918</v>
      </c>
      <c r="Q163" s="20">
        <f t="shared" si="162"/>
        <v>541.41085047775289</v>
      </c>
      <c r="R163" s="59">
        <f t="shared" si="109"/>
        <v>834.74418381108626</v>
      </c>
      <c r="S163" s="59">
        <f ca="1">AVERAGE(OFFSET($R$3,0,0,'Données projet'!$E$9+1,1))-AVERAGE(OFFSET($H$3,0,0,'Données projet'!$E$9+1,1))</f>
        <v>269.77739619445515</v>
      </c>
      <c r="T163" s="59">
        <f t="shared" si="142"/>
        <v>347.56964743629885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10.568669403660662</v>
      </c>
      <c r="AA163" s="21">
        <f>EXP(-LN(2)/25)*AA162+(1-EXP(-LN(2)/25))/(LN(2)/25)*Calculateur!V163*Calculateur!X163*VLOOKUP('Données projet'!$B$9,Paramètres!$A$1:$I$89,3,0)*0.475*44/12</f>
        <v>2.4958192778113295</v>
      </c>
      <c r="AB163" s="21">
        <f>EXP(-LN(2)/2)*AB162+(1-EXP(-LN(2)/2))/(LN(2)/2)*V163*Y163*VLOOKUP('Données projet'!$B$9,Paramètres!$A$1:$I$89,3,0)*0.475*44/12</f>
        <v>6.7324471808514613E-22</v>
      </c>
      <c r="AC163" s="22">
        <f t="shared" si="163"/>
        <v>13.064488681471992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789</v>
      </c>
      <c r="AJ163" s="13">
        <f>AI163*VLOOKUP('Données projet'!$B$10,Paramètres!$A$1:$I$89,3,0)*VLOOKUP('Données projet'!$B$10,Paramètres!$A$1:$I$89,5,0)</f>
        <v>389.76600000000002</v>
      </c>
      <c r="AK163" s="13">
        <f t="shared" si="164"/>
        <v>89.698759503620408</v>
      </c>
      <c r="AL163" s="20">
        <f t="shared" si="165"/>
        <v>835.06778946880547</v>
      </c>
      <c r="AM163" s="59">
        <f t="shared" si="113"/>
        <v>1128.4011228021388</v>
      </c>
      <c r="AN163" s="59">
        <f ca="1">AVERAGE(OFFSET($AM$3,0,0,'Données projet'!$E$10+1,1))-AVERAGE(OFFSET($H$3,0,0,'Données projet'!$E$10+1,1))</f>
        <v>396.27049617044378</v>
      </c>
      <c r="AO163" s="59">
        <f t="shared" si="144"/>
        <v>335.2680289568774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29.558443348823563</v>
      </c>
      <c r="AV163" s="21">
        <f>EXP(-LN(2)/25)*AV162+(1-EXP(-LN(2)/25))/(LN(2)/25)*Calculateur!AQ163*Calculateur!AS163*VLOOKUP('Données projet'!$B$10,Paramètres!$A$1:$I$89,3,0)*0.475*44/12</f>
        <v>1.2788398223149093</v>
      </c>
      <c r="AW163" s="21">
        <f>EXP(-LN(2)/2)*AW162+(1-EXP(-LN(2)/2))/(LN(2)/2)*AQ163*AT163*VLOOKUP('Données projet'!$B$10,Paramètres!$A$1:$I$89,3,0)*0.475*44/12</f>
        <v>1.0422825635540414E-20</v>
      </c>
      <c r="AX163" s="21">
        <f t="shared" si="166"/>
        <v>30.837283171138473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403.99999999999989</v>
      </c>
      <c r="BE163" s="13">
        <f>BD163*VLOOKUP('Données projet'!$B$11,Paramètres!$A$1:$I$89,3,0)*VLOOKUP('Données projet'!$B$11,Paramètres!$A$1:$I$89,5,0)</f>
        <v>346.63199999999995</v>
      </c>
      <c r="BF163" s="13">
        <f t="shared" si="167"/>
        <v>80.868615263336864</v>
      </c>
      <c r="BG163" s="20">
        <f t="shared" si="168"/>
        <v>744.56357158364483</v>
      </c>
      <c r="BH163" s="59">
        <f t="shared" si="116"/>
        <v>1037.8969049169782</v>
      </c>
      <c r="BI163" s="59">
        <f ca="1">AVERAGE(OFFSET($BH$3,0,0,'Données projet'!$E$11+1,1))-AVERAGE(OFFSET($H$3,0,0,'Données projet'!$E$11+1,1))</f>
        <v>352.61091660077574</v>
      </c>
      <c r="BJ163" s="59">
        <f t="shared" si="146"/>
        <v>186.48649111821521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45.266128011285069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45.266128011285069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266.99999999999983</v>
      </c>
      <c r="BZ163" s="13">
        <f>BY163*VLOOKUP('Données projet'!$B$12,Paramètres!$A$1:$I$89,3,0)*VLOOKUP('Données projet'!$B$12,Paramètres!$A$1:$I$89,5,0)</f>
        <v>212.42519999999985</v>
      </c>
      <c r="CA163" s="13">
        <f t="shared" si="170"/>
        <v>52.465198231787184</v>
      </c>
      <c r="CB163" s="20">
        <f t="shared" si="171"/>
        <v>461.35077692036231</v>
      </c>
      <c r="CC163" s="59">
        <f t="shared" si="119"/>
        <v>754.68411025369562</v>
      </c>
      <c r="CD163" s="59">
        <f ca="1">AVERAGE(OFFSET($CC$3,0,0,'Données projet'!$E$12+1,1))-AVERAGE(OFFSET($H$3,0,0,'Données projet'!$E$12+1,1))</f>
        <v>225.2323446080772</v>
      </c>
      <c r="CE163" s="59">
        <f t="shared" si="148"/>
        <v>222.29030402759292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8.8979267689586656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8.8979267689586656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213.00000000000003</v>
      </c>
      <c r="CU163" s="17">
        <f>CT163*VLOOKUP('Données projet'!$B$13,Paramètres!$A$1:$I$89,3,0)*VLOOKUP('Données projet'!$B$13,Paramètres!$A$1:$I$89,5,0)</f>
        <v>206.01360000000005</v>
      </c>
      <c r="CV163" s="13">
        <f t="shared" si="173"/>
        <v>51.063487709141484</v>
      </c>
      <c r="CW163" s="20">
        <f t="shared" si="174"/>
        <v>447.74259442675481</v>
      </c>
      <c r="CX163" s="59">
        <f t="shared" si="122"/>
        <v>741.07592776008812</v>
      </c>
      <c r="CY163" s="59">
        <f ca="1">AVERAGE(OFFSET($CX$3,0,0,'Données projet'!$E$13+1,1))-AVERAGE(OFFSET($H$3,0,0,'Données projet'!$E$13+1,1))</f>
        <v>212.32823943192528</v>
      </c>
      <c r="CZ163" s="59">
        <f t="shared" si="150"/>
        <v>209.60834138503003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6.7801737479159305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6.7801737479159305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285.99999999999972</v>
      </c>
      <c r="DP163" s="17">
        <f>DO163*VLOOKUP('Données projet'!$B$14,Paramètres!$A$1:$I$89,3,0)*VLOOKUP('Données projet'!$B$14,Paramètres!$A$1:$I$89,5,0)</f>
        <v>223.07999999999979</v>
      </c>
      <c r="DQ163" s="13">
        <f t="shared" si="176"/>
        <v>54.783765878062617</v>
      </c>
      <c r="DR163" s="20">
        <f t="shared" si="177"/>
        <v>483.94605890429199</v>
      </c>
      <c r="DS163" s="59">
        <f t="shared" si="125"/>
        <v>777.2793922376253</v>
      </c>
      <c r="DT163" s="59">
        <f ca="1">AVERAGE(OFFSET($DS$3,0,0,'Données projet'!$E$14+1,1))-AVERAGE(OFFSET($H$3,0,0,'Données projet'!$E$14+1,1))</f>
        <v>215.84581110302656</v>
      </c>
      <c r="DU163" s="59">
        <f t="shared" si="152"/>
        <v>193.88588526156104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9.8705082486581812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9.8705082486581812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6">
        <f t="shared" si="110"/>
        <v>465.67354271681944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401</v>
      </c>
      <c r="O164" s="13">
        <f>N164*VLOOKUP('Données projet'!$B$9,Paramètres!$A$1:$I$89,3,0)*VLOOKUP('Données projet'!$B$9,Paramètres!$A$1:$I$89,5,0)</f>
        <v>250.22399999999999</v>
      </c>
      <c r="P164" s="13">
        <f t="shared" si="141"/>
        <v>60.633904580527918</v>
      </c>
      <c r="Q164" s="20">
        <f t="shared" si="162"/>
        <v>541.41085047775289</v>
      </c>
      <c r="R164" s="59">
        <f t="shared" si="109"/>
        <v>834.74418381108626</v>
      </c>
      <c r="S164" s="59">
        <f ca="1">AVERAGE(OFFSET($R$3,0,0,'Données projet'!$E$9+1,1))-AVERAGE(OFFSET($H$3,0,0,'Données projet'!$E$9+1,1))</f>
        <v>269.77739619445515</v>
      </c>
      <c r="T164" s="59">
        <f t="shared" si="142"/>
        <v>347.56964743629885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10.361424242906699</v>
      </c>
      <c r="AA164" s="21">
        <f>EXP(-LN(2)/25)*AA163+(1-EXP(-LN(2)/25))/(LN(2)/25)*Calculateur!V164*Calculateur!X164*VLOOKUP('Données projet'!$B$9,Paramètres!$A$1:$I$89,3,0)*0.475*44/12</f>
        <v>2.427570968410147</v>
      </c>
      <c r="AB164" s="21">
        <f>EXP(-LN(2)/2)*AB163+(1-EXP(-LN(2)/2))/(LN(2)/2)*V164*Y164*VLOOKUP('Données projet'!$B$9,Paramètres!$A$1:$I$89,3,0)*0.475*44/12</f>
        <v>4.7605590555603229E-22</v>
      </c>
      <c r="AC164" s="22">
        <f t="shared" si="163"/>
        <v>12.788995211316845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789</v>
      </c>
      <c r="AJ164" s="13">
        <f>AI164*VLOOKUP('Données projet'!$B$10,Paramètres!$A$1:$I$89,3,0)*VLOOKUP('Données projet'!$B$10,Paramètres!$A$1:$I$89,5,0)</f>
        <v>389.76600000000002</v>
      </c>
      <c r="AK164" s="13">
        <f t="shared" si="164"/>
        <v>89.698759503620408</v>
      </c>
      <c r="AL164" s="20">
        <f t="shared" si="165"/>
        <v>835.06778946880547</v>
      </c>
      <c r="AM164" s="59">
        <f t="shared" si="113"/>
        <v>1128.4011228021388</v>
      </c>
      <c r="AN164" s="59">
        <f ca="1">AVERAGE(OFFSET($AM$3,0,0,'Données projet'!$E$10+1,1))-AVERAGE(OFFSET($H$3,0,0,'Données projet'!$E$10+1,1))</f>
        <v>396.27049617044378</v>
      </c>
      <c r="AO164" s="59">
        <f t="shared" si="144"/>
        <v>335.2680289568774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28.978820303623372</v>
      </c>
      <c r="AV164" s="21">
        <f>EXP(-LN(2)/25)*AV163+(1-EXP(-LN(2)/25))/(LN(2)/25)*Calculateur!AQ164*Calculateur!AS164*VLOOKUP('Données projet'!$B$10,Paramètres!$A$1:$I$89,3,0)*0.475*44/12</f>
        <v>1.2438698801224448</v>
      </c>
      <c r="AW164" s="21">
        <f>EXP(-LN(2)/2)*AW163+(1-EXP(-LN(2)/2))/(LN(2)/2)*AQ164*AT164*VLOOKUP('Données projet'!$B$10,Paramètres!$A$1:$I$89,3,0)*0.475*44/12</f>
        <v>7.3700506860156133E-21</v>
      </c>
      <c r="AX164" s="21">
        <f t="shared" si="166"/>
        <v>30.222690183745819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403.99999999999989</v>
      </c>
      <c r="BE164" s="13">
        <f>BD164*VLOOKUP('Données projet'!$B$11,Paramètres!$A$1:$I$89,3,0)*VLOOKUP('Données projet'!$B$11,Paramètres!$A$1:$I$89,5,0)</f>
        <v>346.63199999999995</v>
      </c>
      <c r="BF164" s="13">
        <f t="shared" si="167"/>
        <v>80.868615263336864</v>
      </c>
      <c r="BG164" s="20">
        <f t="shared" si="168"/>
        <v>744.56357158364483</v>
      </c>
      <c r="BH164" s="59">
        <f t="shared" si="116"/>
        <v>1037.8969049169782</v>
      </c>
      <c r="BI164" s="59">
        <f ca="1">AVERAGE(OFFSET($BH$3,0,0,'Données projet'!$E$11+1,1))-AVERAGE(OFFSET($H$3,0,0,'Données projet'!$E$11+1,1))</f>
        <v>352.61091660077574</v>
      </c>
      <c r="BJ164" s="59">
        <f t="shared" si="146"/>
        <v>186.48649111821521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44.378486850595635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44.378486850595635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266.99999999999983</v>
      </c>
      <c r="BZ164" s="13">
        <f>BY164*VLOOKUP('Données projet'!$B$12,Paramètres!$A$1:$I$89,3,0)*VLOOKUP('Données projet'!$B$12,Paramètres!$A$1:$I$89,5,0)</f>
        <v>212.42519999999985</v>
      </c>
      <c r="CA164" s="13">
        <f t="shared" si="170"/>
        <v>52.465198231787184</v>
      </c>
      <c r="CB164" s="20">
        <f t="shared" si="171"/>
        <v>461.35077692036231</v>
      </c>
      <c r="CC164" s="59">
        <f t="shared" si="119"/>
        <v>754.68411025369562</v>
      </c>
      <c r="CD164" s="59">
        <f ca="1">AVERAGE(OFFSET($CC$3,0,0,'Données projet'!$E$12+1,1))-AVERAGE(OFFSET($H$3,0,0,'Données projet'!$E$12+1,1))</f>
        <v>225.2323446080772</v>
      </c>
      <c r="CE164" s="59">
        <f t="shared" si="148"/>
        <v>222.29030402759292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8.7234438522188231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8.7234438522188231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213.00000000000003</v>
      </c>
      <c r="CU164" s="17">
        <f>CT164*VLOOKUP('Données projet'!$B$13,Paramètres!$A$1:$I$89,3,0)*VLOOKUP('Données projet'!$B$13,Paramètres!$A$1:$I$89,5,0)</f>
        <v>206.01360000000005</v>
      </c>
      <c r="CV164" s="13">
        <f t="shared" si="173"/>
        <v>51.063487709141484</v>
      </c>
      <c r="CW164" s="20">
        <f t="shared" si="174"/>
        <v>447.74259442675481</v>
      </c>
      <c r="CX164" s="59">
        <f t="shared" si="122"/>
        <v>741.07592776008812</v>
      </c>
      <c r="CY164" s="59">
        <f ca="1">AVERAGE(OFFSET($CX$3,0,0,'Données projet'!$E$13+1,1))-AVERAGE(OFFSET($H$3,0,0,'Données projet'!$E$13+1,1))</f>
        <v>212.32823943192528</v>
      </c>
      <c r="CZ164" s="59">
        <f t="shared" si="150"/>
        <v>209.60834138503003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6.647218676216939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6.647218676216939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285.99999999999972</v>
      </c>
      <c r="DP164" s="17">
        <f>DO164*VLOOKUP('Données projet'!$B$14,Paramètres!$A$1:$I$89,3,0)*VLOOKUP('Données projet'!$B$14,Paramètres!$A$1:$I$89,5,0)</f>
        <v>223.07999999999979</v>
      </c>
      <c r="DQ164" s="13">
        <f t="shared" si="176"/>
        <v>54.783765878062617</v>
      </c>
      <c r="DR164" s="20">
        <f t="shared" si="177"/>
        <v>483.94605890429199</v>
      </c>
      <c r="DS164" s="59">
        <f t="shared" si="125"/>
        <v>777.2793922376253</v>
      </c>
      <c r="DT164" s="59">
        <f ca="1">AVERAGE(OFFSET($DS$3,0,0,'Données projet'!$E$14+1,1))-AVERAGE(OFFSET($H$3,0,0,'Données projet'!$E$14+1,1))</f>
        <v>215.84581110302656</v>
      </c>
      <c r="DU164" s="59">
        <f t="shared" si="152"/>
        <v>193.88588526156104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9.6769536023175586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9.6769536023175586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6">
        <f t="shared" si="110"/>
        <v>466.71681901544298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401</v>
      </c>
      <c r="O165" s="13">
        <f>N165*VLOOKUP('Données projet'!$B$9,Paramètres!$A$1:$I$89,3,0)*VLOOKUP('Données projet'!$B$9,Paramètres!$A$1:$I$89,5,0)</f>
        <v>250.22399999999999</v>
      </c>
      <c r="P165" s="13">
        <f t="shared" si="141"/>
        <v>60.633904580527918</v>
      </c>
      <c r="Q165" s="20">
        <f t="shared" si="162"/>
        <v>541.41085047775289</v>
      </c>
      <c r="R165" s="59">
        <f t="shared" si="109"/>
        <v>834.74418381108626</v>
      </c>
      <c r="S165" s="59">
        <f ca="1">AVERAGE(OFFSET($R$3,0,0,'Données projet'!$E$9+1,1))-AVERAGE(OFFSET($H$3,0,0,'Données projet'!$E$9+1,1))</f>
        <v>269.77739619445515</v>
      </c>
      <c r="T165" s="59">
        <f t="shared" si="142"/>
        <v>347.56964743629885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10.158243033348054</v>
      </c>
      <c r="AA165" s="21">
        <f>EXP(-LN(2)/25)*AA164+(1-EXP(-LN(2)/25))/(LN(2)/25)*Calculateur!V165*Calculateur!X165*VLOOKUP('Données projet'!$B$9,Paramètres!$A$1:$I$89,3,0)*0.475*44/12</f>
        <v>2.3611889126185623</v>
      </c>
      <c r="AB165" s="21">
        <f>EXP(-LN(2)/2)*AB164+(1-EXP(-LN(2)/2))/(LN(2)/2)*V165*Y165*VLOOKUP('Données projet'!$B$9,Paramètres!$A$1:$I$89,3,0)*0.475*44/12</f>
        <v>3.3662235904257307E-22</v>
      </c>
      <c r="AC165" s="22">
        <f t="shared" si="163"/>
        <v>12.519431945966616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789</v>
      </c>
      <c r="AJ165" s="13">
        <f>AI165*VLOOKUP('Données projet'!$B$10,Paramètres!$A$1:$I$89,3,0)*VLOOKUP('Données projet'!$B$10,Paramètres!$A$1:$I$89,5,0)</f>
        <v>389.76600000000002</v>
      </c>
      <c r="AK165" s="13">
        <f t="shared" si="164"/>
        <v>89.698759503620408</v>
      </c>
      <c r="AL165" s="20">
        <f t="shared" si="165"/>
        <v>835.06778946880547</v>
      </c>
      <c r="AM165" s="59">
        <f t="shared" si="113"/>
        <v>1128.4011228021388</v>
      </c>
      <c r="AN165" s="59">
        <f ca="1">AVERAGE(OFFSET($AM$3,0,0,'Données projet'!$E$10+1,1))-AVERAGE(OFFSET($H$3,0,0,'Données projet'!$E$10+1,1))</f>
        <v>396.27049617044378</v>
      </c>
      <c r="AO165" s="59">
        <f t="shared" si="144"/>
        <v>335.2680289568774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28.41056331280441</v>
      </c>
      <c r="AV165" s="21">
        <f>EXP(-LN(2)/25)*AV164+(1-EXP(-LN(2)/25))/(LN(2)/25)*Calculateur!AQ165*Calculateur!AS165*VLOOKUP('Données projet'!$B$10,Paramètres!$A$1:$I$89,3,0)*0.475*44/12</f>
        <v>1.2098561928382225</v>
      </c>
      <c r="AW165" s="21">
        <f>EXP(-LN(2)/2)*AW164+(1-EXP(-LN(2)/2))/(LN(2)/2)*AQ165*AT165*VLOOKUP('Données projet'!$B$10,Paramètres!$A$1:$I$89,3,0)*0.475*44/12</f>
        <v>5.2114128177702068E-21</v>
      </c>
      <c r="AX165" s="21">
        <f t="shared" si="166"/>
        <v>29.620419505642634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403.99999999999989</v>
      </c>
      <c r="BE165" s="13">
        <f>BD165*VLOOKUP('Données projet'!$B$11,Paramètres!$A$1:$I$89,3,0)*VLOOKUP('Données projet'!$B$11,Paramètres!$A$1:$I$89,5,0)</f>
        <v>346.63199999999995</v>
      </c>
      <c r="BF165" s="13">
        <f t="shared" si="167"/>
        <v>80.868615263336864</v>
      </c>
      <c r="BG165" s="20">
        <f t="shared" si="168"/>
        <v>744.56357158364483</v>
      </c>
      <c r="BH165" s="59">
        <f t="shared" si="116"/>
        <v>1037.8969049169782</v>
      </c>
      <c r="BI165" s="59">
        <f ca="1">AVERAGE(OFFSET($BH$3,0,0,'Données projet'!$E$11+1,1))-AVERAGE(OFFSET($H$3,0,0,'Données projet'!$E$11+1,1))</f>
        <v>352.61091660077574</v>
      </c>
      <c r="BJ165" s="59">
        <f t="shared" si="146"/>
        <v>186.48649111821521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43.508251791659667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43.508251791659667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266.99999999999983</v>
      </c>
      <c r="BZ165" s="13">
        <f>BY165*VLOOKUP('Données projet'!$B$12,Paramètres!$A$1:$I$89,3,0)*VLOOKUP('Données projet'!$B$12,Paramètres!$A$1:$I$89,5,0)</f>
        <v>212.42519999999985</v>
      </c>
      <c r="CA165" s="13">
        <f t="shared" si="170"/>
        <v>52.465198231787184</v>
      </c>
      <c r="CB165" s="20">
        <f t="shared" si="171"/>
        <v>461.35077692036231</v>
      </c>
      <c r="CC165" s="59">
        <f t="shared" si="119"/>
        <v>754.68411025369562</v>
      </c>
      <c r="CD165" s="59">
        <f ca="1">AVERAGE(OFFSET($CC$3,0,0,'Données projet'!$E$12+1,1))-AVERAGE(OFFSET($H$3,0,0,'Données projet'!$E$12+1,1))</f>
        <v>225.2323446080772</v>
      </c>
      <c r="CE165" s="59">
        <f t="shared" si="148"/>
        <v>222.29030402759292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8.5523824390521792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8.5523824390521792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213.00000000000003</v>
      </c>
      <c r="CU165" s="17">
        <f>CT165*VLOOKUP('Données projet'!$B$13,Paramètres!$A$1:$I$89,3,0)*VLOOKUP('Données projet'!$B$13,Paramètres!$A$1:$I$89,5,0)</f>
        <v>206.01360000000005</v>
      </c>
      <c r="CV165" s="13">
        <f t="shared" si="173"/>
        <v>51.063487709141484</v>
      </c>
      <c r="CW165" s="20">
        <f t="shared" si="174"/>
        <v>447.74259442675481</v>
      </c>
      <c r="CX165" s="59">
        <f t="shared" si="122"/>
        <v>741.07592776008812</v>
      </c>
      <c r="CY165" s="59">
        <f ca="1">AVERAGE(OFFSET($CX$3,0,0,'Données projet'!$E$13+1,1))-AVERAGE(OFFSET($H$3,0,0,'Données projet'!$E$13+1,1))</f>
        <v>212.32823943192528</v>
      </c>
      <c r="CZ165" s="59">
        <f t="shared" si="150"/>
        <v>209.60834138503003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6.5168707723793782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6.5168707723793782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285.99999999999972</v>
      </c>
      <c r="DP165" s="17">
        <f>DO165*VLOOKUP('Données projet'!$B$14,Paramètres!$A$1:$I$89,3,0)*VLOOKUP('Données projet'!$B$14,Paramètres!$A$1:$I$89,5,0)</f>
        <v>223.07999999999979</v>
      </c>
      <c r="DQ165" s="13">
        <f t="shared" si="176"/>
        <v>54.783765878062617</v>
      </c>
      <c r="DR165" s="20">
        <f t="shared" si="177"/>
        <v>483.94605890429199</v>
      </c>
      <c r="DS165" s="59">
        <f t="shared" si="125"/>
        <v>777.2793922376253</v>
      </c>
      <c r="DT165" s="59">
        <f ca="1">AVERAGE(OFFSET($DS$3,0,0,'Données projet'!$E$14+1,1))-AVERAGE(OFFSET($H$3,0,0,'Données projet'!$E$14+1,1))</f>
        <v>215.84581110302656</v>
      </c>
      <c r="DU165" s="59">
        <f t="shared" si="152"/>
        <v>193.88588526156104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9.4871944445349996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9.4871944445349996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6">
        <f t="shared" si="110"/>
        <v>467.75994768567836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401</v>
      </c>
      <c r="O166" s="13">
        <f>N166*VLOOKUP('Données projet'!$B$9,Paramètres!$A$1:$I$89,3,0)*VLOOKUP('Données projet'!$B$9,Paramètres!$A$1:$I$89,5,0)</f>
        <v>250.22399999999999</v>
      </c>
      <c r="P166" s="13">
        <f t="shared" si="141"/>
        <v>60.633904580527918</v>
      </c>
      <c r="Q166" s="20">
        <f t="shared" si="162"/>
        <v>541.41085047775289</v>
      </c>
      <c r="R166" s="59">
        <f t="shared" si="109"/>
        <v>834.74418381108626</v>
      </c>
      <c r="S166" s="59">
        <f ca="1">AVERAGE(OFFSET($R$3,0,0,'Données projet'!$E$9+1,1))-AVERAGE(OFFSET($H$3,0,0,'Données projet'!$E$9+1,1))</f>
        <v>269.77739619445515</v>
      </c>
      <c r="T166" s="59">
        <f t="shared" si="142"/>
        <v>347.56964743629885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9.959046083380553</v>
      </c>
      <c r="AA166" s="21">
        <f>EXP(-LN(2)/25)*AA165+(1-EXP(-LN(2)/25))/(LN(2)/25)*Calculateur!V166*Calculateur!X166*VLOOKUP('Données projet'!$B$9,Paramètres!$A$1:$I$89,3,0)*0.475*44/12</f>
        <v>2.2966220776334794</v>
      </c>
      <c r="AB166" s="21">
        <f>EXP(-LN(2)/2)*AB165+(1-EXP(-LN(2)/2))/(LN(2)/2)*V166*Y166*VLOOKUP('Données projet'!$B$9,Paramètres!$A$1:$I$89,3,0)*0.475*44/12</f>
        <v>2.3802795277801615E-22</v>
      </c>
      <c r="AC166" s="22">
        <f t="shared" si="163"/>
        <v>12.255668161014032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789</v>
      </c>
      <c r="AJ166" s="13">
        <f>AI166*VLOOKUP('Données projet'!$B$10,Paramètres!$A$1:$I$89,3,0)*VLOOKUP('Données projet'!$B$10,Paramètres!$A$1:$I$89,5,0)</f>
        <v>389.76600000000002</v>
      </c>
      <c r="AK166" s="13">
        <f t="shared" si="164"/>
        <v>89.698759503620408</v>
      </c>
      <c r="AL166" s="20">
        <f t="shared" si="165"/>
        <v>835.06778946880547</v>
      </c>
      <c r="AM166" s="59">
        <f t="shared" si="113"/>
        <v>1128.4011228021388</v>
      </c>
      <c r="AN166" s="59">
        <f ca="1">AVERAGE(OFFSET($AM$3,0,0,'Données projet'!$E$10+1,1))-AVERAGE(OFFSET($H$3,0,0,'Données projet'!$E$10+1,1))</f>
        <v>396.27049617044378</v>
      </c>
      <c r="AO166" s="59">
        <f t="shared" si="144"/>
        <v>335.2680289568774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27.853449494972867</v>
      </c>
      <c r="AV166" s="21">
        <f>EXP(-LN(2)/25)*AV165+(1-EXP(-LN(2)/25))/(LN(2)/25)*Calculateur!AQ166*Calculateur!AS166*VLOOKUP('Données projet'!$B$10,Paramètres!$A$1:$I$89,3,0)*0.475*44/12</f>
        <v>1.1767726116214894</v>
      </c>
      <c r="AW166" s="21">
        <f>EXP(-LN(2)/2)*AW165+(1-EXP(-LN(2)/2))/(LN(2)/2)*AQ166*AT166*VLOOKUP('Données projet'!$B$10,Paramètres!$A$1:$I$89,3,0)*0.475*44/12</f>
        <v>3.6850253430078067E-21</v>
      </c>
      <c r="AX166" s="21">
        <f t="shared" si="166"/>
        <v>29.030222106594358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403.99999999999989</v>
      </c>
      <c r="BE166" s="13">
        <f>BD166*VLOOKUP('Données projet'!$B$11,Paramètres!$A$1:$I$89,3,0)*VLOOKUP('Données projet'!$B$11,Paramètres!$A$1:$I$89,5,0)</f>
        <v>346.63199999999995</v>
      </c>
      <c r="BF166" s="13">
        <f t="shared" si="167"/>
        <v>80.868615263336864</v>
      </c>
      <c r="BG166" s="20">
        <f t="shared" si="168"/>
        <v>744.56357158364483</v>
      </c>
      <c r="BH166" s="59">
        <f t="shared" si="116"/>
        <v>1037.8969049169782</v>
      </c>
      <c r="BI166" s="59">
        <f ca="1">AVERAGE(OFFSET($BH$3,0,0,'Données projet'!$E$11+1,1))-AVERAGE(OFFSET($H$3,0,0,'Données projet'!$E$11+1,1))</f>
        <v>352.61091660077574</v>
      </c>
      <c r="BJ166" s="59">
        <f t="shared" si="146"/>
        <v>186.48649111821521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42.65508151143846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42.65508151143846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266.99999999999983</v>
      </c>
      <c r="BZ166" s="13">
        <f>BY166*VLOOKUP('Données projet'!$B$12,Paramètres!$A$1:$I$89,3,0)*VLOOKUP('Données projet'!$B$12,Paramètres!$A$1:$I$89,5,0)</f>
        <v>212.42519999999985</v>
      </c>
      <c r="CA166" s="13">
        <f t="shared" si="170"/>
        <v>52.465198231787184</v>
      </c>
      <c r="CB166" s="20">
        <f t="shared" si="171"/>
        <v>461.35077692036231</v>
      </c>
      <c r="CC166" s="59">
        <f t="shared" si="119"/>
        <v>754.68411025369562</v>
      </c>
      <c r="CD166" s="59">
        <f ca="1">AVERAGE(OFFSET($CC$3,0,0,'Données projet'!$E$12+1,1))-AVERAGE(OFFSET($H$3,0,0,'Données projet'!$E$12+1,1))</f>
        <v>225.2323446080772</v>
      </c>
      <c r="CE166" s="59">
        <f t="shared" si="148"/>
        <v>222.29030402759292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8.384675435860574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8.384675435860574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213.00000000000003</v>
      </c>
      <c r="CU166" s="17">
        <f>CT166*VLOOKUP('Données projet'!$B$13,Paramètres!$A$1:$I$89,3,0)*VLOOKUP('Données projet'!$B$13,Paramètres!$A$1:$I$89,5,0)</f>
        <v>206.01360000000005</v>
      </c>
      <c r="CV166" s="13">
        <f t="shared" si="173"/>
        <v>51.063487709141484</v>
      </c>
      <c r="CW166" s="20">
        <f t="shared" si="174"/>
        <v>447.74259442675481</v>
      </c>
      <c r="CX166" s="59">
        <f t="shared" si="122"/>
        <v>741.07592776008812</v>
      </c>
      <c r="CY166" s="59">
        <f ca="1">AVERAGE(OFFSET($CX$3,0,0,'Données projet'!$E$13+1,1))-AVERAGE(OFFSET($H$3,0,0,'Données projet'!$E$13+1,1))</f>
        <v>212.32823943192528</v>
      </c>
      <c r="CZ166" s="59">
        <f t="shared" si="150"/>
        <v>209.60834138503003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6.3890789114317013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6.3890789114317013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285.99999999999972</v>
      </c>
      <c r="DP166" s="17">
        <f>DO166*VLOOKUP('Données projet'!$B$14,Paramètres!$A$1:$I$89,3,0)*VLOOKUP('Données projet'!$B$14,Paramètres!$A$1:$I$89,5,0)</f>
        <v>223.07999999999979</v>
      </c>
      <c r="DQ166" s="13">
        <f t="shared" si="176"/>
        <v>54.783765878062617</v>
      </c>
      <c r="DR166" s="20">
        <f t="shared" si="177"/>
        <v>483.94605890429199</v>
      </c>
      <c r="DS166" s="59">
        <f t="shared" si="125"/>
        <v>777.2793922376253</v>
      </c>
      <c r="DT166" s="59">
        <f ca="1">AVERAGE(OFFSET($DS$3,0,0,'Données projet'!$E$14+1,1))-AVERAGE(OFFSET($H$3,0,0,'Données projet'!$E$14+1,1))</f>
        <v>215.84581110302656</v>
      </c>
      <c r="DU166" s="59">
        <f t="shared" si="152"/>
        <v>193.88588526156104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9.3011563480948976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9.3011563480948976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6">
        <f t="shared" si="110"/>
        <v>468.80292973829592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401</v>
      </c>
      <c r="O167" s="13">
        <f>N167*VLOOKUP('Données projet'!$B$9,Paramètres!$A$1:$I$89,3,0)*VLOOKUP('Données projet'!$B$9,Paramètres!$A$1:$I$89,5,0)</f>
        <v>250.22399999999999</v>
      </c>
      <c r="P167" s="13">
        <f t="shared" si="141"/>
        <v>60.633904580527918</v>
      </c>
      <c r="Q167" s="20">
        <f t="shared" si="162"/>
        <v>541.41085047775289</v>
      </c>
      <c r="R167" s="59">
        <f t="shared" si="109"/>
        <v>834.74418381108626</v>
      </c>
      <c r="S167" s="59">
        <f ca="1">AVERAGE(OFFSET($R$3,0,0,'Données projet'!$E$9+1,1))-AVERAGE(OFFSET($H$3,0,0,'Données projet'!$E$9+1,1))</f>
        <v>269.77739619445515</v>
      </c>
      <c r="T167" s="59">
        <f t="shared" si="142"/>
        <v>347.56964743629885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9.7637552641037715</v>
      </c>
      <c r="AA167" s="21">
        <f>EXP(-LN(2)/25)*AA166+(1-EXP(-LN(2)/25))/(LN(2)/25)*Calculateur!V167*Calculateur!X167*VLOOKUP('Données projet'!$B$9,Paramètres!$A$1:$I$89,3,0)*0.475*44/12</f>
        <v>2.233820826146486</v>
      </c>
      <c r="AB167" s="21">
        <f>EXP(-LN(2)/2)*AB166+(1-EXP(-LN(2)/2))/(LN(2)/2)*V167*Y167*VLOOKUP('Données projet'!$B$9,Paramètres!$A$1:$I$89,3,0)*0.475*44/12</f>
        <v>1.6831117952128653E-22</v>
      </c>
      <c r="AC167" s="22">
        <f t="shared" si="163"/>
        <v>11.997576090250258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789</v>
      </c>
      <c r="AJ167" s="13">
        <f>AI167*VLOOKUP('Données projet'!$B$10,Paramètres!$A$1:$I$89,3,0)*VLOOKUP('Données projet'!$B$10,Paramètres!$A$1:$I$89,5,0)</f>
        <v>389.76600000000002</v>
      </c>
      <c r="AK167" s="13">
        <f t="shared" si="164"/>
        <v>89.698759503620408</v>
      </c>
      <c r="AL167" s="20">
        <f t="shared" si="165"/>
        <v>835.06778946880547</v>
      </c>
      <c r="AM167" s="59">
        <f t="shared" si="113"/>
        <v>1128.4011228021388</v>
      </c>
      <c r="AN167" s="59">
        <f ca="1">AVERAGE(OFFSET($AM$3,0,0,'Données projet'!$E$10+1,1))-AVERAGE(OFFSET($H$3,0,0,'Données projet'!$E$10+1,1))</f>
        <v>396.27049617044378</v>
      </c>
      <c r="AO167" s="59">
        <f t="shared" si="144"/>
        <v>335.2680289568774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27.307260339303124</v>
      </c>
      <c r="AV167" s="21">
        <f>EXP(-LN(2)/25)*AV166+(1-EXP(-LN(2)/25))/(LN(2)/25)*Calculateur!AQ167*Calculateur!AS167*VLOOKUP('Données projet'!$B$10,Paramètres!$A$1:$I$89,3,0)*0.475*44/12</f>
        <v>1.1445937026729176</v>
      </c>
      <c r="AW167" s="21">
        <f>EXP(-LN(2)/2)*AW166+(1-EXP(-LN(2)/2))/(LN(2)/2)*AQ167*AT167*VLOOKUP('Données projet'!$B$10,Paramètres!$A$1:$I$89,3,0)*0.475*44/12</f>
        <v>2.6057064088851034E-21</v>
      </c>
      <c r="AX167" s="21">
        <f t="shared" si="166"/>
        <v>28.451854041976041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403.99999999999989</v>
      </c>
      <c r="BE167" s="13">
        <f>BD167*VLOOKUP('Données projet'!$B$11,Paramètres!$A$1:$I$89,3,0)*VLOOKUP('Données projet'!$B$11,Paramètres!$A$1:$I$89,5,0)</f>
        <v>346.63199999999995</v>
      </c>
      <c r="BF167" s="13">
        <f t="shared" si="167"/>
        <v>80.868615263336864</v>
      </c>
      <c r="BG167" s="20">
        <f t="shared" si="168"/>
        <v>744.56357158364483</v>
      </c>
      <c r="BH167" s="59">
        <f t="shared" si="116"/>
        <v>1037.8969049169782</v>
      </c>
      <c r="BI167" s="59">
        <f ca="1">AVERAGE(OFFSET($BH$3,0,0,'Données projet'!$E$11+1,1))-AVERAGE(OFFSET($H$3,0,0,'Données projet'!$E$11+1,1))</f>
        <v>352.61091660077574</v>
      </c>
      <c r="BJ167" s="59">
        <f t="shared" si="146"/>
        <v>186.48649111821521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41.818641380029909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41.818641380029909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266.99999999999983</v>
      </c>
      <c r="BZ167" s="13">
        <f>BY167*VLOOKUP('Données projet'!$B$12,Paramètres!$A$1:$I$89,3,0)*VLOOKUP('Données projet'!$B$12,Paramètres!$A$1:$I$89,5,0)</f>
        <v>212.42519999999985</v>
      </c>
      <c r="CA167" s="13">
        <f t="shared" si="170"/>
        <v>52.465198231787184</v>
      </c>
      <c r="CB167" s="20">
        <f t="shared" si="171"/>
        <v>461.35077692036231</v>
      </c>
      <c r="CC167" s="59">
        <f t="shared" si="119"/>
        <v>754.68411025369562</v>
      </c>
      <c r="CD167" s="59">
        <f ca="1">AVERAGE(OFFSET($CC$3,0,0,'Données projet'!$E$12+1,1))-AVERAGE(OFFSET($H$3,0,0,'Données projet'!$E$12+1,1))</f>
        <v>225.2323446080772</v>
      </c>
      <c r="CE167" s="59">
        <f t="shared" si="148"/>
        <v>222.29030402759292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8.2202570647103848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8.2202570647103848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213.00000000000003</v>
      </c>
      <c r="CU167" s="17">
        <f>CT167*VLOOKUP('Données projet'!$B$13,Paramètres!$A$1:$I$89,3,0)*VLOOKUP('Données projet'!$B$13,Paramètres!$A$1:$I$89,5,0)</f>
        <v>206.01360000000005</v>
      </c>
      <c r="CV167" s="13">
        <f t="shared" si="173"/>
        <v>51.063487709141484</v>
      </c>
      <c r="CW167" s="20">
        <f t="shared" si="174"/>
        <v>447.74259442675481</v>
      </c>
      <c r="CX167" s="59">
        <f t="shared" si="122"/>
        <v>741.07592776008812</v>
      </c>
      <c r="CY167" s="59">
        <f ca="1">AVERAGE(OFFSET($CX$3,0,0,'Données projet'!$E$13+1,1))-AVERAGE(OFFSET($H$3,0,0,'Données projet'!$E$13+1,1))</f>
        <v>212.32823943192528</v>
      </c>
      <c r="CZ167" s="59">
        <f t="shared" si="150"/>
        <v>209.60834138503003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6.2637929709318696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6.2637929709318696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285.99999999999972</v>
      </c>
      <c r="DP167" s="17">
        <f>DO167*VLOOKUP('Données projet'!$B$14,Paramètres!$A$1:$I$89,3,0)*VLOOKUP('Données projet'!$B$14,Paramètres!$A$1:$I$89,5,0)</f>
        <v>223.07999999999979</v>
      </c>
      <c r="DQ167" s="13">
        <f t="shared" si="176"/>
        <v>54.783765878062617</v>
      </c>
      <c r="DR167" s="20">
        <f t="shared" si="177"/>
        <v>483.94605890429199</v>
      </c>
      <c r="DS167" s="59">
        <f t="shared" si="125"/>
        <v>777.2793922376253</v>
      </c>
      <c r="DT167" s="59">
        <f ca="1">AVERAGE(OFFSET($DS$3,0,0,'Données projet'!$E$14+1,1))-AVERAGE(OFFSET($H$3,0,0,'Données projet'!$E$14+1,1))</f>
        <v>215.84581110302656</v>
      </c>
      <c r="DU167" s="59">
        <f t="shared" si="152"/>
        <v>193.88588526156104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9.1187663452539525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9.1187663452539525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6">
        <f t="shared" si="110"/>
        <v>469.8457661710267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401</v>
      </c>
      <c r="O168" s="13">
        <f>N168*VLOOKUP('Données projet'!$B$9,Paramètres!$A$1:$I$89,3,0)*VLOOKUP('Données projet'!$B$9,Paramètres!$A$1:$I$89,5,0)</f>
        <v>250.22399999999999</v>
      </c>
      <c r="P168" s="13">
        <f t="shared" si="141"/>
        <v>60.633904580527918</v>
      </c>
      <c r="Q168" s="20">
        <f t="shared" si="162"/>
        <v>541.41085047775289</v>
      </c>
      <c r="R168" s="59">
        <f t="shared" si="109"/>
        <v>834.74418381108626</v>
      </c>
      <c r="S168" s="59">
        <f ca="1">AVERAGE(OFFSET($R$3,0,0,'Données projet'!$E$9+1,1))-AVERAGE(OFFSET($H$3,0,0,'Données projet'!$E$9+1,1))</f>
        <v>269.77739619445515</v>
      </c>
      <c r="T168" s="59">
        <f t="shared" si="142"/>
        <v>347.56964743629885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9.5722939786773704</v>
      </c>
      <c r="AA168" s="21">
        <f>EXP(-LN(2)/25)*AA167+(1-EXP(-LN(2)/25))/(LN(2)/25)*Calculateur!V168*Calculateur!X168*VLOOKUP('Données projet'!$B$9,Paramètres!$A$1:$I$89,3,0)*0.475*44/12</f>
        <v>2.1727368781839784</v>
      </c>
      <c r="AB168" s="21">
        <f>EXP(-LN(2)/2)*AB167+(1-EXP(-LN(2)/2))/(LN(2)/2)*V168*Y168*VLOOKUP('Données projet'!$B$9,Paramètres!$A$1:$I$89,3,0)*0.475*44/12</f>
        <v>1.1901397638900807E-22</v>
      </c>
      <c r="AC168" s="22">
        <f t="shared" si="163"/>
        <v>11.745030856861348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789</v>
      </c>
      <c r="AJ168" s="13">
        <f>AI168*VLOOKUP('Données projet'!$B$10,Paramètres!$A$1:$I$89,3,0)*VLOOKUP('Données projet'!$B$10,Paramètres!$A$1:$I$89,5,0)</f>
        <v>389.76600000000002</v>
      </c>
      <c r="AK168" s="13">
        <f t="shared" si="164"/>
        <v>89.698759503620408</v>
      </c>
      <c r="AL168" s="20">
        <f t="shared" si="165"/>
        <v>835.06778946880547</v>
      </c>
      <c r="AM168" s="59">
        <f t="shared" si="113"/>
        <v>1128.4011228021388</v>
      </c>
      <c r="AN168" s="59">
        <f ca="1">AVERAGE(OFFSET($AM$3,0,0,'Données projet'!$E$10+1,1))-AVERAGE(OFFSET($H$3,0,0,'Données projet'!$E$10+1,1))</f>
        <v>396.27049617044378</v>
      </c>
      <c r="AO168" s="59">
        <f t="shared" si="144"/>
        <v>335.2680289568774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26.771781619833575</v>
      </c>
      <c r="AV168" s="21">
        <f>EXP(-LN(2)/25)*AV167+(1-EXP(-LN(2)/25))/(LN(2)/25)*Calculateur!AQ168*Calculateur!AS168*VLOOKUP('Données projet'!$B$10,Paramètres!$A$1:$I$89,3,0)*0.475*44/12</f>
        <v>1.1132947276817597</v>
      </c>
      <c r="AW168" s="21">
        <f>EXP(-LN(2)/2)*AW167+(1-EXP(-LN(2)/2))/(LN(2)/2)*AQ168*AT168*VLOOKUP('Données projet'!$B$10,Paramètres!$A$1:$I$89,3,0)*0.475*44/12</f>
        <v>1.8425126715039033E-21</v>
      </c>
      <c r="AX168" s="21">
        <f t="shared" si="166"/>
        <v>27.885076347515334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403.99999999999989</v>
      </c>
      <c r="BE168" s="13">
        <f>BD168*VLOOKUP('Données projet'!$B$11,Paramètres!$A$1:$I$89,3,0)*VLOOKUP('Données projet'!$B$11,Paramètres!$A$1:$I$89,5,0)</f>
        <v>346.63199999999995</v>
      </c>
      <c r="BF168" s="13">
        <f t="shared" si="167"/>
        <v>80.868615263336864</v>
      </c>
      <c r="BG168" s="20">
        <f t="shared" si="168"/>
        <v>744.56357158364483</v>
      </c>
      <c r="BH168" s="59">
        <f t="shared" si="116"/>
        <v>1037.8969049169782</v>
      </c>
      <c r="BI168" s="59">
        <f ca="1">AVERAGE(OFFSET($BH$3,0,0,'Données projet'!$E$11+1,1))-AVERAGE(OFFSET($H$3,0,0,'Données projet'!$E$11+1,1))</f>
        <v>352.61091660077574</v>
      </c>
      <c r="BJ168" s="59">
        <f t="shared" si="146"/>
        <v>186.48649111821521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40.99860332942017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40.99860332942017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266.99999999999983</v>
      </c>
      <c r="BZ168" s="13">
        <f>BY168*VLOOKUP('Données projet'!$B$12,Paramètres!$A$1:$I$89,3,0)*VLOOKUP('Données projet'!$B$12,Paramètres!$A$1:$I$89,5,0)</f>
        <v>212.42519999999985</v>
      </c>
      <c r="CA168" s="13">
        <f t="shared" si="170"/>
        <v>52.465198231787184</v>
      </c>
      <c r="CB168" s="20">
        <f t="shared" si="171"/>
        <v>461.35077692036231</v>
      </c>
      <c r="CC168" s="59">
        <f t="shared" si="119"/>
        <v>754.68411025369562</v>
      </c>
      <c r="CD168" s="59">
        <f ca="1">AVERAGE(OFFSET($CC$3,0,0,'Données projet'!$E$12+1,1))-AVERAGE(OFFSET($H$3,0,0,'Données projet'!$E$12+1,1))</f>
        <v>225.2323446080772</v>
      </c>
      <c r="CE168" s="59">
        <f t="shared" si="148"/>
        <v>222.29030402759292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8.0590628375331459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8.0590628375331459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213.00000000000003</v>
      </c>
      <c r="CU168" s="17">
        <f>CT168*VLOOKUP('Données projet'!$B$13,Paramètres!$A$1:$I$89,3,0)*VLOOKUP('Données projet'!$B$13,Paramètres!$A$1:$I$89,5,0)</f>
        <v>206.01360000000005</v>
      </c>
      <c r="CV168" s="13">
        <f t="shared" si="173"/>
        <v>51.063487709141484</v>
      </c>
      <c r="CW168" s="20">
        <f t="shared" si="174"/>
        <v>447.74259442675481</v>
      </c>
      <c r="CX168" s="59">
        <f t="shared" si="122"/>
        <v>741.07592776008812</v>
      </c>
      <c r="CY168" s="59">
        <f ca="1">AVERAGE(OFFSET($CX$3,0,0,'Données projet'!$E$13+1,1))-AVERAGE(OFFSET($H$3,0,0,'Données projet'!$E$13+1,1))</f>
        <v>212.32823943192528</v>
      </c>
      <c r="CZ168" s="59">
        <f t="shared" si="150"/>
        <v>209.60834138503003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6.1409638113083611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6.1409638113083611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285.99999999999972</v>
      </c>
      <c r="DP168" s="17">
        <f>DO168*VLOOKUP('Données projet'!$B$14,Paramètres!$A$1:$I$89,3,0)*VLOOKUP('Données projet'!$B$14,Paramètres!$A$1:$I$89,5,0)</f>
        <v>223.07999999999979</v>
      </c>
      <c r="DQ168" s="13">
        <f t="shared" si="176"/>
        <v>54.783765878062617</v>
      </c>
      <c r="DR168" s="20">
        <f t="shared" si="177"/>
        <v>483.94605890429199</v>
      </c>
      <c r="DS168" s="59">
        <f t="shared" si="125"/>
        <v>777.2793922376253</v>
      </c>
      <c r="DT168" s="59">
        <f ca="1">AVERAGE(OFFSET($DS$3,0,0,'Données projet'!$E$14+1,1))-AVERAGE(OFFSET($H$3,0,0,'Données projet'!$E$14+1,1))</f>
        <v>215.84581110302656</v>
      </c>
      <c r="DU168" s="59">
        <f t="shared" si="152"/>
        <v>193.88588526156104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8.9399528991218009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8.9399528991218009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6">
        <f t="shared" si="110"/>
        <v>470.88845796880821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401</v>
      </c>
      <c r="O169" s="13">
        <f>N169*VLOOKUP('Données projet'!$B$9,Paramètres!$A$1:$I$89,3,0)*VLOOKUP('Données projet'!$B$9,Paramètres!$A$1:$I$89,5,0)</f>
        <v>250.22399999999999</v>
      </c>
      <c r="P169" s="13">
        <f t="shared" si="141"/>
        <v>60.633904580527918</v>
      </c>
      <c r="Q169" s="20">
        <f t="shared" si="162"/>
        <v>541.41085047775289</v>
      </c>
      <c r="R169" s="59">
        <f t="shared" si="109"/>
        <v>834.74418381108626</v>
      </c>
      <c r="S169" s="59">
        <f ca="1">AVERAGE(OFFSET($R$3,0,0,'Données projet'!$E$9+1,1))-AVERAGE(OFFSET($H$3,0,0,'Données projet'!$E$9+1,1))</f>
        <v>269.77739619445515</v>
      </c>
      <c r="T169" s="59">
        <f t="shared" si="142"/>
        <v>347.56964743629885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9.3845871322783285</v>
      </c>
      <c r="AA169" s="21">
        <f>EXP(-LN(2)/25)*AA168+(1-EXP(-LN(2)/25))/(LN(2)/25)*Calculateur!V169*Calculateur!X169*VLOOKUP('Données projet'!$B$9,Paramètres!$A$1:$I$89,3,0)*0.475*44/12</f>
        <v>2.1133232739907708</v>
      </c>
      <c r="AB169" s="21">
        <f>EXP(-LN(2)/2)*AB168+(1-EXP(-LN(2)/2))/(LN(2)/2)*V169*Y169*VLOOKUP('Données projet'!$B$9,Paramètres!$A$1:$I$89,3,0)*0.475*44/12</f>
        <v>8.4155589760643267E-23</v>
      </c>
      <c r="AC169" s="22">
        <f t="shared" si="163"/>
        <v>11.497910406269099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789</v>
      </c>
      <c r="AJ169" s="13">
        <f>AI169*VLOOKUP('Données projet'!$B$10,Paramètres!$A$1:$I$89,3,0)*VLOOKUP('Données projet'!$B$10,Paramètres!$A$1:$I$89,5,0)</f>
        <v>389.76600000000002</v>
      </c>
      <c r="AK169" s="13">
        <f t="shared" si="164"/>
        <v>89.698759503620408</v>
      </c>
      <c r="AL169" s="20">
        <f t="shared" si="165"/>
        <v>835.06778946880547</v>
      </c>
      <c r="AM169" s="59">
        <f t="shared" si="113"/>
        <v>1128.4011228021388</v>
      </c>
      <c r="AN169" s="59">
        <f ca="1">AVERAGE(OFFSET($AM$3,0,0,'Données projet'!$E$10+1,1))-AVERAGE(OFFSET($H$3,0,0,'Données projet'!$E$10+1,1))</f>
        <v>396.27049617044378</v>
      </c>
      <c r="AO169" s="59">
        <f t="shared" si="144"/>
        <v>335.2680289568774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26.246803311443056</v>
      </c>
      <c r="AV169" s="21">
        <f>EXP(-LN(2)/25)*AV168+(1-EXP(-LN(2)/25))/(LN(2)/25)*Calculateur!AQ169*Calculateur!AS169*VLOOKUP('Données projet'!$B$10,Paramètres!$A$1:$I$89,3,0)*0.475*44/12</f>
        <v>1.0828516248076767</v>
      </c>
      <c r="AW169" s="21">
        <f>EXP(-LN(2)/2)*AW168+(1-EXP(-LN(2)/2))/(LN(2)/2)*AQ169*AT169*VLOOKUP('Données projet'!$B$10,Paramètres!$A$1:$I$89,3,0)*0.475*44/12</f>
        <v>1.3028532044425517E-21</v>
      </c>
      <c r="AX169" s="21">
        <f t="shared" si="166"/>
        <v>27.329654936250733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403.99999999999989</v>
      </c>
      <c r="BE169" s="13">
        <f>BD169*VLOOKUP('Données projet'!$B$11,Paramètres!$A$1:$I$89,3,0)*VLOOKUP('Données projet'!$B$11,Paramètres!$A$1:$I$89,5,0)</f>
        <v>346.63199999999995</v>
      </c>
      <c r="BF169" s="13">
        <f t="shared" si="167"/>
        <v>80.868615263336864</v>
      </c>
      <c r="BG169" s="20">
        <f t="shared" si="168"/>
        <v>744.56357158364483</v>
      </c>
      <c r="BH169" s="59">
        <f t="shared" si="116"/>
        <v>1037.8969049169782</v>
      </c>
      <c r="BI169" s="59">
        <f ca="1">AVERAGE(OFFSET($BH$3,0,0,'Données projet'!$E$11+1,1))-AVERAGE(OFFSET($H$3,0,0,'Données projet'!$E$11+1,1))</f>
        <v>352.61091660077574</v>
      </c>
      <c r="BJ169" s="59">
        <f t="shared" si="146"/>
        <v>186.48649111821521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40.194645724809064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40.194645724809064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266.99999999999983</v>
      </c>
      <c r="BZ169" s="13">
        <f>BY169*VLOOKUP('Données projet'!$B$12,Paramètres!$A$1:$I$89,3,0)*VLOOKUP('Données projet'!$B$12,Paramètres!$A$1:$I$89,5,0)</f>
        <v>212.42519999999985</v>
      </c>
      <c r="CA169" s="13">
        <f t="shared" si="170"/>
        <v>52.465198231787184</v>
      </c>
      <c r="CB169" s="20">
        <f t="shared" si="171"/>
        <v>461.35077692036231</v>
      </c>
      <c r="CC169" s="59">
        <f t="shared" si="119"/>
        <v>754.68411025369562</v>
      </c>
      <c r="CD169" s="59">
        <f ca="1">AVERAGE(OFFSET($CC$3,0,0,'Données projet'!$E$12+1,1))-AVERAGE(OFFSET($H$3,0,0,'Données projet'!$E$12+1,1))</f>
        <v>225.2323446080772</v>
      </c>
      <c r="CE169" s="59">
        <f t="shared" si="148"/>
        <v>222.29030402759292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7.9010295308320826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7.9010295308320826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213.00000000000003</v>
      </c>
      <c r="CU169" s="17">
        <f>CT169*VLOOKUP('Données projet'!$B$13,Paramètres!$A$1:$I$89,3,0)*VLOOKUP('Données projet'!$B$13,Paramètres!$A$1:$I$89,5,0)</f>
        <v>206.01360000000005</v>
      </c>
      <c r="CV169" s="13">
        <f t="shared" si="173"/>
        <v>51.063487709141484</v>
      </c>
      <c r="CW169" s="20">
        <f t="shared" si="174"/>
        <v>447.74259442675481</v>
      </c>
      <c r="CX169" s="59">
        <f t="shared" si="122"/>
        <v>741.07592776008812</v>
      </c>
      <c r="CY169" s="59">
        <f ca="1">AVERAGE(OFFSET($CX$3,0,0,'Données projet'!$E$13+1,1))-AVERAGE(OFFSET($H$3,0,0,'Données projet'!$E$13+1,1))</f>
        <v>212.32823943192528</v>
      </c>
      <c r="CZ169" s="59">
        <f t="shared" si="150"/>
        <v>209.60834138503003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6.0205432565866799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6.0205432565866799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285.99999999999972</v>
      </c>
      <c r="DP169" s="17">
        <f>DO169*VLOOKUP('Données projet'!$B$14,Paramètres!$A$1:$I$89,3,0)*VLOOKUP('Données projet'!$B$14,Paramètres!$A$1:$I$89,5,0)</f>
        <v>223.07999999999979</v>
      </c>
      <c r="DQ169" s="13">
        <f t="shared" si="176"/>
        <v>54.783765878062617</v>
      </c>
      <c r="DR169" s="20">
        <f t="shared" si="177"/>
        <v>483.94605890429199</v>
      </c>
      <c r="DS169" s="59">
        <f t="shared" si="125"/>
        <v>777.2793922376253</v>
      </c>
      <c r="DT169" s="59">
        <f ca="1">AVERAGE(OFFSET($DS$3,0,0,'Données projet'!$E$14+1,1))-AVERAGE(OFFSET($H$3,0,0,'Données projet'!$E$14+1,1))</f>
        <v>215.84581110302656</v>
      </c>
      <c r="DU169" s="59">
        <f t="shared" si="152"/>
        <v>193.88588526156104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8.7646458756028682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8.7646458756028682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6">
        <f t="shared" si="110"/>
        <v>471.93100610402485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401</v>
      </c>
      <c r="O170" s="13">
        <f>N170*VLOOKUP('Données projet'!$B$9,Paramètres!$A$1:$I$89,3,0)*VLOOKUP('Données projet'!$B$9,Paramètres!$A$1:$I$89,5,0)</f>
        <v>250.22399999999999</v>
      </c>
      <c r="P170" s="13">
        <f t="shared" si="141"/>
        <v>60.633904580527918</v>
      </c>
      <c r="Q170" s="20">
        <f t="shared" si="162"/>
        <v>541.41085047775289</v>
      </c>
      <c r="R170" s="59">
        <f t="shared" si="109"/>
        <v>834.74418381108626</v>
      </c>
      <c r="S170" s="59">
        <f ca="1">AVERAGE(OFFSET($R$3,0,0,'Données projet'!$E$9+1,1))-AVERAGE(OFFSET($H$3,0,0,'Données projet'!$E$9+1,1))</f>
        <v>269.77739619445515</v>
      </c>
      <c r="T170" s="59">
        <f t="shared" si="142"/>
        <v>347.56964743629885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9.2005611026472991</v>
      </c>
      <c r="AA170" s="21">
        <f>EXP(-LN(2)/25)*AA169+(1-EXP(-LN(2)/25))/(LN(2)/25)*Calculateur!V170*Calculateur!X170*VLOOKUP('Données projet'!$B$9,Paramètres!$A$1:$I$89,3,0)*0.475*44/12</f>
        <v>2.0555343379286524</v>
      </c>
      <c r="AB170" s="21">
        <f>EXP(-LN(2)/2)*AB169+(1-EXP(-LN(2)/2))/(LN(2)/2)*V170*Y170*VLOOKUP('Données projet'!$B$9,Paramètres!$A$1:$I$89,3,0)*0.475*44/12</f>
        <v>5.9506988194504036E-23</v>
      </c>
      <c r="AC170" s="22">
        <f t="shared" si="163"/>
        <v>11.256095440575951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789</v>
      </c>
      <c r="AJ170" s="13">
        <f>AI170*VLOOKUP('Données projet'!$B$10,Paramètres!$A$1:$I$89,3,0)*VLOOKUP('Données projet'!$B$10,Paramètres!$A$1:$I$89,5,0)</f>
        <v>389.76600000000002</v>
      </c>
      <c r="AK170" s="13">
        <f t="shared" si="164"/>
        <v>89.698759503620408</v>
      </c>
      <c r="AL170" s="20">
        <f t="shared" si="165"/>
        <v>835.06778946880547</v>
      </c>
      <c r="AM170" s="59">
        <f t="shared" si="113"/>
        <v>1128.4011228021388</v>
      </c>
      <c r="AN170" s="59">
        <f ca="1">AVERAGE(OFFSET($AM$3,0,0,'Données projet'!$E$10+1,1))-AVERAGE(OFFSET($H$3,0,0,'Données projet'!$E$10+1,1))</f>
        <v>396.27049617044378</v>
      </c>
      <c r="AO170" s="59">
        <f t="shared" si="144"/>
        <v>335.2680289568774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25.732119507474923</v>
      </c>
      <c r="AV170" s="21">
        <f>EXP(-LN(2)/25)*AV169+(1-EXP(-LN(2)/25))/(LN(2)/25)*Calculateur!AQ170*Calculateur!AS170*VLOOKUP('Données projet'!$B$10,Paramètres!$A$1:$I$89,3,0)*0.475*44/12</f>
        <v>1.0532409901826187</v>
      </c>
      <c r="AW170" s="21">
        <f>EXP(-LN(2)/2)*AW169+(1-EXP(-LN(2)/2))/(LN(2)/2)*AQ170*AT170*VLOOKUP('Données projet'!$B$10,Paramètres!$A$1:$I$89,3,0)*0.475*44/12</f>
        <v>9.2125633575195167E-22</v>
      </c>
      <c r="AX170" s="21">
        <f t="shared" si="166"/>
        <v>26.785360497657543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403.99999999999989</v>
      </c>
      <c r="BE170" s="13">
        <f>BD170*VLOOKUP('Données projet'!$B$11,Paramètres!$A$1:$I$89,3,0)*VLOOKUP('Données projet'!$B$11,Paramètres!$A$1:$I$89,5,0)</f>
        <v>346.63199999999995</v>
      </c>
      <c r="BF170" s="13">
        <f t="shared" si="167"/>
        <v>80.868615263336864</v>
      </c>
      <c r="BG170" s="20">
        <f t="shared" si="168"/>
        <v>744.56357158364483</v>
      </c>
      <c r="BH170" s="59">
        <f t="shared" si="116"/>
        <v>1037.8969049169782</v>
      </c>
      <c r="BI170" s="59">
        <f ca="1">AVERAGE(OFFSET($BH$3,0,0,'Données projet'!$E$11+1,1))-AVERAGE(OFFSET($H$3,0,0,'Données projet'!$E$11+1,1))</f>
        <v>352.61091660077574</v>
      </c>
      <c r="BJ170" s="59">
        <f t="shared" si="146"/>
        <v>186.48649111821521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39.406453238458667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39.406453238458667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266.99999999999983</v>
      </c>
      <c r="BZ170" s="13">
        <f>BY170*VLOOKUP('Données projet'!$B$12,Paramètres!$A$1:$I$89,3,0)*VLOOKUP('Données projet'!$B$12,Paramètres!$A$1:$I$89,5,0)</f>
        <v>212.42519999999985</v>
      </c>
      <c r="CA170" s="13">
        <f t="shared" si="170"/>
        <v>52.465198231787184</v>
      </c>
      <c r="CB170" s="20">
        <f t="shared" si="171"/>
        <v>461.35077692036231</v>
      </c>
      <c r="CC170" s="59">
        <f t="shared" si="119"/>
        <v>754.68411025369562</v>
      </c>
      <c r="CD170" s="59">
        <f ca="1">AVERAGE(OFFSET($CC$3,0,0,'Données projet'!$E$12+1,1))-AVERAGE(OFFSET($H$3,0,0,'Données projet'!$E$12+1,1))</f>
        <v>225.2323446080772</v>
      </c>
      <c r="CE170" s="59">
        <f t="shared" si="148"/>
        <v>222.29030402759292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7.7460951608846278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7.7460951608846278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213.00000000000003</v>
      </c>
      <c r="CU170" s="17">
        <f>CT170*VLOOKUP('Données projet'!$B$13,Paramètres!$A$1:$I$89,3,0)*VLOOKUP('Données projet'!$B$13,Paramètres!$A$1:$I$89,5,0)</f>
        <v>206.01360000000005</v>
      </c>
      <c r="CV170" s="13">
        <f t="shared" si="173"/>
        <v>51.063487709141484</v>
      </c>
      <c r="CW170" s="20">
        <f t="shared" si="174"/>
        <v>447.74259442675481</v>
      </c>
      <c r="CX170" s="59">
        <f t="shared" si="122"/>
        <v>741.07592776008812</v>
      </c>
      <c r="CY170" s="59">
        <f ca="1">AVERAGE(OFFSET($CX$3,0,0,'Données projet'!$E$13+1,1))-AVERAGE(OFFSET($H$3,0,0,'Données projet'!$E$13+1,1))</f>
        <v>212.32823943192528</v>
      </c>
      <c r="CZ170" s="59">
        <f t="shared" si="150"/>
        <v>209.60834138503003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5.9024840754938053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5.9024840754938053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285.99999999999972</v>
      </c>
      <c r="DP170" s="17">
        <f>DO170*VLOOKUP('Données projet'!$B$14,Paramètres!$A$1:$I$89,3,0)*VLOOKUP('Données projet'!$B$14,Paramètres!$A$1:$I$89,5,0)</f>
        <v>223.07999999999979</v>
      </c>
      <c r="DQ170" s="13">
        <f t="shared" si="176"/>
        <v>54.783765878062617</v>
      </c>
      <c r="DR170" s="20">
        <f t="shared" si="177"/>
        <v>483.94605890429199</v>
      </c>
      <c r="DS170" s="59">
        <f t="shared" si="125"/>
        <v>777.2793922376253</v>
      </c>
      <c r="DT170" s="59">
        <f ca="1">AVERAGE(OFFSET($DS$3,0,0,'Données projet'!$E$14+1,1))-AVERAGE(OFFSET($H$3,0,0,'Données projet'!$E$14+1,1))</f>
        <v>215.84581110302656</v>
      </c>
      <c r="DU170" s="59">
        <f t="shared" si="152"/>
        <v>193.88588526156104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8.5927765158884153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8.5927765158884153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6">
        <f t="shared" si="110"/>
        <v>472.97341153674216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401</v>
      </c>
      <c r="O171" s="13">
        <f>N171*VLOOKUP('Données projet'!$B$9,Paramètres!$A$1:$I$89,3,0)*VLOOKUP('Données projet'!$B$9,Paramètres!$A$1:$I$89,5,0)</f>
        <v>250.22399999999999</v>
      </c>
      <c r="P171" s="13">
        <f t="shared" si="141"/>
        <v>60.633904580527918</v>
      </c>
      <c r="Q171" s="20">
        <f t="shared" si="162"/>
        <v>541.41085047775289</v>
      </c>
      <c r="R171" s="59">
        <f t="shared" si="109"/>
        <v>834.74418381108626</v>
      </c>
      <c r="S171" s="59">
        <f ca="1">AVERAGE(OFFSET($R$3,0,0,'Données projet'!$E$9+1,1))-AVERAGE(OFFSET($H$3,0,0,'Données projet'!$E$9+1,1))</f>
        <v>269.77739619445515</v>
      </c>
      <c r="T171" s="59">
        <f t="shared" si="142"/>
        <v>347.56964743629885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9.0201437112125404</v>
      </c>
      <c r="AA171" s="21">
        <f>EXP(-LN(2)/25)*AA170+(1-EXP(-LN(2)/25))/(LN(2)/25)*Calculateur!V171*Calculateur!X171*VLOOKUP('Données projet'!$B$9,Paramètres!$A$1:$I$89,3,0)*0.475*44/12</f>
        <v>1.9993256433621405</v>
      </c>
      <c r="AB171" s="21">
        <f>EXP(-LN(2)/2)*AB170+(1-EXP(-LN(2)/2))/(LN(2)/2)*V171*Y171*VLOOKUP('Données projet'!$B$9,Paramètres!$A$1:$I$89,3,0)*0.475*44/12</f>
        <v>4.2077794880321633E-23</v>
      </c>
      <c r="AC171" s="22">
        <f t="shared" si="163"/>
        <v>11.019469354574682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789</v>
      </c>
      <c r="AJ171" s="13">
        <f>AI171*VLOOKUP('Données projet'!$B$10,Paramètres!$A$1:$I$89,3,0)*VLOOKUP('Données projet'!$B$10,Paramètres!$A$1:$I$89,5,0)</f>
        <v>389.76600000000002</v>
      </c>
      <c r="AK171" s="13">
        <f t="shared" si="164"/>
        <v>89.698759503620408</v>
      </c>
      <c r="AL171" s="20">
        <f t="shared" si="165"/>
        <v>835.06778946880547</v>
      </c>
      <c r="AM171" s="59">
        <f t="shared" si="113"/>
        <v>1128.4011228021388</v>
      </c>
      <c r="AN171" s="59">
        <f ca="1">AVERAGE(OFFSET($AM$3,0,0,'Données projet'!$E$10+1,1))-AVERAGE(OFFSET($H$3,0,0,'Données projet'!$E$10+1,1))</f>
        <v>396.27049617044378</v>
      </c>
      <c r="AO171" s="59">
        <f t="shared" si="144"/>
        <v>335.2680289568774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25.227528338976484</v>
      </c>
      <c r="AV171" s="21">
        <f>EXP(-LN(2)/25)*AV170+(1-EXP(-LN(2)/25))/(LN(2)/25)*Calculateur!AQ171*Calculateur!AS171*VLOOKUP('Données projet'!$B$10,Paramètres!$A$1:$I$89,3,0)*0.475*44/12</f>
        <v>1.0244400599185386</v>
      </c>
      <c r="AW171" s="21">
        <f>EXP(-LN(2)/2)*AW170+(1-EXP(-LN(2)/2))/(LN(2)/2)*AQ171*AT171*VLOOKUP('Données projet'!$B$10,Paramètres!$A$1:$I$89,3,0)*0.475*44/12</f>
        <v>6.5142660222127585E-22</v>
      </c>
      <c r="AX171" s="21">
        <f t="shared" si="166"/>
        <v>26.251968398895023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403.99999999999989</v>
      </c>
      <c r="BE171" s="13">
        <f>BD171*VLOOKUP('Données projet'!$B$11,Paramètres!$A$1:$I$89,3,0)*VLOOKUP('Données projet'!$B$11,Paramètres!$A$1:$I$89,5,0)</f>
        <v>346.63199999999995</v>
      </c>
      <c r="BF171" s="13">
        <f t="shared" si="167"/>
        <v>80.868615263336864</v>
      </c>
      <c r="BG171" s="20">
        <f t="shared" si="168"/>
        <v>744.56357158364483</v>
      </c>
      <c r="BH171" s="59">
        <f t="shared" si="116"/>
        <v>1037.8969049169782</v>
      </c>
      <c r="BI171" s="59">
        <f ca="1">AVERAGE(OFFSET($BH$3,0,0,'Données projet'!$E$11+1,1))-AVERAGE(OFFSET($H$3,0,0,'Données projet'!$E$11+1,1))</f>
        <v>352.61091660077574</v>
      </c>
      <c r="BJ171" s="59">
        <f t="shared" si="146"/>
        <v>186.48649111821521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38.633716726015656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38.633716726015656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266.99999999999983</v>
      </c>
      <c r="BZ171" s="13">
        <f>BY171*VLOOKUP('Données projet'!$B$12,Paramètres!$A$1:$I$89,3,0)*VLOOKUP('Données projet'!$B$12,Paramètres!$A$1:$I$89,5,0)</f>
        <v>212.42519999999985</v>
      </c>
      <c r="CA171" s="13">
        <f t="shared" si="170"/>
        <v>52.465198231787184</v>
      </c>
      <c r="CB171" s="20">
        <f t="shared" si="171"/>
        <v>461.35077692036231</v>
      </c>
      <c r="CC171" s="59">
        <f t="shared" si="119"/>
        <v>754.68411025369562</v>
      </c>
      <c r="CD171" s="59">
        <f ca="1">AVERAGE(OFFSET($CC$3,0,0,'Données projet'!$E$12+1,1))-AVERAGE(OFFSET($H$3,0,0,'Données projet'!$E$12+1,1))</f>
        <v>225.2323446080772</v>
      </c>
      <c r="CE171" s="59">
        <f t="shared" si="148"/>
        <v>222.29030402759292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7.5941989594312078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7.5941989594312078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213.00000000000003</v>
      </c>
      <c r="CU171" s="17">
        <f>CT171*VLOOKUP('Données projet'!$B$13,Paramètres!$A$1:$I$89,3,0)*VLOOKUP('Données projet'!$B$13,Paramètres!$A$1:$I$89,5,0)</f>
        <v>206.01360000000005</v>
      </c>
      <c r="CV171" s="13">
        <f t="shared" si="173"/>
        <v>51.063487709141484</v>
      </c>
      <c r="CW171" s="20">
        <f t="shared" si="174"/>
        <v>447.74259442675481</v>
      </c>
      <c r="CX171" s="59">
        <f t="shared" si="122"/>
        <v>741.07592776008812</v>
      </c>
      <c r="CY171" s="59">
        <f ca="1">AVERAGE(OFFSET($CX$3,0,0,'Données projet'!$E$13+1,1))-AVERAGE(OFFSET($H$3,0,0,'Données projet'!$E$13+1,1))</f>
        <v>212.32823943192528</v>
      </c>
      <c r="CZ171" s="59">
        <f t="shared" si="150"/>
        <v>209.60834138503003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5.7867399629331713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5.7867399629331713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285.99999999999972</v>
      </c>
      <c r="DP171" s="17">
        <f>DO171*VLOOKUP('Données projet'!$B$14,Paramètres!$A$1:$I$89,3,0)*VLOOKUP('Données projet'!$B$14,Paramètres!$A$1:$I$89,5,0)</f>
        <v>223.07999999999979</v>
      </c>
      <c r="DQ171" s="13">
        <f t="shared" si="176"/>
        <v>54.783765878062617</v>
      </c>
      <c r="DR171" s="20">
        <f t="shared" si="177"/>
        <v>483.94605890429199</v>
      </c>
      <c r="DS171" s="59">
        <f t="shared" si="125"/>
        <v>777.2793922376253</v>
      </c>
      <c r="DT171" s="59">
        <f ca="1">AVERAGE(OFFSET($DS$3,0,0,'Données projet'!$E$14+1,1))-AVERAGE(OFFSET($H$3,0,0,'Données projet'!$E$14+1,1))</f>
        <v>215.84581110302656</v>
      </c>
      <c r="DU171" s="59">
        <f t="shared" si="152"/>
        <v>193.88588526156104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8.4242774094880044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8.4242774094880044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6">
        <f t="shared" si="110"/>
        <v>474.0156752149349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401</v>
      </c>
      <c r="O172" s="13">
        <f>N172*VLOOKUP('Données projet'!$B$9,Paramètres!$A$1:$I$89,3,0)*VLOOKUP('Données projet'!$B$9,Paramètres!$A$1:$I$89,5,0)</f>
        <v>250.22399999999999</v>
      </c>
      <c r="P172" s="13">
        <f t="shared" si="141"/>
        <v>60.633904580527918</v>
      </c>
      <c r="Q172" s="20">
        <f t="shared" si="162"/>
        <v>541.41085047775289</v>
      </c>
      <c r="R172" s="59">
        <f t="shared" si="109"/>
        <v>834.74418381108626</v>
      </c>
      <c r="S172" s="59">
        <f ca="1">AVERAGE(OFFSET($R$3,0,0,'Données projet'!$E$9+1,1))-AVERAGE(OFFSET($H$3,0,0,'Données projet'!$E$9+1,1))</f>
        <v>269.77739619445515</v>
      </c>
      <c r="T172" s="59">
        <f t="shared" si="142"/>
        <v>347.56964743629885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8.8432641947800743</v>
      </c>
      <c r="AA172" s="21">
        <f>EXP(-LN(2)/25)*AA171+(1-EXP(-LN(2)/25))/(LN(2)/25)*Calculateur!V172*Calculateur!X172*VLOOKUP('Données projet'!$B$9,Paramètres!$A$1:$I$89,3,0)*0.475*44/12</f>
        <v>1.9446539785044368</v>
      </c>
      <c r="AB172" s="21">
        <f>EXP(-LN(2)/2)*AB171+(1-EXP(-LN(2)/2))/(LN(2)/2)*V172*Y172*VLOOKUP('Données projet'!$B$9,Paramètres!$A$1:$I$89,3,0)*0.475*44/12</f>
        <v>2.9753494097252018E-23</v>
      </c>
      <c r="AC172" s="22">
        <f t="shared" si="163"/>
        <v>10.787918173284512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789</v>
      </c>
      <c r="AJ172" s="13">
        <f>AI172*VLOOKUP('Données projet'!$B$10,Paramètres!$A$1:$I$89,3,0)*VLOOKUP('Données projet'!$B$10,Paramètres!$A$1:$I$89,5,0)</f>
        <v>389.76600000000002</v>
      </c>
      <c r="AK172" s="13">
        <f t="shared" si="164"/>
        <v>89.698759503620408</v>
      </c>
      <c r="AL172" s="20">
        <f t="shared" si="165"/>
        <v>835.06778946880547</v>
      </c>
      <c r="AM172" s="59">
        <f t="shared" si="113"/>
        <v>1128.4011228021388</v>
      </c>
      <c r="AN172" s="59">
        <f ca="1">AVERAGE(OFFSET($AM$3,0,0,'Données projet'!$E$10+1,1))-AVERAGE(OFFSET($H$3,0,0,'Données projet'!$E$10+1,1))</f>
        <v>396.27049617044378</v>
      </c>
      <c r="AO172" s="59">
        <f t="shared" si="144"/>
        <v>335.2680289568774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24.732831895522075</v>
      </c>
      <c r="AV172" s="21">
        <f>EXP(-LN(2)/25)*AV171+(1-EXP(-LN(2)/25))/(LN(2)/25)*Calculateur!AQ172*Calculateur!AS172*VLOOKUP('Données projet'!$B$10,Paramètres!$A$1:$I$89,3,0)*0.475*44/12</f>
        <v>0.99642669260710481</v>
      </c>
      <c r="AW172" s="21">
        <f>EXP(-LN(2)/2)*AW171+(1-EXP(-LN(2)/2))/(LN(2)/2)*AQ172*AT172*VLOOKUP('Données projet'!$B$10,Paramètres!$A$1:$I$89,3,0)*0.475*44/12</f>
        <v>4.6062816787597583E-22</v>
      </c>
      <c r="AX172" s="21">
        <f t="shared" si="166"/>
        <v>25.729258588129181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403.99999999999989</v>
      </c>
      <c r="BE172" s="13">
        <f>BD172*VLOOKUP('Données projet'!$B$11,Paramètres!$A$1:$I$89,3,0)*VLOOKUP('Données projet'!$B$11,Paramètres!$A$1:$I$89,5,0)</f>
        <v>346.63199999999995</v>
      </c>
      <c r="BF172" s="13">
        <f t="shared" si="167"/>
        <v>80.868615263336864</v>
      </c>
      <c r="BG172" s="20">
        <f t="shared" si="168"/>
        <v>744.56357158364483</v>
      </c>
      <c r="BH172" s="59">
        <f t="shared" si="116"/>
        <v>1037.8969049169782</v>
      </c>
      <c r="BI172" s="59">
        <f ca="1">AVERAGE(OFFSET($BH$3,0,0,'Données projet'!$E$11+1,1))-AVERAGE(OFFSET($H$3,0,0,'Données projet'!$E$11+1,1))</f>
        <v>352.61091660077574</v>
      </c>
      <c r="BJ172" s="59">
        <f t="shared" si="146"/>
        <v>186.48649111821521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37.876133105258916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37.876133105258916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266.99999999999983</v>
      </c>
      <c r="BZ172" s="13">
        <f>BY172*VLOOKUP('Données projet'!$B$12,Paramètres!$A$1:$I$89,3,0)*VLOOKUP('Données projet'!$B$12,Paramètres!$A$1:$I$89,5,0)</f>
        <v>212.42519999999985</v>
      </c>
      <c r="CA172" s="13">
        <f t="shared" si="170"/>
        <v>52.465198231787184</v>
      </c>
      <c r="CB172" s="20">
        <f t="shared" si="171"/>
        <v>461.35077692036231</v>
      </c>
      <c r="CC172" s="59">
        <f t="shared" si="119"/>
        <v>754.68411025369562</v>
      </c>
      <c r="CD172" s="59">
        <f ca="1">AVERAGE(OFFSET($CC$3,0,0,'Données projet'!$E$12+1,1))-AVERAGE(OFFSET($H$3,0,0,'Données projet'!$E$12+1,1))</f>
        <v>225.2323446080772</v>
      </c>
      <c r="CE172" s="59">
        <f t="shared" si="148"/>
        <v>222.29030402759292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7.4452813498407551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7.4452813498407551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213.00000000000003</v>
      </c>
      <c r="CU172" s="17">
        <f>CT172*VLOOKUP('Données projet'!$B$13,Paramètres!$A$1:$I$89,3,0)*VLOOKUP('Données projet'!$B$13,Paramètres!$A$1:$I$89,5,0)</f>
        <v>206.01360000000005</v>
      </c>
      <c r="CV172" s="13">
        <f t="shared" si="173"/>
        <v>51.063487709141484</v>
      </c>
      <c r="CW172" s="20">
        <f t="shared" si="174"/>
        <v>447.74259442675481</v>
      </c>
      <c r="CX172" s="59">
        <f t="shared" si="122"/>
        <v>741.07592776008812</v>
      </c>
      <c r="CY172" s="59">
        <f ca="1">AVERAGE(OFFSET($CX$3,0,0,'Données projet'!$E$13+1,1))-AVERAGE(OFFSET($H$3,0,0,'Données projet'!$E$13+1,1))</f>
        <v>212.32823943192528</v>
      </c>
      <c r="CZ172" s="59">
        <f t="shared" si="150"/>
        <v>209.60834138503003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5.6732655218229135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5.6732655218229135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285.99999999999972</v>
      </c>
      <c r="DP172" s="17">
        <f>DO172*VLOOKUP('Données projet'!$B$14,Paramètres!$A$1:$I$89,3,0)*VLOOKUP('Données projet'!$B$14,Paramètres!$A$1:$I$89,5,0)</f>
        <v>223.07999999999979</v>
      </c>
      <c r="DQ172" s="13">
        <f t="shared" si="176"/>
        <v>54.783765878062617</v>
      </c>
      <c r="DR172" s="20">
        <f t="shared" si="177"/>
        <v>483.94605890429199</v>
      </c>
      <c r="DS172" s="59">
        <f t="shared" si="125"/>
        <v>777.2793922376253</v>
      </c>
      <c r="DT172" s="59">
        <f ca="1">AVERAGE(OFFSET($DS$3,0,0,'Données projet'!$E$14+1,1))-AVERAGE(OFFSET($H$3,0,0,'Données projet'!$E$14+1,1))</f>
        <v>215.84581110302656</v>
      </c>
      <c r="DU172" s="59">
        <f t="shared" si="152"/>
        <v>193.88588526156104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8.2590824677897992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8.2590824677897992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6">
        <f t="shared" si="110"/>
        <v>475.05779807471038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401</v>
      </c>
      <c r="O173" s="13">
        <f>N173*VLOOKUP('Données projet'!$B$9,Paramètres!$A$1:$I$89,3,0)*VLOOKUP('Données projet'!$B$9,Paramètres!$A$1:$I$89,5,0)</f>
        <v>250.22399999999999</v>
      </c>
      <c r="P173" s="13">
        <f t="shared" si="141"/>
        <v>60.633904580527918</v>
      </c>
      <c r="Q173" s="20">
        <f t="shared" si="162"/>
        <v>541.41085047775289</v>
      </c>
      <c r="R173" s="59">
        <f t="shared" si="109"/>
        <v>834.74418381108626</v>
      </c>
      <c r="S173" s="59">
        <f ca="1">AVERAGE(OFFSET($R$3,0,0,'Données projet'!$E$9+1,1))-AVERAGE(OFFSET($H$3,0,0,'Données projet'!$E$9+1,1))</f>
        <v>269.77739619445515</v>
      </c>
      <c r="T173" s="59">
        <f t="shared" si="142"/>
        <v>347.56964743629885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8.6698531777789967</v>
      </c>
      <c r="AA173" s="21">
        <f>EXP(-LN(2)/25)*AA172+(1-EXP(-LN(2)/25))/(LN(2)/25)*Calculateur!V173*Calculateur!X173*VLOOKUP('Données projet'!$B$9,Paramètres!$A$1:$I$89,3,0)*0.475*44/12</f>
        <v>1.8914773131973248</v>
      </c>
      <c r="AB173" s="21">
        <f>EXP(-LN(2)/2)*AB172+(1-EXP(-LN(2)/2))/(LN(2)/2)*V173*Y173*VLOOKUP('Données projet'!$B$9,Paramètres!$A$1:$I$89,3,0)*0.475*44/12</f>
        <v>2.1038897440160817E-23</v>
      </c>
      <c r="AC173" s="22">
        <f t="shared" si="163"/>
        <v>10.561330490976321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789</v>
      </c>
      <c r="AJ173" s="13">
        <f>AI173*VLOOKUP('Données projet'!$B$10,Paramètres!$A$1:$I$89,3,0)*VLOOKUP('Données projet'!$B$10,Paramètres!$A$1:$I$89,5,0)</f>
        <v>389.76600000000002</v>
      </c>
      <c r="AK173" s="13">
        <f t="shared" si="164"/>
        <v>89.698759503620408</v>
      </c>
      <c r="AL173" s="20">
        <f t="shared" si="165"/>
        <v>835.06778946880547</v>
      </c>
      <c r="AM173" s="59">
        <f t="shared" si="113"/>
        <v>1128.4011228021388</v>
      </c>
      <c r="AN173" s="59">
        <f ca="1">AVERAGE(OFFSET($AM$3,0,0,'Données projet'!$E$10+1,1))-AVERAGE(OFFSET($H$3,0,0,'Données projet'!$E$10+1,1))</f>
        <v>396.27049617044378</v>
      </c>
      <c r="AO173" s="59">
        <f t="shared" si="144"/>
        <v>335.2680289568774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24.247836147588771</v>
      </c>
      <c r="AV173" s="21">
        <f>EXP(-LN(2)/25)*AV172+(1-EXP(-LN(2)/25))/(LN(2)/25)*Calculateur!AQ173*Calculateur!AS173*VLOOKUP('Données projet'!$B$10,Paramètres!$A$1:$I$89,3,0)*0.475*44/12</f>
        <v>0.96917935229796115</v>
      </c>
      <c r="AW173" s="21">
        <f>EXP(-LN(2)/2)*AW172+(1-EXP(-LN(2)/2))/(LN(2)/2)*AQ173*AT173*VLOOKUP('Données projet'!$B$10,Paramètres!$A$1:$I$89,3,0)*0.475*44/12</f>
        <v>3.2571330111063793E-22</v>
      </c>
      <c r="AX173" s="21">
        <f t="shared" si="166"/>
        <v>25.217015499886731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403.99999999999989</v>
      </c>
      <c r="BE173" s="13">
        <f>BD173*VLOOKUP('Données projet'!$B$11,Paramètres!$A$1:$I$89,3,0)*VLOOKUP('Données projet'!$B$11,Paramètres!$A$1:$I$89,5,0)</f>
        <v>346.63199999999995</v>
      </c>
      <c r="BF173" s="13">
        <f t="shared" si="167"/>
        <v>80.868615263336864</v>
      </c>
      <c r="BG173" s="20">
        <f t="shared" si="168"/>
        <v>744.56357158364483</v>
      </c>
      <c r="BH173" s="59">
        <f t="shared" si="116"/>
        <v>1037.8969049169782</v>
      </c>
      <c r="BI173" s="59">
        <f ca="1">AVERAGE(OFFSET($BH$3,0,0,'Données projet'!$E$11+1,1))-AVERAGE(OFFSET($H$3,0,0,'Données projet'!$E$11+1,1))</f>
        <v>352.61091660077574</v>
      </c>
      <c r="BJ173" s="59">
        <f t="shared" si="146"/>
        <v>186.48649111821521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37.133405237224835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37.133405237224835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266.99999999999983</v>
      </c>
      <c r="BZ173" s="13">
        <f>BY173*VLOOKUP('Données projet'!$B$12,Paramètres!$A$1:$I$89,3,0)*VLOOKUP('Données projet'!$B$12,Paramètres!$A$1:$I$89,5,0)</f>
        <v>212.42519999999985</v>
      </c>
      <c r="CA173" s="13">
        <f t="shared" si="170"/>
        <v>52.465198231787184</v>
      </c>
      <c r="CB173" s="20">
        <f t="shared" si="171"/>
        <v>461.35077692036231</v>
      </c>
      <c r="CC173" s="59">
        <f t="shared" si="119"/>
        <v>754.68411025369562</v>
      </c>
      <c r="CD173" s="59">
        <f ca="1">AVERAGE(OFFSET($CC$3,0,0,'Données projet'!$E$12+1,1))-AVERAGE(OFFSET($H$3,0,0,'Données projet'!$E$12+1,1))</f>
        <v>225.2323446080772</v>
      </c>
      <c r="CE173" s="59">
        <f t="shared" si="148"/>
        <v>222.29030402759292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7.299283923743598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7.299283923743598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213.00000000000003</v>
      </c>
      <c r="CU173" s="17">
        <f>CT173*VLOOKUP('Données projet'!$B$13,Paramètres!$A$1:$I$89,3,0)*VLOOKUP('Données projet'!$B$13,Paramètres!$A$1:$I$89,5,0)</f>
        <v>206.01360000000005</v>
      </c>
      <c r="CV173" s="13">
        <f t="shared" si="173"/>
        <v>51.063487709141484</v>
      </c>
      <c r="CW173" s="20">
        <f t="shared" si="174"/>
        <v>447.74259442675481</v>
      </c>
      <c r="CX173" s="59">
        <f t="shared" si="122"/>
        <v>741.07592776008812</v>
      </c>
      <c r="CY173" s="59">
        <f ca="1">AVERAGE(OFFSET($CX$3,0,0,'Données projet'!$E$13+1,1))-AVERAGE(OFFSET($H$3,0,0,'Données projet'!$E$13+1,1))</f>
        <v>212.32823943192528</v>
      </c>
      <c r="CZ173" s="59">
        <f t="shared" si="150"/>
        <v>209.60834138503003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5.5620162452902537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5.5620162452902537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285.99999999999972</v>
      </c>
      <c r="DP173" s="17">
        <f>DO173*VLOOKUP('Données projet'!$B$14,Paramètres!$A$1:$I$89,3,0)*VLOOKUP('Données projet'!$B$14,Paramètres!$A$1:$I$89,5,0)</f>
        <v>223.07999999999979</v>
      </c>
      <c r="DQ173" s="13">
        <f t="shared" si="176"/>
        <v>54.783765878062617</v>
      </c>
      <c r="DR173" s="20">
        <f t="shared" si="177"/>
        <v>483.94605890429199</v>
      </c>
      <c r="DS173" s="59">
        <f t="shared" si="125"/>
        <v>777.2793922376253</v>
      </c>
      <c r="DT173" s="59">
        <f ca="1">AVERAGE(OFFSET($DS$3,0,0,'Données projet'!$E$14+1,1))-AVERAGE(OFFSET($H$3,0,0,'Données projet'!$E$14+1,1))</f>
        <v>215.84581110302656</v>
      </c>
      <c r="DU173" s="59">
        <f t="shared" si="152"/>
        <v>193.88588526156104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8.0971268981393312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8.0971268981393312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6">
        <f t="shared" si="110"/>
        <v>476.0997810405255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401</v>
      </c>
      <c r="O174" s="13">
        <f>N174*VLOOKUP('Données projet'!$B$9,Paramètres!$A$1:$I$89,3,0)*VLOOKUP('Données projet'!$B$9,Paramètres!$A$1:$I$89,5,0)</f>
        <v>250.22399999999999</v>
      </c>
      <c r="P174" s="13">
        <f t="shared" si="141"/>
        <v>60.633904580527918</v>
      </c>
      <c r="Q174" s="20">
        <f t="shared" si="162"/>
        <v>541.41085047775289</v>
      </c>
      <c r="R174" s="59">
        <f t="shared" si="109"/>
        <v>834.74418381108626</v>
      </c>
      <c r="S174" s="59">
        <f ca="1">AVERAGE(OFFSET($R$3,0,0,'Données projet'!$E$9+1,1))-AVERAGE(OFFSET($H$3,0,0,'Données projet'!$E$9+1,1))</f>
        <v>269.77739619445515</v>
      </c>
      <c r="T174" s="59">
        <f t="shared" si="142"/>
        <v>347.56964743629885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8.499842645051034</v>
      </c>
      <c r="AA174" s="21">
        <f>EXP(-LN(2)/25)*AA173+(1-EXP(-LN(2)/25))/(LN(2)/25)*Calculateur!V174*Calculateur!X174*VLOOKUP('Données projet'!$B$9,Paramètres!$A$1:$I$89,3,0)*0.475*44/12</f>
        <v>1.8397547665994751</v>
      </c>
      <c r="AB174" s="21">
        <f>EXP(-LN(2)/2)*AB173+(1-EXP(-LN(2)/2))/(LN(2)/2)*V174*Y174*VLOOKUP('Données projet'!$B$9,Paramètres!$A$1:$I$89,3,0)*0.475*44/12</f>
        <v>1.4876747048626009E-23</v>
      </c>
      <c r="AC174" s="22">
        <f t="shared" si="163"/>
        <v>10.339597411650509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789</v>
      </c>
      <c r="AJ174" s="13">
        <f>AI174*VLOOKUP('Données projet'!$B$10,Paramètres!$A$1:$I$89,3,0)*VLOOKUP('Données projet'!$B$10,Paramètres!$A$1:$I$89,5,0)</f>
        <v>389.76600000000002</v>
      </c>
      <c r="AK174" s="13">
        <f t="shared" si="164"/>
        <v>89.698759503620408</v>
      </c>
      <c r="AL174" s="20">
        <f t="shared" si="165"/>
        <v>835.06778946880547</v>
      </c>
      <c r="AM174" s="59">
        <f t="shared" si="113"/>
        <v>1128.4011228021388</v>
      </c>
      <c r="AN174" s="59">
        <f ca="1">AVERAGE(OFFSET($AM$3,0,0,'Données projet'!$E$10+1,1))-AVERAGE(OFFSET($H$3,0,0,'Données projet'!$E$10+1,1))</f>
        <v>396.27049617044378</v>
      </c>
      <c r="AO174" s="59">
        <f t="shared" si="144"/>
        <v>335.2680289568774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23.772350870454243</v>
      </c>
      <c r="AV174" s="21">
        <f>EXP(-LN(2)/25)*AV173+(1-EXP(-LN(2)/25))/(LN(2)/25)*Calculateur!AQ174*Calculateur!AS174*VLOOKUP('Données projet'!$B$10,Paramètres!$A$1:$I$89,3,0)*0.475*44/12</f>
        <v>0.94267709194244631</v>
      </c>
      <c r="AW174" s="21">
        <f>EXP(-LN(2)/2)*AW173+(1-EXP(-LN(2)/2))/(LN(2)/2)*AQ174*AT174*VLOOKUP('Données projet'!$B$10,Paramètres!$A$1:$I$89,3,0)*0.475*44/12</f>
        <v>2.3031408393798792E-22</v>
      </c>
      <c r="AX174" s="21">
        <f t="shared" si="166"/>
        <v>24.71502796239669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403.99999999999989</v>
      </c>
      <c r="BE174" s="13">
        <f>BD174*VLOOKUP('Données projet'!$B$11,Paramètres!$A$1:$I$89,3,0)*VLOOKUP('Données projet'!$B$11,Paramètres!$A$1:$I$89,5,0)</f>
        <v>346.63199999999995</v>
      </c>
      <c r="BF174" s="13">
        <f t="shared" si="167"/>
        <v>80.868615263336864</v>
      </c>
      <c r="BG174" s="20">
        <f t="shared" si="168"/>
        <v>744.56357158364483</v>
      </c>
      <c r="BH174" s="59">
        <f t="shared" si="116"/>
        <v>1037.8969049169782</v>
      </c>
      <c r="BI174" s="59">
        <f ca="1">AVERAGE(OFFSET($BH$3,0,0,'Données projet'!$E$11+1,1))-AVERAGE(OFFSET($H$3,0,0,'Données projet'!$E$11+1,1))</f>
        <v>352.61091660077574</v>
      </c>
      <c r="BJ174" s="59">
        <f t="shared" si="146"/>
        <v>186.48649111821521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36.405241809663636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36.405241809663636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266.99999999999983</v>
      </c>
      <c r="BZ174" s="13">
        <f>BY174*VLOOKUP('Données projet'!$B$12,Paramètres!$A$1:$I$89,3,0)*VLOOKUP('Données projet'!$B$12,Paramètres!$A$1:$I$89,5,0)</f>
        <v>212.42519999999985</v>
      </c>
      <c r="CA174" s="13">
        <f t="shared" si="170"/>
        <v>52.465198231787184</v>
      </c>
      <c r="CB174" s="20">
        <f t="shared" si="171"/>
        <v>461.35077692036231</v>
      </c>
      <c r="CC174" s="59">
        <f t="shared" si="119"/>
        <v>754.68411025369562</v>
      </c>
      <c r="CD174" s="59">
        <f ca="1">AVERAGE(OFFSET($CC$3,0,0,'Données projet'!$E$12+1,1))-AVERAGE(OFFSET($H$3,0,0,'Données projet'!$E$12+1,1))</f>
        <v>225.2323446080772</v>
      </c>
      <c r="CE174" s="59">
        <f t="shared" si="148"/>
        <v>222.29030402759292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7.1561494181225687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7.1561494181225687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213.00000000000003</v>
      </c>
      <c r="CU174" s="17">
        <f>CT174*VLOOKUP('Données projet'!$B$13,Paramètres!$A$1:$I$89,3,0)*VLOOKUP('Données projet'!$B$13,Paramètres!$A$1:$I$89,5,0)</f>
        <v>206.01360000000005</v>
      </c>
      <c r="CV174" s="13">
        <f t="shared" si="173"/>
        <v>51.063487709141484</v>
      </c>
      <c r="CW174" s="20">
        <f t="shared" si="174"/>
        <v>447.74259442675481</v>
      </c>
      <c r="CX174" s="59">
        <f t="shared" si="122"/>
        <v>741.07592776008812</v>
      </c>
      <c r="CY174" s="59">
        <f ca="1">AVERAGE(OFFSET($CX$3,0,0,'Données projet'!$E$13+1,1))-AVERAGE(OFFSET($H$3,0,0,'Données projet'!$E$13+1,1))</f>
        <v>212.32823943192528</v>
      </c>
      <c r="CZ174" s="59">
        <f t="shared" si="150"/>
        <v>209.60834138503003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5.4529484992150401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5.4529484992150401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285.99999999999972</v>
      </c>
      <c r="DP174" s="17">
        <f>DO174*VLOOKUP('Données projet'!$B$14,Paramètres!$A$1:$I$89,3,0)*VLOOKUP('Données projet'!$B$14,Paramètres!$A$1:$I$89,5,0)</f>
        <v>223.07999999999979</v>
      </c>
      <c r="DQ174" s="13">
        <f t="shared" si="176"/>
        <v>54.783765878062617</v>
      </c>
      <c r="DR174" s="20">
        <f t="shared" si="177"/>
        <v>483.94605890429199</v>
      </c>
      <c r="DS174" s="59">
        <f t="shared" si="125"/>
        <v>777.2793922376253</v>
      </c>
      <c r="DT174" s="59">
        <f ca="1">AVERAGE(OFFSET($DS$3,0,0,'Données projet'!$E$14+1,1))-AVERAGE(OFFSET($H$3,0,0,'Données projet'!$E$14+1,1))</f>
        <v>215.84581110302656</v>
      </c>
      <c r="DU174" s="59">
        <f t="shared" si="152"/>
        <v>193.88588526156104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7.9383471784265645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7.9383471784265645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6">
        <f t="shared" si="110"/>
        <v>477.14162502539943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401</v>
      </c>
      <c r="O175" s="13">
        <f>N175*VLOOKUP('Données projet'!$B$9,Paramètres!$A$1:$I$89,3,0)*VLOOKUP('Données projet'!$B$9,Paramètres!$A$1:$I$89,5,0)</f>
        <v>250.22399999999999</v>
      </c>
      <c r="P175" s="13">
        <f t="shared" si="141"/>
        <v>60.633904580527918</v>
      </c>
      <c r="Q175" s="20">
        <f t="shared" si="162"/>
        <v>541.41085047775289</v>
      </c>
      <c r="R175" s="59">
        <f t="shared" si="109"/>
        <v>834.74418381108626</v>
      </c>
      <c r="S175" s="59">
        <f ca="1">AVERAGE(OFFSET($R$3,0,0,'Données projet'!$E$9+1,1))-AVERAGE(OFFSET($H$3,0,0,'Données projet'!$E$9+1,1))</f>
        <v>269.77739619445515</v>
      </c>
      <c r="T175" s="59">
        <f t="shared" si="142"/>
        <v>347.56964743629885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8.3331659151736801</v>
      </c>
      <c r="AA175" s="21">
        <f>EXP(-LN(2)/25)*AA174+(1-EXP(-LN(2)/25))/(LN(2)/25)*Calculateur!V175*Calculateur!X175*VLOOKUP('Données projet'!$B$9,Paramètres!$A$1:$I$89,3,0)*0.475*44/12</f>
        <v>1.789446575758314</v>
      </c>
      <c r="AB175" s="21">
        <f>EXP(-LN(2)/2)*AB174+(1-EXP(-LN(2)/2))/(LN(2)/2)*V175*Y175*VLOOKUP('Données projet'!$B$9,Paramètres!$A$1:$I$89,3,0)*0.475*44/12</f>
        <v>1.0519448720080408E-23</v>
      </c>
      <c r="AC175" s="22">
        <f t="shared" si="163"/>
        <v>10.122612490931994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789</v>
      </c>
      <c r="AJ175" s="13">
        <f>AI175*VLOOKUP('Données projet'!$B$10,Paramètres!$A$1:$I$89,3,0)*VLOOKUP('Données projet'!$B$10,Paramètres!$A$1:$I$89,5,0)</f>
        <v>389.76600000000002</v>
      </c>
      <c r="AK175" s="13">
        <f t="shared" si="164"/>
        <v>89.698759503620408</v>
      </c>
      <c r="AL175" s="20">
        <f t="shared" si="165"/>
        <v>835.06778946880547</v>
      </c>
      <c r="AM175" s="59">
        <f t="shared" si="113"/>
        <v>1128.4011228021388</v>
      </c>
      <c r="AN175" s="59">
        <f ca="1">AVERAGE(OFFSET($AM$3,0,0,'Données projet'!$E$10+1,1))-AVERAGE(OFFSET($H$3,0,0,'Données projet'!$E$10+1,1))</f>
        <v>396.27049617044378</v>
      </c>
      <c r="AO175" s="59">
        <f t="shared" si="144"/>
        <v>335.2680289568774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23.306189569586941</v>
      </c>
      <c r="AV175" s="21">
        <f>EXP(-LN(2)/25)*AV174+(1-EXP(-LN(2)/25))/(LN(2)/25)*Calculateur!AQ175*Calculateur!AS175*VLOOKUP('Données projet'!$B$10,Paramètres!$A$1:$I$89,3,0)*0.475*44/12</f>
        <v>0.91689953729004636</v>
      </c>
      <c r="AW175" s="21">
        <f>EXP(-LN(2)/2)*AW174+(1-EXP(-LN(2)/2))/(LN(2)/2)*AQ175*AT175*VLOOKUP('Données projet'!$B$10,Paramètres!$A$1:$I$89,3,0)*0.475*44/12</f>
        <v>1.6285665055531896E-22</v>
      </c>
      <c r="AX175" s="21">
        <f t="shared" si="166"/>
        <v>24.223089106876987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403.99999999999989</v>
      </c>
      <c r="BE175" s="13">
        <f>BD175*VLOOKUP('Données projet'!$B$11,Paramètres!$A$1:$I$89,3,0)*VLOOKUP('Données projet'!$B$11,Paramètres!$A$1:$I$89,5,0)</f>
        <v>346.63199999999995</v>
      </c>
      <c r="BF175" s="13">
        <f t="shared" si="167"/>
        <v>80.868615263336864</v>
      </c>
      <c r="BG175" s="20">
        <f t="shared" si="168"/>
        <v>744.56357158364483</v>
      </c>
      <c r="BH175" s="59">
        <f t="shared" si="116"/>
        <v>1037.8969049169782</v>
      </c>
      <c r="BI175" s="59">
        <f ca="1">AVERAGE(OFFSET($BH$3,0,0,'Données projet'!$E$11+1,1))-AVERAGE(OFFSET($H$3,0,0,'Données projet'!$E$11+1,1))</f>
        <v>352.61091660077574</v>
      </c>
      <c r="BJ175" s="59">
        <f t="shared" si="146"/>
        <v>186.48649111821521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35.691357222781072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35.691357222781072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266.99999999999983</v>
      </c>
      <c r="BZ175" s="13">
        <f>BY175*VLOOKUP('Données projet'!$B$12,Paramètres!$A$1:$I$89,3,0)*VLOOKUP('Données projet'!$B$12,Paramètres!$A$1:$I$89,5,0)</f>
        <v>212.42519999999985</v>
      </c>
      <c r="CA175" s="13">
        <f t="shared" si="170"/>
        <v>52.465198231787184</v>
      </c>
      <c r="CB175" s="20">
        <f t="shared" si="171"/>
        <v>461.35077692036231</v>
      </c>
      <c r="CC175" s="59">
        <f t="shared" si="119"/>
        <v>754.68411025369562</v>
      </c>
      <c r="CD175" s="59">
        <f ca="1">AVERAGE(OFFSET($CC$3,0,0,'Données projet'!$E$12+1,1))-AVERAGE(OFFSET($H$3,0,0,'Données projet'!$E$12+1,1))</f>
        <v>225.2323446080772</v>
      </c>
      <c r="CE175" s="59">
        <f t="shared" si="148"/>
        <v>222.29030402759292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7.0158216928533399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7.0158216928533399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213.00000000000003</v>
      </c>
      <c r="CU175" s="17">
        <f>CT175*VLOOKUP('Données projet'!$B$13,Paramètres!$A$1:$I$89,3,0)*VLOOKUP('Données projet'!$B$13,Paramètres!$A$1:$I$89,5,0)</f>
        <v>206.01360000000005</v>
      </c>
      <c r="CV175" s="13">
        <f t="shared" si="173"/>
        <v>51.063487709141484</v>
      </c>
      <c r="CW175" s="20">
        <f t="shared" si="174"/>
        <v>447.74259442675481</v>
      </c>
      <c r="CX175" s="59">
        <f t="shared" si="122"/>
        <v>741.07592776008812</v>
      </c>
      <c r="CY175" s="59">
        <f ca="1">AVERAGE(OFFSET($CX$3,0,0,'Données projet'!$E$13+1,1))-AVERAGE(OFFSET($H$3,0,0,'Données projet'!$E$13+1,1))</f>
        <v>212.32823943192528</v>
      </c>
      <c r="CZ175" s="59">
        <f t="shared" si="150"/>
        <v>209.60834138503003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5.3460195051156054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5.3460195051156054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285.99999999999972</v>
      </c>
      <c r="DP175" s="17">
        <f>DO175*VLOOKUP('Données projet'!$B$14,Paramètres!$A$1:$I$89,3,0)*VLOOKUP('Données projet'!$B$14,Paramètres!$A$1:$I$89,5,0)</f>
        <v>223.07999999999979</v>
      </c>
      <c r="DQ175" s="13">
        <f t="shared" si="176"/>
        <v>54.783765878062617</v>
      </c>
      <c r="DR175" s="20">
        <f t="shared" si="177"/>
        <v>483.94605890429199</v>
      </c>
      <c r="DS175" s="59">
        <f t="shared" si="125"/>
        <v>777.2793922376253</v>
      </c>
      <c r="DT175" s="59">
        <f ca="1">AVERAGE(OFFSET($DS$3,0,0,'Données projet'!$E$14+1,1))-AVERAGE(OFFSET($H$3,0,0,'Données projet'!$E$14+1,1))</f>
        <v>215.84581110302656</v>
      </c>
      <c r="DU175" s="59">
        <f t="shared" si="152"/>
        <v>193.88588526156104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7.7826810321712987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7.7826810321712987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6">
        <f t="shared" si="110"/>
        <v>478.18333093112028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401</v>
      </c>
      <c r="O176" s="13">
        <f>N176*VLOOKUP('Données projet'!$B$9,Paramètres!$A$1:$I$89,3,0)*VLOOKUP('Données projet'!$B$9,Paramètres!$A$1:$I$89,5,0)</f>
        <v>250.22399999999999</v>
      </c>
      <c r="P176" s="13">
        <f t="shared" si="141"/>
        <v>60.633904580527918</v>
      </c>
      <c r="Q176" s="20">
        <f t="shared" si="162"/>
        <v>541.41085047775289</v>
      </c>
      <c r="R176" s="59">
        <f t="shared" si="109"/>
        <v>834.74418381108626</v>
      </c>
      <c r="S176" s="59">
        <f ca="1">AVERAGE(OFFSET($R$3,0,0,'Données projet'!$E$9+1,1))-AVERAGE(OFFSET($H$3,0,0,'Données projet'!$E$9+1,1))</f>
        <v>269.77739619445515</v>
      </c>
      <c r="T176" s="59">
        <f t="shared" si="142"/>
        <v>347.56964743629885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8.1697576143064552</v>
      </c>
      <c r="AA176" s="21">
        <f>EXP(-LN(2)/25)*AA175+(1-EXP(-LN(2)/25))/(LN(2)/25)*Calculateur!V176*Calculateur!X176*VLOOKUP('Données projet'!$B$9,Paramètres!$A$1:$I$89,3,0)*0.475*44/12</f>
        <v>1.7405140650412974</v>
      </c>
      <c r="AB176" s="21">
        <f>EXP(-LN(2)/2)*AB175+(1-EXP(-LN(2)/2))/(LN(2)/2)*V176*Y176*VLOOKUP('Données projet'!$B$9,Paramètres!$A$1:$I$89,3,0)*0.475*44/12</f>
        <v>7.4383735243130046E-24</v>
      </c>
      <c r="AC176" s="22">
        <f t="shared" si="163"/>
        <v>9.910271679347753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789</v>
      </c>
      <c r="AJ176" s="13">
        <f>AI176*VLOOKUP('Données projet'!$B$10,Paramètres!$A$1:$I$89,3,0)*VLOOKUP('Données projet'!$B$10,Paramètres!$A$1:$I$89,5,0)</f>
        <v>389.76600000000002</v>
      </c>
      <c r="AK176" s="13">
        <f t="shared" si="164"/>
        <v>89.698759503620408</v>
      </c>
      <c r="AL176" s="20">
        <f t="shared" si="165"/>
        <v>835.06778946880547</v>
      </c>
      <c r="AM176" s="59">
        <f t="shared" si="113"/>
        <v>1128.4011228021388</v>
      </c>
      <c r="AN176" s="59">
        <f ca="1">AVERAGE(OFFSET($AM$3,0,0,'Données projet'!$E$10+1,1))-AVERAGE(OFFSET($H$3,0,0,'Données projet'!$E$10+1,1))</f>
        <v>396.27049617044378</v>
      </c>
      <c r="AO176" s="59">
        <f t="shared" si="144"/>
        <v>335.2680289568774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22.849169407499328</v>
      </c>
      <c r="AV176" s="21">
        <f>EXP(-LN(2)/25)*AV175+(1-EXP(-LN(2)/25))/(LN(2)/25)*Calculateur!AQ176*Calculateur!AS176*VLOOKUP('Données projet'!$B$10,Paramètres!$A$1:$I$89,3,0)*0.475*44/12</f>
        <v>0.89182687122519899</v>
      </c>
      <c r="AW176" s="21">
        <f>EXP(-LN(2)/2)*AW175+(1-EXP(-LN(2)/2))/(LN(2)/2)*AQ176*AT176*VLOOKUP('Données projet'!$B$10,Paramètres!$A$1:$I$89,3,0)*0.475*44/12</f>
        <v>1.1515704196899396E-22</v>
      </c>
      <c r="AX176" s="21">
        <f t="shared" si="166"/>
        <v>23.740996278724527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403.99999999999989</v>
      </c>
      <c r="BE176" s="13">
        <f>BD176*VLOOKUP('Données projet'!$B$11,Paramètres!$A$1:$I$89,3,0)*VLOOKUP('Données projet'!$B$11,Paramètres!$A$1:$I$89,5,0)</f>
        <v>346.63199999999995</v>
      </c>
      <c r="BF176" s="13">
        <f t="shared" si="167"/>
        <v>80.868615263336864</v>
      </c>
      <c r="BG176" s="20">
        <f t="shared" si="168"/>
        <v>744.56357158364483</v>
      </c>
      <c r="BH176" s="59">
        <f t="shared" si="116"/>
        <v>1037.8969049169782</v>
      </c>
      <c r="BI176" s="59">
        <f ca="1">AVERAGE(OFFSET($BH$3,0,0,'Données projet'!$E$11+1,1))-AVERAGE(OFFSET($H$3,0,0,'Données projet'!$E$11+1,1))</f>
        <v>352.61091660077574</v>
      </c>
      <c r="BJ176" s="59">
        <f t="shared" si="146"/>
        <v>186.48649111821521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34.991471477220671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34.991471477220671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266.99999999999983</v>
      </c>
      <c r="BZ176" s="13">
        <f>BY176*VLOOKUP('Données projet'!$B$12,Paramètres!$A$1:$I$89,3,0)*VLOOKUP('Données projet'!$B$12,Paramètres!$A$1:$I$89,5,0)</f>
        <v>212.42519999999985</v>
      </c>
      <c r="CA176" s="13">
        <f t="shared" si="170"/>
        <v>52.465198231787184</v>
      </c>
      <c r="CB176" s="20">
        <f t="shared" si="171"/>
        <v>461.35077692036231</v>
      </c>
      <c r="CC176" s="59">
        <f t="shared" si="119"/>
        <v>754.68411025369562</v>
      </c>
      <c r="CD176" s="59">
        <f ca="1">AVERAGE(OFFSET($CC$3,0,0,'Données projet'!$E$12+1,1))-AVERAGE(OFFSET($H$3,0,0,'Données projet'!$E$12+1,1))</f>
        <v>225.2323446080772</v>
      </c>
      <c r="CE176" s="59">
        <f t="shared" si="148"/>
        <v>222.29030402759292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6.8782457086851796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6.8782457086851796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213.00000000000003</v>
      </c>
      <c r="CU176" s="17">
        <f>CT176*VLOOKUP('Données projet'!$B$13,Paramètres!$A$1:$I$89,3,0)*VLOOKUP('Données projet'!$B$13,Paramètres!$A$1:$I$89,5,0)</f>
        <v>206.01360000000005</v>
      </c>
      <c r="CV176" s="13">
        <f t="shared" si="173"/>
        <v>51.063487709141484</v>
      </c>
      <c r="CW176" s="20">
        <f t="shared" si="174"/>
        <v>447.74259442675481</v>
      </c>
      <c r="CX176" s="59">
        <f t="shared" si="122"/>
        <v>741.07592776008812</v>
      </c>
      <c r="CY176" s="59">
        <f ca="1">AVERAGE(OFFSET($CX$3,0,0,'Données projet'!$E$13+1,1))-AVERAGE(OFFSET($H$3,0,0,'Données projet'!$E$13+1,1))</f>
        <v>212.32823943192528</v>
      </c>
      <c r="CZ176" s="59">
        <f t="shared" si="150"/>
        <v>209.60834138503003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5.2411873233702142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5.2411873233702142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285.99999999999972</v>
      </c>
      <c r="DP176" s="17">
        <f>DO176*VLOOKUP('Données projet'!$B$14,Paramètres!$A$1:$I$89,3,0)*VLOOKUP('Données projet'!$B$14,Paramètres!$A$1:$I$89,5,0)</f>
        <v>223.07999999999979</v>
      </c>
      <c r="DQ176" s="13">
        <f t="shared" si="176"/>
        <v>54.783765878062617</v>
      </c>
      <c r="DR176" s="20">
        <f t="shared" si="177"/>
        <v>483.94605890429199</v>
      </c>
      <c r="DS176" s="59">
        <f t="shared" si="125"/>
        <v>777.2793922376253</v>
      </c>
      <c r="DT176" s="59">
        <f ca="1">AVERAGE(OFFSET($DS$3,0,0,'Données projet'!$E$14+1,1))-AVERAGE(OFFSET($H$3,0,0,'Données projet'!$E$14+1,1))</f>
        <v>215.84581110302656</v>
      </c>
      <c r="DU176" s="59">
        <f t="shared" si="152"/>
        <v>193.88588526156104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7.630067404097125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7.630067404097125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6">
        <f t="shared" si="110"/>
        <v>479.224899648448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401</v>
      </c>
      <c r="O177" s="13">
        <f>N177*VLOOKUP('Données projet'!$B$9,Paramètres!$A$1:$I$89,3,0)*VLOOKUP('Données projet'!$B$9,Paramètres!$A$1:$I$89,5,0)</f>
        <v>250.22399999999999</v>
      </c>
      <c r="P177" s="13">
        <f t="shared" si="141"/>
        <v>60.633904580527918</v>
      </c>
      <c r="Q177" s="20">
        <f t="shared" si="162"/>
        <v>541.41085047775289</v>
      </c>
      <c r="R177" s="59">
        <f t="shared" si="109"/>
        <v>834.74418381108626</v>
      </c>
      <c r="S177" s="59">
        <f ca="1">AVERAGE(OFFSET($R$3,0,0,'Données projet'!$E$9+1,1))-AVERAGE(OFFSET($H$3,0,0,'Données projet'!$E$9+1,1))</f>
        <v>269.77739619445515</v>
      </c>
      <c r="T177" s="59">
        <f t="shared" si="142"/>
        <v>347.56964743629885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8.0095536505500142</v>
      </c>
      <c r="AA177" s="21">
        <f>EXP(-LN(2)/25)*AA176+(1-EXP(-LN(2)/25))/(LN(2)/25)*Calculateur!V177*Calculateur!X177*VLOOKUP('Données projet'!$B$9,Paramètres!$A$1:$I$89,3,0)*0.475*44/12</f>
        <v>1.6929196164030864</v>
      </c>
      <c r="AB177" s="21">
        <f>EXP(-LN(2)/2)*AB176+(1-EXP(-LN(2)/2))/(LN(2)/2)*V177*Y177*VLOOKUP('Données projet'!$B$9,Paramètres!$A$1:$I$89,3,0)*0.475*44/12</f>
        <v>5.2597243600402042E-24</v>
      </c>
      <c r="AC177" s="22">
        <f t="shared" si="163"/>
        <v>9.7024732669531009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789</v>
      </c>
      <c r="AJ177" s="13">
        <f>AI177*VLOOKUP('Données projet'!$B$10,Paramètres!$A$1:$I$89,3,0)*VLOOKUP('Données projet'!$B$10,Paramètres!$A$1:$I$89,5,0)</f>
        <v>389.76600000000002</v>
      </c>
      <c r="AK177" s="13">
        <f t="shared" si="164"/>
        <v>89.698759503620408</v>
      </c>
      <c r="AL177" s="20">
        <f t="shared" si="165"/>
        <v>835.06778946880547</v>
      </c>
      <c r="AM177" s="59">
        <f t="shared" si="113"/>
        <v>1128.4011228021388</v>
      </c>
      <c r="AN177" s="59">
        <f ca="1">AVERAGE(OFFSET($AM$3,0,0,'Données projet'!$E$10+1,1))-AVERAGE(OFFSET($H$3,0,0,'Données projet'!$E$10+1,1))</f>
        <v>396.27049617044378</v>
      </c>
      <c r="AO177" s="59">
        <f t="shared" si="144"/>
        <v>335.2680289568774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22.401111132035478</v>
      </c>
      <c r="AV177" s="21">
        <f>EXP(-LN(2)/25)*AV176+(1-EXP(-LN(2)/25))/(LN(2)/25)*Calculateur!AQ177*Calculateur!AS177*VLOOKUP('Données projet'!$B$10,Paramètres!$A$1:$I$89,3,0)*0.475*44/12</f>
        <v>0.86743981853240903</v>
      </c>
      <c r="AW177" s="21">
        <f>EXP(-LN(2)/2)*AW176+(1-EXP(-LN(2)/2))/(LN(2)/2)*AQ177*AT177*VLOOKUP('Données projet'!$B$10,Paramètres!$A$1:$I$89,3,0)*0.475*44/12</f>
        <v>8.1428325277659481E-23</v>
      </c>
      <c r="AX177" s="21">
        <f t="shared" si="166"/>
        <v>23.268550950567885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403.99999999999989</v>
      </c>
      <c r="BE177" s="13">
        <f>BD177*VLOOKUP('Données projet'!$B$11,Paramètres!$A$1:$I$89,3,0)*VLOOKUP('Données projet'!$B$11,Paramètres!$A$1:$I$89,5,0)</f>
        <v>346.63199999999995</v>
      </c>
      <c r="BF177" s="13">
        <f t="shared" si="167"/>
        <v>80.868615263336864</v>
      </c>
      <c r="BG177" s="20">
        <f t="shared" si="168"/>
        <v>744.56357158364483</v>
      </c>
      <c r="BH177" s="59">
        <f t="shared" si="116"/>
        <v>1037.8969049169782</v>
      </c>
      <c r="BI177" s="59">
        <f ca="1">AVERAGE(OFFSET($BH$3,0,0,'Données projet'!$E$11+1,1))-AVERAGE(OFFSET($H$3,0,0,'Données projet'!$E$11+1,1))</f>
        <v>352.61091660077574</v>
      </c>
      <c r="BJ177" s="59">
        <f t="shared" si="146"/>
        <v>186.48649111821521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34.305310064242562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34.305310064242562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266.99999999999983</v>
      </c>
      <c r="BZ177" s="13">
        <f>BY177*VLOOKUP('Données projet'!$B$12,Paramètres!$A$1:$I$89,3,0)*VLOOKUP('Données projet'!$B$12,Paramètres!$A$1:$I$89,5,0)</f>
        <v>212.42519999999985</v>
      </c>
      <c r="CA177" s="13">
        <f t="shared" si="170"/>
        <v>52.465198231787184</v>
      </c>
      <c r="CB177" s="20">
        <f t="shared" si="171"/>
        <v>461.35077692036231</v>
      </c>
      <c r="CC177" s="59">
        <f t="shared" si="119"/>
        <v>754.68411025369562</v>
      </c>
      <c r="CD177" s="59">
        <f ca="1">AVERAGE(OFFSET($CC$3,0,0,'Données projet'!$E$12+1,1))-AVERAGE(OFFSET($H$3,0,0,'Données projet'!$E$12+1,1))</f>
        <v>225.2323446080772</v>
      </c>
      <c r="CE177" s="59">
        <f t="shared" si="148"/>
        <v>222.29030402759292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6.7433675056534925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6.7433675056534925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213.00000000000003</v>
      </c>
      <c r="CU177" s="17">
        <f>CT177*VLOOKUP('Données projet'!$B$13,Paramètres!$A$1:$I$89,3,0)*VLOOKUP('Données projet'!$B$13,Paramètres!$A$1:$I$89,5,0)</f>
        <v>206.01360000000005</v>
      </c>
      <c r="CV177" s="13">
        <f t="shared" si="173"/>
        <v>51.063487709141484</v>
      </c>
      <c r="CW177" s="20">
        <f t="shared" si="174"/>
        <v>447.74259442675481</v>
      </c>
      <c r="CX177" s="59">
        <f t="shared" si="122"/>
        <v>741.07592776008812</v>
      </c>
      <c r="CY177" s="59">
        <f ca="1">AVERAGE(OFFSET($CX$3,0,0,'Données projet'!$E$13+1,1))-AVERAGE(OFFSET($H$3,0,0,'Données projet'!$E$13+1,1))</f>
        <v>212.32823943192528</v>
      </c>
      <c r="CZ177" s="59">
        <f t="shared" si="150"/>
        <v>209.60834138503003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5.138410836767533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5.138410836767533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285.99999999999972</v>
      </c>
      <c r="DP177" s="17">
        <f>DO177*VLOOKUP('Données projet'!$B$14,Paramètres!$A$1:$I$89,3,0)*VLOOKUP('Données projet'!$B$14,Paramètres!$A$1:$I$89,5,0)</f>
        <v>223.07999999999979</v>
      </c>
      <c r="DQ177" s="13">
        <f t="shared" si="176"/>
        <v>54.783765878062617</v>
      </c>
      <c r="DR177" s="20">
        <f t="shared" si="177"/>
        <v>483.94605890429199</v>
      </c>
      <c r="DS177" s="59">
        <f t="shared" si="125"/>
        <v>777.2793922376253</v>
      </c>
      <c r="DT177" s="59">
        <f ca="1">AVERAGE(OFFSET($DS$3,0,0,'Données projet'!$E$14+1,1))-AVERAGE(OFFSET($H$3,0,0,'Données projet'!$E$14+1,1))</f>
        <v>215.84581110302656</v>
      </c>
      <c r="DU177" s="59">
        <f t="shared" si="152"/>
        <v>193.88588526156104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7.4804464361843639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7.4804464361843639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6">
        <f t="shared" si="110"/>
        <v>480.26633205731122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401</v>
      </c>
      <c r="O178" s="13">
        <f>N178*VLOOKUP('Données projet'!$B$9,Paramètres!$A$1:$I$89,3,0)*VLOOKUP('Données projet'!$B$9,Paramètres!$A$1:$I$89,5,0)</f>
        <v>250.22399999999999</v>
      </c>
      <c r="P178" s="13">
        <f t="shared" si="141"/>
        <v>60.633904580527918</v>
      </c>
      <c r="Q178" s="20">
        <f t="shared" si="162"/>
        <v>541.41085047775289</v>
      </c>
      <c r="R178" s="59">
        <f t="shared" si="109"/>
        <v>834.74418381108626</v>
      </c>
      <c r="S178" s="59">
        <f ca="1">AVERAGE(OFFSET($R$3,0,0,'Données projet'!$E$9+1,1))-AVERAGE(OFFSET($H$3,0,0,'Données projet'!$E$9+1,1))</f>
        <v>269.77739619445515</v>
      </c>
      <c r="T178" s="59">
        <f t="shared" si="142"/>
        <v>347.56964743629885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7.8524911888080675</v>
      </c>
      <c r="AA178" s="21">
        <f>EXP(-LN(2)/25)*AA177+(1-EXP(-LN(2)/25))/(LN(2)/25)*Calculateur!V178*Calculateur!X178*VLOOKUP('Données projet'!$B$9,Paramètres!$A$1:$I$89,3,0)*0.475*44/12</f>
        <v>1.6466266404657706</v>
      </c>
      <c r="AB178" s="21">
        <f>EXP(-LN(2)/2)*AB177+(1-EXP(-LN(2)/2))/(LN(2)/2)*V178*Y178*VLOOKUP('Données projet'!$B$9,Paramètres!$A$1:$I$89,3,0)*0.475*44/12</f>
        <v>3.7191867621565023E-24</v>
      </c>
      <c r="AC178" s="22">
        <f t="shared" si="163"/>
        <v>9.499117829273839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789</v>
      </c>
      <c r="AJ178" s="13">
        <f>AI178*VLOOKUP('Données projet'!$B$10,Paramètres!$A$1:$I$89,3,0)*VLOOKUP('Données projet'!$B$10,Paramètres!$A$1:$I$89,5,0)</f>
        <v>389.76600000000002</v>
      </c>
      <c r="AK178" s="13">
        <f t="shared" si="164"/>
        <v>89.698759503620408</v>
      </c>
      <c r="AL178" s="20">
        <f t="shared" si="165"/>
        <v>835.06778946880547</v>
      </c>
      <c r="AM178" s="59">
        <f t="shared" si="113"/>
        <v>1128.4011228021388</v>
      </c>
      <c r="AN178" s="59">
        <f ca="1">AVERAGE(OFFSET($AM$3,0,0,'Données projet'!$E$10+1,1))-AVERAGE(OFFSET($H$3,0,0,'Données projet'!$E$10+1,1))</f>
        <v>396.27049617044378</v>
      </c>
      <c r="AO178" s="59">
        <f t="shared" si="144"/>
        <v>335.2680289568774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21.96183900606491</v>
      </c>
      <c r="AV178" s="21">
        <f>EXP(-LN(2)/25)*AV177+(1-EXP(-LN(2)/25))/(LN(2)/25)*Calculateur!AQ178*Calculateur!AS178*VLOOKUP('Données projet'!$B$10,Paramètres!$A$1:$I$89,3,0)*0.475*44/12</f>
        <v>0.84371963107796277</v>
      </c>
      <c r="AW178" s="21">
        <f>EXP(-LN(2)/2)*AW177+(1-EXP(-LN(2)/2))/(LN(2)/2)*AQ178*AT178*VLOOKUP('Données projet'!$B$10,Paramètres!$A$1:$I$89,3,0)*0.475*44/12</f>
        <v>5.7578520984496979E-23</v>
      </c>
      <c r="AX178" s="21">
        <f t="shared" si="166"/>
        <v>22.805558637142873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403.99999999999989</v>
      </c>
      <c r="BE178" s="13">
        <f>BD178*VLOOKUP('Données projet'!$B$11,Paramètres!$A$1:$I$89,3,0)*VLOOKUP('Données projet'!$B$11,Paramètres!$A$1:$I$89,5,0)</f>
        <v>346.63199999999995</v>
      </c>
      <c r="BF178" s="13">
        <f t="shared" si="167"/>
        <v>80.868615263336864</v>
      </c>
      <c r="BG178" s="20">
        <f t="shared" si="168"/>
        <v>744.56357158364483</v>
      </c>
      <c r="BH178" s="59">
        <f t="shared" si="116"/>
        <v>1037.8969049169782</v>
      </c>
      <c r="BI178" s="59">
        <f ca="1">AVERAGE(OFFSET($BH$3,0,0,'Données projet'!$E$11+1,1))-AVERAGE(OFFSET($H$3,0,0,'Données projet'!$E$11+1,1))</f>
        <v>352.61091660077574</v>
      </c>
      <c r="BJ178" s="59">
        <f t="shared" si="146"/>
        <v>186.48649111821521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33.632603858055816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33.632603858055816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266.99999999999983</v>
      </c>
      <c r="BZ178" s="13">
        <f>BY178*VLOOKUP('Données projet'!$B$12,Paramètres!$A$1:$I$89,3,0)*VLOOKUP('Données projet'!$B$12,Paramètres!$A$1:$I$89,5,0)</f>
        <v>212.42519999999985</v>
      </c>
      <c r="CA178" s="13">
        <f t="shared" si="170"/>
        <v>52.465198231787184</v>
      </c>
      <c r="CB178" s="20">
        <f t="shared" si="171"/>
        <v>461.35077692036231</v>
      </c>
      <c r="CC178" s="59">
        <f t="shared" si="119"/>
        <v>754.68411025369562</v>
      </c>
      <c r="CD178" s="59">
        <f ca="1">AVERAGE(OFFSET($CC$3,0,0,'Données projet'!$E$12+1,1))-AVERAGE(OFFSET($H$3,0,0,'Données projet'!$E$12+1,1))</f>
        <v>225.2323446080772</v>
      </c>
      <c r="CE178" s="59">
        <f t="shared" si="148"/>
        <v>222.29030402759292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6.6111341819156761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6.6111341819156761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213.00000000000003</v>
      </c>
      <c r="CU178" s="17">
        <f>CT178*VLOOKUP('Données projet'!$B$13,Paramètres!$A$1:$I$89,3,0)*VLOOKUP('Données projet'!$B$13,Paramètres!$A$1:$I$89,5,0)</f>
        <v>206.01360000000005</v>
      </c>
      <c r="CV178" s="13">
        <f t="shared" si="173"/>
        <v>51.063487709141484</v>
      </c>
      <c r="CW178" s="20">
        <f t="shared" si="174"/>
        <v>447.74259442675481</v>
      </c>
      <c r="CX178" s="59">
        <f t="shared" si="122"/>
        <v>741.07592776008812</v>
      </c>
      <c r="CY178" s="59">
        <f ca="1">AVERAGE(OFFSET($CX$3,0,0,'Données projet'!$E$13+1,1))-AVERAGE(OFFSET($H$3,0,0,'Données projet'!$E$13+1,1))</f>
        <v>212.32823943192528</v>
      </c>
      <c r="CZ178" s="59">
        <f t="shared" si="150"/>
        <v>209.60834138503003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5.0376497343796629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5.0376497343796629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285.99999999999972</v>
      </c>
      <c r="DP178" s="17">
        <f>DO178*VLOOKUP('Données projet'!$B$14,Paramètres!$A$1:$I$89,3,0)*VLOOKUP('Données projet'!$B$14,Paramètres!$A$1:$I$89,5,0)</f>
        <v>223.07999999999979</v>
      </c>
      <c r="DQ178" s="13">
        <f t="shared" si="176"/>
        <v>54.783765878062617</v>
      </c>
      <c r="DR178" s="20">
        <f t="shared" si="177"/>
        <v>483.94605890429199</v>
      </c>
      <c r="DS178" s="59">
        <f t="shared" si="125"/>
        <v>777.2793922376253</v>
      </c>
      <c r="DT178" s="59">
        <f ca="1">AVERAGE(OFFSET($DS$3,0,0,'Données projet'!$E$14+1,1))-AVERAGE(OFFSET($H$3,0,0,'Données projet'!$E$14+1,1))</f>
        <v>215.84581110302656</v>
      </c>
      <c r="DU178" s="59">
        <f t="shared" si="152"/>
        <v>193.88588526156104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7.3337594441925935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7.3337594441925935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6">
        <f t="shared" si="110"/>
        <v>481.3076290270003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401</v>
      </c>
      <c r="O179" s="13">
        <f>N179*VLOOKUP('Données projet'!$B$9,Paramètres!$A$1:$I$89,3,0)*VLOOKUP('Données projet'!$B$9,Paramètres!$A$1:$I$89,5,0)</f>
        <v>250.22399999999999</v>
      </c>
      <c r="P179" s="13">
        <f t="shared" si="141"/>
        <v>60.633904580527918</v>
      </c>
      <c r="Q179" s="20">
        <f t="shared" si="162"/>
        <v>541.41085047775289</v>
      </c>
      <c r="R179" s="59">
        <f t="shared" si="109"/>
        <v>834.74418381108626</v>
      </c>
      <c r="S179" s="59">
        <f ca="1">AVERAGE(OFFSET($R$3,0,0,'Données projet'!$E$9+1,1))-AVERAGE(OFFSET($H$3,0,0,'Données projet'!$E$9+1,1))</f>
        <v>269.77739619445515</v>
      </c>
      <c r="T179" s="59">
        <f t="shared" si="142"/>
        <v>347.56964743629885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7.698508626142238</v>
      </c>
      <c r="AA179" s="21">
        <f>EXP(-LN(2)/25)*AA178+(1-EXP(-LN(2)/25))/(LN(2)/25)*Calculateur!V179*Calculateur!X179*VLOOKUP('Données projet'!$B$9,Paramètres!$A$1:$I$89,3,0)*0.475*44/12</f>
        <v>1.6015995483899024</v>
      </c>
      <c r="AB179" s="21">
        <f>EXP(-LN(2)/2)*AB178+(1-EXP(-LN(2)/2))/(LN(2)/2)*V179*Y179*VLOOKUP('Données projet'!$B$9,Paramètres!$A$1:$I$89,3,0)*0.475*44/12</f>
        <v>2.6298621800201021E-24</v>
      </c>
      <c r="AC179" s="22">
        <f t="shared" si="163"/>
        <v>9.3001081745321397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789</v>
      </c>
      <c r="AJ179" s="13">
        <f>AI179*VLOOKUP('Données projet'!$B$10,Paramètres!$A$1:$I$89,3,0)*VLOOKUP('Données projet'!$B$10,Paramètres!$A$1:$I$89,5,0)</f>
        <v>389.76600000000002</v>
      </c>
      <c r="AK179" s="13">
        <f t="shared" si="164"/>
        <v>89.698759503620408</v>
      </c>
      <c r="AL179" s="20">
        <f t="shared" si="165"/>
        <v>835.06778946880547</v>
      </c>
      <c r="AM179" s="59">
        <f t="shared" si="113"/>
        <v>1128.4011228021388</v>
      </c>
      <c r="AN179" s="59">
        <f ca="1">AVERAGE(OFFSET($AM$3,0,0,'Données projet'!$E$10+1,1))-AVERAGE(OFFSET($H$3,0,0,'Données projet'!$E$10+1,1))</f>
        <v>396.27049617044378</v>
      </c>
      <c r="AO179" s="59">
        <f t="shared" si="144"/>
        <v>335.2680289568774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21.531180738555086</v>
      </c>
      <c r="AV179" s="21">
        <f>EXP(-LN(2)/25)*AV178+(1-EXP(-LN(2)/25))/(LN(2)/25)*Calculateur!AQ179*Calculateur!AS179*VLOOKUP('Données projet'!$B$10,Paramètres!$A$1:$I$89,3,0)*0.475*44/12</f>
        <v>0.82064807339684887</v>
      </c>
      <c r="AW179" s="21">
        <f>EXP(-LN(2)/2)*AW178+(1-EXP(-LN(2)/2))/(LN(2)/2)*AQ179*AT179*VLOOKUP('Données projet'!$B$10,Paramètres!$A$1:$I$89,3,0)*0.475*44/12</f>
        <v>4.0714162638829741E-23</v>
      </c>
      <c r="AX179" s="21">
        <f t="shared" si="166"/>
        <v>22.351828811951936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403.99999999999989</v>
      </c>
      <c r="BE179" s="13">
        <f>BD179*VLOOKUP('Données projet'!$B$11,Paramètres!$A$1:$I$89,3,0)*VLOOKUP('Données projet'!$B$11,Paramètres!$A$1:$I$89,5,0)</f>
        <v>346.63199999999995</v>
      </c>
      <c r="BF179" s="13">
        <f t="shared" si="167"/>
        <v>80.868615263336864</v>
      </c>
      <c r="BG179" s="20">
        <f t="shared" si="168"/>
        <v>744.56357158364483</v>
      </c>
      <c r="BH179" s="59">
        <f t="shared" si="116"/>
        <v>1037.8969049169782</v>
      </c>
      <c r="BI179" s="59">
        <f ca="1">AVERAGE(OFFSET($BH$3,0,0,'Données projet'!$E$11+1,1))-AVERAGE(OFFSET($H$3,0,0,'Données projet'!$E$11+1,1))</f>
        <v>352.61091660077574</v>
      </c>
      <c r="BJ179" s="59">
        <f t="shared" si="146"/>
        <v>186.48649111821521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32.973089010262122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32.973089010262122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266.99999999999983</v>
      </c>
      <c r="BZ179" s="13">
        <f>BY179*VLOOKUP('Données projet'!$B$12,Paramètres!$A$1:$I$89,3,0)*VLOOKUP('Données projet'!$B$12,Paramètres!$A$1:$I$89,5,0)</f>
        <v>212.42519999999985</v>
      </c>
      <c r="CA179" s="13">
        <f t="shared" si="170"/>
        <v>52.465198231787184</v>
      </c>
      <c r="CB179" s="20">
        <f t="shared" si="171"/>
        <v>461.35077692036231</v>
      </c>
      <c r="CC179" s="59">
        <f t="shared" si="119"/>
        <v>754.68411025369562</v>
      </c>
      <c r="CD179" s="59">
        <f ca="1">AVERAGE(OFFSET($CC$3,0,0,'Données projet'!$E$12+1,1))-AVERAGE(OFFSET($H$3,0,0,'Données projet'!$E$12+1,1))</f>
        <v>225.2323446080772</v>
      </c>
      <c r="CE179" s="59">
        <f t="shared" si="148"/>
        <v>222.29030402759292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6.4814938730019946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6.4814938730019946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213.00000000000003</v>
      </c>
      <c r="CU179" s="17">
        <f>CT179*VLOOKUP('Données projet'!$B$13,Paramètres!$A$1:$I$89,3,0)*VLOOKUP('Données projet'!$B$13,Paramètres!$A$1:$I$89,5,0)</f>
        <v>206.01360000000005</v>
      </c>
      <c r="CV179" s="13">
        <f t="shared" si="173"/>
        <v>51.063487709141484</v>
      </c>
      <c r="CW179" s="20">
        <f t="shared" si="174"/>
        <v>447.74259442675481</v>
      </c>
      <c r="CX179" s="59">
        <f t="shared" si="122"/>
        <v>741.07592776008812</v>
      </c>
      <c r="CY179" s="59">
        <f ca="1">AVERAGE(OFFSET($CX$3,0,0,'Données projet'!$E$13+1,1))-AVERAGE(OFFSET($H$3,0,0,'Données projet'!$E$13+1,1))</f>
        <v>212.32823943192528</v>
      </c>
      <c r="CZ179" s="59">
        <f t="shared" si="150"/>
        <v>209.60834138503003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4.9388644957514156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4.9388644957514156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285.99999999999972</v>
      </c>
      <c r="DP179" s="17">
        <f>DO179*VLOOKUP('Données projet'!$B$14,Paramètres!$A$1:$I$89,3,0)*VLOOKUP('Données projet'!$B$14,Paramètres!$A$1:$I$89,5,0)</f>
        <v>223.07999999999979</v>
      </c>
      <c r="DQ179" s="13">
        <f t="shared" si="176"/>
        <v>54.783765878062617</v>
      </c>
      <c r="DR179" s="20">
        <f t="shared" si="177"/>
        <v>483.94605890429199</v>
      </c>
      <c r="DS179" s="59">
        <f t="shared" si="125"/>
        <v>777.2793922376253</v>
      </c>
      <c r="DT179" s="59">
        <f ca="1">AVERAGE(OFFSET($DS$3,0,0,'Données projet'!$E$14+1,1))-AVERAGE(OFFSET($H$3,0,0,'Données projet'!$E$14+1,1))</f>
        <v>215.84581110302656</v>
      </c>
      <c r="DU179" s="59">
        <f t="shared" si="152"/>
        <v>193.88588526156104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7.1899488946435506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7.1899488946435506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6">
        <f t="shared" si="110"/>
        <v>482.34879141635599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401</v>
      </c>
      <c r="O180" s="13">
        <f>N180*VLOOKUP('Données projet'!$B$9,Paramètres!$A$1:$I$89,3,0)*VLOOKUP('Données projet'!$B$9,Paramètres!$A$1:$I$89,5,0)</f>
        <v>250.22399999999999</v>
      </c>
      <c r="P180" s="13">
        <f t="shared" si="141"/>
        <v>60.633904580527918</v>
      </c>
      <c r="Q180" s="20">
        <f t="shared" si="162"/>
        <v>541.41085047775289</v>
      </c>
      <c r="R180" s="59">
        <f t="shared" si="109"/>
        <v>834.74418381108626</v>
      </c>
      <c r="S180" s="59">
        <f ca="1">AVERAGE(OFFSET($R$3,0,0,'Données projet'!$E$9+1,1))-AVERAGE(OFFSET($H$3,0,0,'Données projet'!$E$9+1,1))</f>
        <v>269.77739619445515</v>
      </c>
      <c r="T180" s="59">
        <f t="shared" si="142"/>
        <v>347.56964743629885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7.5475455676101957</v>
      </c>
      <c r="AA180" s="21">
        <f>EXP(-LN(2)/25)*AA179+(1-EXP(-LN(2)/25))/(LN(2)/25)*Calculateur!V180*Calculateur!X180*VLOOKUP('Données projet'!$B$9,Paramètres!$A$1:$I$89,3,0)*0.475*44/12</f>
        <v>1.5578037245147207</v>
      </c>
      <c r="AB180" s="21">
        <f>EXP(-LN(2)/2)*AB179+(1-EXP(-LN(2)/2))/(LN(2)/2)*V180*Y180*VLOOKUP('Données projet'!$B$9,Paramètres!$A$1:$I$89,3,0)*0.475*44/12</f>
        <v>1.8595933810782511E-24</v>
      </c>
      <c r="AC180" s="22">
        <f t="shared" si="163"/>
        <v>9.1053492921249166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789</v>
      </c>
      <c r="AJ180" s="13">
        <f>AI180*VLOOKUP('Données projet'!$B$10,Paramètres!$A$1:$I$89,3,0)*VLOOKUP('Données projet'!$B$10,Paramètres!$A$1:$I$89,5,0)</f>
        <v>389.76600000000002</v>
      </c>
      <c r="AK180" s="13">
        <f t="shared" si="164"/>
        <v>89.698759503620408</v>
      </c>
      <c r="AL180" s="20">
        <f t="shared" si="165"/>
        <v>835.06778946880547</v>
      </c>
      <c r="AM180" s="59">
        <f t="shared" si="113"/>
        <v>1128.4011228021388</v>
      </c>
      <c r="AN180" s="59">
        <f ca="1">AVERAGE(OFFSET($AM$3,0,0,'Données projet'!$E$10+1,1))-AVERAGE(OFFSET($H$3,0,0,'Données projet'!$E$10+1,1))</f>
        <v>396.27049617044378</v>
      </c>
      <c r="AO180" s="59">
        <f t="shared" si="144"/>
        <v>335.2680289568774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21.108967416995522</v>
      </c>
      <c r="AV180" s="21">
        <f>EXP(-LN(2)/25)*AV179+(1-EXP(-LN(2)/25))/(LN(2)/25)*Calculateur!AQ180*Calculateur!AS180*VLOOKUP('Données projet'!$B$10,Paramètres!$A$1:$I$89,3,0)*0.475*44/12</f>
        <v>0.79820740867380546</v>
      </c>
      <c r="AW180" s="21">
        <f>EXP(-LN(2)/2)*AW179+(1-EXP(-LN(2)/2))/(LN(2)/2)*AQ180*AT180*VLOOKUP('Données projet'!$B$10,Paramètres!$A$1:$I$89,3,0)*0.475*44/12</f>
        <v>2.878926049224849E-23</v>
      </c>
      <c r="AX180" s="21">
        <f t="shared" si="166"/>
        <v>21.907174825669326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403.99999999999989</v>
      </c>
      <c r="BE180" s="13">
        <f>BD180*VLOOKUP('Données projet'!$B$11,Paramètres!$A$1:$I$89,3,0)*VLOOKUP('Données projet'!$B$11,Paramètres!$A$1:$I$89,5,0)</f>
        <v>346.63199999999995</v>
      </c>
      <c r="BF180" s="13">
        <f t="shared" si="167"/>
        <v>80.868615263336864</v>
      </c>
      <c r="BG180" s="20">
        <f t="shared" si="168"/>
        <v>744.56357158364483</v>
      </c>
      <c r="BH180" s="59">
        <f t="shared" si="116"/>
        <v>1037.8969049169782</v>
      </c>
      <c r="BI180" s="59">
        <f ca="1">AVERAGE(OFFSET($BH$3,0,0,'Données projet'!$E$11+1,1))-AVERAGE(OFFSET($H$3,0,0,'Données projet'!$E$11+1,1))</f>
        <v>352.61091660077574</v>
      </c>
      <c r="BJ180" s="59">
        <f t="shared" si="146"/>
        <v>186.48649111821521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32.32650684636932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32.32650684636932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266.99999999999983</v>
      </c>
      <c r="BZ180" s="13">
        <f>BY180*VLOOKUP('Données projet'!$B$12,Paramètres!$A$1:$I$89,3,0)*VLOOKUP('Données projet'!$B$12,Paramètres!$A$1:$I$89,5,0)</f>
        <v>212.42519999999985</v>
      </c>
      <c r="CA180" s="13">
        <f t="shared" si="170"/>
        <v>52.465198231787184</v>
      </c>
      <c r="CB180" s="20">
        <f t="shared" si="171"/>
        <v>461.35077692036231</v>
      </c>
      <c r="CC180" s="59">
        <f t="shared" si="119"/>
        <v>754.68411025369562</v>
      </c>
      <c r="CD180" s="59">
        <f ca="1">AVERAGE(OFFSET($CC$3,0,0,'Données projet'!$E$12+1,1))-AVERAGE(OFFSET($H$3,0,0,'Données projet'!$E$12+1,1))</f>
        <v>225.2323446080772</v>
      </c>
      <c r="CE180" s="59">
        <f t="shared" si="148"/>
        <v>222.29030402759292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6.3543957314733301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6.3543957314733301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213.00000000000003</v>
      </c>
      <c r="CU180" s="17">
        <f>CT180*VLOOKUP('Données projet'!$B$13,Paramètres!$A$1:$I$89,3,0)*VLOOKUP('Données projet'!$B$13,Paramètres!$A$1:$I$89,5,0)</f>
        <v>206.01360000000005</v>
      </c>
      <c r="CV180" s="13">
        <f t="shared" si="173"/>
        <v>51.063487709141484</v>
      </c>
      <c r="CW180" s="20">
        <f t="shared" si="174"/>
        <v>447.74259442675481</v>
      </c>
      <c r="CX180" s="59">
        <f t="shared" si="122"/>
        <v>741.07592776008812</v>
      </c>
      <c r="CY180" s="59">
        <f ca="1">AVERAGE(OFFSET($CX$3,0,0,'Données projet'!$E$13+1,1))-AVERAGE(OFFSET($H$3,0,0,'Données projet'!$E$13+1,1))</f>
        <v>212.32823943192528</v>
      </c>
      <c r="CZ180" s="59">
        <f t="shared" si="150"/>
        <v>209.60834138503003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4.8420163753996217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4.8420163753996217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285.99999999999972</v>
      </c>
      <c r="DP180" s="17">
        <f>DO180*VLOOKUP('Données projet'!$B$14,Paramètres!$A$1:$I$89,3,0)*VLOOKUP('Données projet'!$B$14,Paramètres!$A$1:$I$89,5,0)</f>
        <v>223.07999999999979</v>
      </c>
      <c r="DQ180" s="13">
        <f t="shared" si="176"/>
        <v>54.783765878062617</v>
      </c>
      <c r="DR180" s="20">
        <f t="shared" si="177"/>
        <v>483.94605890429199</v>
      </c>
      <c r="DS180" s="59">
        <f t="shared" si="125"/>
        <v>777.2793922376253</v>
      </c>
      <c r="DT180" s="59">
        <f ca="1">AVERAGE(OFFSET($DS$3,0,0,'Données projet'!$E$14+1,1))-AVERAGE(OFFSET($H$3,0,0,'Données projet'!$E$14+1,1))</f>
        <v>215.84581110302656</v>
      </c>
      <c r="DU180" s="59">
        <f t="shared" si="152"/>
        <v>193.88588526156104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7.0489583822553907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7.0489583822553907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6">
        <f t="shared" si="110"/>
        <v>483.38982007395271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401</v>
      </c>
      <c r="O181" s="13">
        <f>N181*VLOOKUP('Données projet'!$B$9,Paramètres!$A$1:$I$89,3,0)*VLOOKUP('Données projet'!$B$9,Paramètres!$A$1:$I$89,5,0)</f>
        <v>250.22399999999999</v>
      </c>
      <c r="P181" s="13">
        <f t="shared" si="141"/>
        <v>60.633904580527918</v>
      </c>
      <c r="Q181" s="20">
        <f t="shared" si="162"/>
        <v>541.41085047775289</v>
      </c>
      <c r="R181" s="59">
        <f t="shared" si="109"/>
        <v>834.74418381108626</v>
      </c>
      <c r="S181" s="59">
        <f ca="1">AVERAGE(OFFSET($R$3,0,0,'Données projet'!$E$9+1,1))-AVERAGE(OFFSET($H$3,0,0,'Données projet'!$E$9+1,1))</f>
        <v>269.77739619445515</v>
      </c>
      <c r="T181" s="59">
        <f t="shared" si="142"/>
        <v>347.56964743629885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7.3995428025775931</v>
      </c>
      <c r="AA181" s="21">
        <f>EXP(-LN(2)/25)*AA180+(1-EXP(-LN(2)/25))/(LN(2)/25)*Calculateur!V181*Calculateur!X181*VLOOKUP('Données projet'!$B$9,Paramètres!$A$1:$I$89,3,0)*0.475*44/12</f>
        <v>1.5152054997465283</v>
      </c>
      <c r="AB181" s="21">
        <f>EXP(-LN(2)/2)*AB180+(1-EXP(-LN(2)/2))/(LN(2)/2)*V181*Y181*VLOOKUP('Données projet'!$B$9,Paramètres!$A$1:$I$89,3,0)*0.475*44/12</f>
        <v>1.314931090010051E-24</v>
      </c>
      <c r="AC181" s="22">
        <f t="shared" si="163"/>
        <v>8.9147483023241207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789</v>
      </c>
      <c r="AJ181" s="13">
        <f>AI181*VLOOKUP('Données projet'!$B$10,Paramètres!$A$1:$I$89,3,0)*VLOOKUP('Données projet'!$B$10,Paramètres!$A$1:$I$89,5,0)</f>
        <v>389.76600000000002</v>
      </c>
      <c r="AK181" s="13">
        <f t="shared" si="164"/>
        <v>89.698759503620408</v>
      </c>
      <c r="AL181" s="20">
        <f t="shared" si="165"/>
        <v>835.06778946880547</v>
      </c>
      <c r="AM181" s="59">
        <f t="shared" si="113"/>
        <v>1128.4011228021388</v>
      </c>
      <c r="AN181" s="59">
        <f ca="1">AVERAGE(OFFSET($AM$3,0,0,'Données projet'!$E$10+1,1))-AVERAGE(OFFSET($H$3,0,0,'Données projet'!$E$10+1,1))</f>
        <v>396.27049617044378</v>
      </c>
      <c r="AO181" s="59">
        <f t="shared" si="144"/>
        <v>335.2680289568774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20.695033441147043</v>
      </c>
      <c r="AV181" s="21">
        <f>EXP(-LN(2)/25)*AV180+(1-EXP(-LN(2)/25))/(LN(2)/25)*Calculateur!AQ181*Calculateur!AS181*VLOOKUP('Données projet'!$B$10,Paramètres!$A$1:$I$89,3,0)*0.475*44/12</f>
        <v>0.77638038510771701</v>
      </c>
      <c r="AW181" s="21">
        <f>EXP(-LN(2)/2)*AW180+(1-EXP(-LN(2)/2))/(LN(2)/2)*AQ181*AT181*VLOOKUP('Données projet'!$B$10,Paramètres!$A$1:$I$89,3,0)*0.475*44/12</f>
        <v>2.035708131941487E-23</v>
      </c>
      <c r="AX181" s="21">
        <f t="shared" si="166"/>
        <v>21.471413826254761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403.99999999999989</v>
      </c>
      <c r="BE181" s="13">
        <f>BD181*VLOOKUP('Données projet'!$B$11,Paramètres!$A$1:$I$89,3,0)*VLOOKUP('Données projet'!$B$11,Paramètres!$A$1:$I$89,5,0)</f>
        <v>346.63199999999995</v>
      </c>
      <c r="BF181" s="13">
        <f t="shared" si="167"/>
        <v>80.868615263336864</v>
      </c>
      <c r="BG181" s="20">
        <f t="shared" si="168"/>
        <v>744.56357158364483</v>
      </c>
      <c r="BH181" s="59">
        <f t="shared" si="116"/>
        <v>1037.8969049169782</v>
      </c>
      <c r="BI181" s="59">
        <f ca="1">AVERAGE(OFFSET($BH$3,0,0,'Données projet'!$E$11+1,1))-AVERAGE(OFFSET($H$3,0,0,'Données projet'!$E$11+1,1))</f>
        <v>352.61091660077574</v>
      </c>
      <c r="BJ181" s="59">
        <f t="shared" si="146"/>
        <v>186.48649111821521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31.69260376433428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31.69260376433428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266.99999999999983</v>
      </c>
      <c r="BZ181" s="13">
        <f>BY181*VLOOKUP('Données projet'!$B$12,Paramètres!$A$1:$I$89,3,0)*VLOOKUP('Données projet'!$B$12,Paramètres!$A$1:$I$89,5,0)</f>
        <v>212.42519999999985</v>
      </c>
      <c r="CA181" s="13">
        <f t="shared" si="170"/>
        <v>52.465198231787184</v>
      </c>
      <c r="CB181" s="20">
        <f t="shared" si="171"/>
        <v>461.35077692036231</v>
      </c>
      <c r="CC181" s="59">
        <f t="shared" si="119"/>
        <v>754.68411025369562</v>
      </c>
      <c r="CD181" s="59">
        <f ca="1">AVERAGE(OFFSET($CC$3,0,0,'Données projet'!$E$12+1,1))-AVERAGE(OFFSET($H$3,0,0,'Données projet'!$E$12+1,1))</f>
        <v>225.2323446080772</v>
      </c>
      <c r="CE181" s="59">
        <f t="shared" si="148"/>
        <v>222.29030402759292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6.2297899069778309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6.2297899069778309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213.00000000000003</v>
      </c>
      <c r="CU181" s="17">
        <f>CT181*VLOOKUP('Données projet'!$B$13,Paramètres!$A$1:$I$89,3,0)*VLOOKUP('Données projet'!$B$13,Paramètres!$A$1:$I$89,5,0)</f>
        <v>206.01360000000005</v>
      </c>
      <c r="CV181" s="13">
        <f t="shared" si="173"/>
        <v>51.063487709141484</v>
      </c>
      <c r="CW181" s="20">
        <f t="shared" si="174"/>
        <v>447.74259442675481</v>
      </c>
      <c r="CX181" s="59">
        <f t="shared" si="122"/>
        <v>741.07592776008812</v>
      </c>
      <c r="CY181" s="59">
        <f ca="1">AVERAGE(OFFSET($CX$3,0,0,'Données projet'!$E$13+1,1))-AVERAGE(OFFSET($H$3,0,0,'Données projet'!$E$13+1,1))</f>
        <v>212.32823943192528</v>
      </c>
      <c r="CZ181" s="59">
        <f t="shared" si="150"/>
        <v>209.60834138503003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4.747067387616406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4.747067387616406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285.99999999999972</v>
      </c>
      <c r="DP181" s="17">
        <f>DO181*VLOOKUP('Données projet'!$B$14,Paramètres!$A$1:$I$89,3,0)*VLOOKUP('Données projet'!$B$14,Paramètres!$A$1:$I$89,5,0)</f>
        <v>223.07999999999979</v>
      </c>
      <c r="DQ181" s="13">
        <f t="shared" si="176"/>
        <v>54.783765878062617</v>
      </c>
      <c r="DR181" s="20">
        <f t="shared" si="177"/>
        <v>483.94605890429199</v>
      </c>
      <c r="DS181" s="59">
        <f t="shared" si="125"/>
        <v>777.2793922376253</v>
      </c>
      <c r="DT181" s="59">
        <f ca="1">AVERAGE(OFFSET($DS$3,0,0,'Données projet'!$E$14+1,1))-AVERAGE(OFFSET($H$3,0,0,'Données projet'!$E$14+1,1))</f>
        <v>215.84581110302656</v>
      </c>
      <c r="DU181" s="59">
        <f t="shared" si="152"/>
        <v>193.88588526156104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6.9107326078194413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6.9107326078194413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6">
        <f t="shared" si="110"/>
        <v>484.43071583827873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401</v>
      </c>
      <c r="O182" s="13">
        <f>N182*VLOOKUP('Données projet'!$B$9,Paramètres!$A$1:$I$89,3,0)*VLOOKUP('Données projet'!$B$9,Paramètres!$A$1:$I$89,5,0)</f>
        <v>250.22399999999999</v>
      </c>
      <c r="P182" s="13">
        <f t="shared" si="141"/>
        <v>60.633904580527918</v>
      </c>
      <c r="Q182" s="20">
        <f t="shared" si="162"/>
        <v>541.41085047775289</v>
      </c>
      <c r="R182" s="59">
        <f t="shared" si="109"/>
        <v>834.74418381108626</v>
      </c>
      <c r="S182" s="59">
        <f ca="1">AVERAGE(OFFSET($R$3,0,0,'Données projet'!$E$9+1,1))-AVERAGE(OFFSET($H$3,0,0,'Données projet'!$E$9+1,1))</f>
        <v>269.77739619445515</v>
      </c>
      <c r="T182" s="59">
        <f t="shared" si="142"/>
        <v>347.56964743629885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7.2544422814945069</v>
      </c>
      <c r="AA182" s="21">
        <f>EXP(-LN(2)/25)*AA181+(1-EXP(-LN(2)/25))/(LN(2)/25)*Calculateur!V182*Calculateur!X182*VLOOKUP('Données projet'!$B$9,Paramètres!$A$1:$I$89,3,0)*0.475*44/12</f>
        <v>1.4737721256747653</v>
      </c>
      <c r="AB182" s="21">
        <f>EXP(-LN(2)/2)*AB181+(1-EXP(-LN(2)/2))/(LN(2)/2)*V182*Y182*VLOOKUP('Données projet'!$B$9,Paramètres!$A$1:$I$89,3,0)*0.475*44/12</f>
        <v>9.2979669053912557E-25</v>
      </c>
      <c r="AC182" s="22">
        <f t="shared" si="163"/>
        <v>8.728214407169272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789</v>
      </c>
      <c r="AJ182" s="13">
        <f>AI182*VLOOKUP('Données projet'!$B$10,Paramètres!$A$1:$I$89,3,0)*VLOOKUP('Données projet'!$B$10,Paramètres!$A$1:$I$89,5,0)</f>
        <v>389.76600000000002</v>
      </c>
      <c r="AK182" s="13">
        <f t="shared" si="164"/>
        <v>89.698759503620408</v>
      </c>
      <c r="AL182" s="20">
        <f t="shared" si="165"/>
        <v>835.06778946880547</v>
      </c>
      <c r="AM182" s="59">
        <f t="shared" si="113"/>
        <v>1128.4011228021388</v>
      </c>
      <c r="AN182" s="59">
        <f ca="1">AVERAGE(OFFSET($AM$3,0,0,'Données projet'!$E$10+1,1))-AVERAGE(OFFSET($H$3,0,0,'Données projet'!$E$10+1,1))</f>
        <v>396.27049617044378</v>
      </c>
      <c r="AO182" s="59">
        <f t="shared" si="144"/>
        <v>335.2680289568774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20.289216458090159</v>
      </c>
      <c r="AV182" s="21">
        <f>EXP(-LN(2)/25)*AV181+(1-EXP(-LN(2)/25))/(LN(2)/25)*Calculateur!AQ182*Calculateur!AS182*VLOOKUP('Données projet'!$B$10,Paramètres!$A$1:$I$89,3,0)*0.475*44/12</f>
        <v>0.75515022264887643</v>
      </c>
      <c r="AW182" s="21">
        <f>EXP(-LN(2)/2)*AW181+(1-EXP(-LN(2)/2))/(LN(2)/2)*AQ182*AT182*VLOOKUP('Données projet'!$B$10,Paramètres!$A$1:$I$89,3,0)*0.475*44/12</f>
        <v>1.4394630246124245E-23</v>
      </c>
      <c r="AX182" s="21">
        <f t="shared" si="166"/>
        <v>21.044366680739035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403.99999999999989</v>
      </c>
      <c r="BE182" s="13">
        <f>BD182*VLOOKUP('Données projet'!$B$11,Paramètres!$A$1:$I$89,3,0)*VLOOKUP('Données projet'!$B$11,Paramètres!$A$1:$I$89,5,0)</f>
        <v>346.63199999999995</v>
      </c>
      <c r="BF182" s="13">
        <f t="shared" si="167"/>
        <v>80.868615263336864</v>
      </c>
      <c r="BG182" s="20">
        <f t="shared" si="168"/>
        <v>744.56357158364483</v>
      </c>
      <c r="BH182" s="59">
        <f t="shared" si="116"/>
        <v>1037.8969049169782</v>
      </c>
      <c r="BI182" s="59">
        <f ca="1">AVERAGE(OFFSET($BH$3,0,0,'Données projet'!$E$11+1,1))-AVERAGE(OFFSET($H$3,0,0,'Données projet'!$E$11+1,1))</f>
        <v>352.61091660077574</v>
      </c>
      <c r="BJ182" s="59">
        <f t="shared" si="146"/>
        <v>186.48649111821521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31.071131135095243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31.071131135095243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266.99999999999983</v>
      </c>
      <c r="BZ182" s="13">
        <f>BY182*VLOOKUP('Données projet'!$B$12,Paramètres!$A$1:$I$89,3,0)*VLOOKUP('Données projet'!$B$12,Paramètres!$A$1:$I$89,5,0)</f>
        <v>212.42519999999985</v>
      </c>
      <c r="CA182" s="13">
        <f t="shared" si="170"/>
        <v>52.465198231787184</v>
      </c>
      <c r="CB182" s="20">
        <f t="shared" si="171"/>
        <v>461.35077692036231</v>
      </c>
      <c r="CC182" s="59">
        <f t="shared" si="119"/>
        <v>754.68411025369562</v>
      </c>
      <c r="CD182" s="59">
        <f ca="1">AVERAGE(OFFSET($CC$3,0,0,'Données projet'!$E$12+1,1))-AVERAGE(OFFSET($H$3,0,0,'Données projet'!$E$12+1,1))</f>
        <v>225.2323446080772</v>
      </c>
      <c r="CE182" s="59">
        <f t="shared" si="148"/>
        <v>222.29030402759292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6.1076275266986402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6.1076275266986402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213.00000000000003</v>
      </c>
      <c r="CU182" s="17">
        <f>CT182*VLOOKUP('Données projet'!$B$13,Paramètres!$A$1:$I$89,3,0)*VLOOKUP('Données projet'!$B$13,Paramètres!$A$1:$I$89,5,0)</f>
        <v>206.01360000000005</v>
      </c>
      <c r="CV182" s="13">
        <f t="shared" si="173"/>
        <v>51.063487709141484</v>
      </c>
      <c r="CW182" s="20">
        <f t="shared" si="174"/>
        <v>447.74259442675481</v>
      </c>
      <c r="CX182" s="59">
        <f t="shared" si="122"/>
        <v>741.07592776008812</v>
      </c>
      <c r="CY182" s="59">
        <f ca="1">AVERAGE(OFFSET($CX$3,0,0,'Données projet'!$E$13+1,1))-AVERAGE(OFFSET($H$3,0,0,'Données projet'!$E$13+1,1))</f>
        <v>212.32823943192528</v>
      </c>
      <c r="CZ182" s="59">
        <f t="shared" si="150"/>
        <v>209.60834138503003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4.6539802915704556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4.6539802915704556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285.99999999999972</v>
      </c>
      <c r="DP182" s="17">
        <f>DO182*VLOOKUP('Données projet'!$B$14,Paramètres!$A$1:$I$89,3,0)*VLOOKUP('Données projet'!$B$14,Paramètres!$A$1:$I$89,5,0)</f>
        <v>223.07999999999979</v>
      </c>
      <c r="DQ182" s="13">
        <f t="shared" si="176"/>
        <v>54.783765878062617</v>
      </c>
      <c r="DR182" s="20">
        <f t="shared" si="177"/>
        <v>483.94605890429199</v>
      </c>
      <c r="DS182" s="59">
        <f t="shared" si="125"/>
        <v>777.2793922376253</v>
      </c>
      <c r="DT182" s="59">
        <f ca="1">AVERAGE(OFFSET($DS$3,0,0,'Données projet'!$E$14+1,1))-AVERAGE(OFFSET($H$3,0,0,'Données projet'!$E$14+1,1))</f>
        <v>215.84581110302656</v>
      </c>
      <c r="DU182" s="59">
        <f t="shared" si="152"/>
        <v>193.88588526156104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6.7752173565107832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6.7752173565107832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6">
        <f t="shared" si="110"/>
        <v>485.47147953791148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401</v>
      </c>
      <c r="O183" s="13">
        <f>N183*VLOOKUP('Données projet'!$B$9,Paramètres!$A$1:$I$89,3,0)*VLOOKUP('Données projet'!$B$9,Paramètres!$A$1:$I$89,5,0)</f>
        <v>250.22399999999999</v>
      </c>
      <c r="P183" s="13">
        <f t="shared" si="141"/>
        <v>60.633904580527918</v>
      </c>
      <c r="Q183" s="20">
        <f t="shared" si="162"/>
        <v>541.41085047775289</v>
      </c>
      <c r="R183" s="59">
        <f t="shared" si="109"/>
        <v>834.74418381108626</v>
      </c>
      <c r="S183" s="59">
        <f ca="1">AVERAGE(OFFSET($R$3,0,0,'Données projet'!$E$9+1,1))-AVERAGE(OFFSET($H$3,0,0,'Données projet'!$E$9+1,1))</f>
        <v>269.77739619445515</v>
      </c>
      <c r="T183" s="59">
        <f t="shared" si="142"/>
        <v>347.56964743629885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7.1121870931272815</v>
      </c>
      <c r="AA183" s="21">
        <f>EXP(-LN(2)/25)*AA182+(1-EXP(-LN(2)/25))/(LN(2)/25)*Calculateur!V183*Calculateur!X183*VLOOKUP('Données projet'!$B$9,Paramètres!$A$1:$I$89,3,0)*0.475*44/12</f>
        <v>1.4334717493958811</v>
      </c>
      <c r="AB183" s="21">
        <f>EXP(-LN(2)/2)*AB182+(1-EXP(-LN(2)/2))/(LN(2)/2)*V183*Y183*VLOOKUP('Données projet'!$B$9,Paramètres!$A$1:$I$89,3,0)*0.475*44/12</f>
        <v>6.5746554500502552E-25</v>
      </c>
      <c r="AC183" s="22">
        <f t="shared" si="163"/>
        <v>8.5456588425231619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789</v>
      </c>
      <c r="AJ183" s="13">
        <f>AI183*VLOOKUP('Données projet'!$B$10,Paramètres!$A$1:$I$89,3,0)*VLOOKUP('Données projet'!$B$10,Paramètres!$A$1:$I$89,5,0)</f>
        <v>389.76600000000002</v>
      </c>
      <c r="AK183" s="13">
        <f t="shared" si="164"/>
        <v>89.698759503620408</v>
      </c>
      <c r="AL183" s="20">
        <f t="shared" si="165"/>
        <v>835.06778946880547</v>
      </c>
      <c r="AM183" s="59">
        <f t="shared" si="113"/>
        <v>1128.4011228021388</v>
      </c>
      <c r="AN183" s="59">
        <f ca="1">AVERAGE(OFFSET($AM$3,0,0,'Données projet'!$E$10+1,1))-AVERAGE(OFFSET($H$3,0,0,'Données projet'!$E$10+1,1))</f>
        <v>396.27049617044378</v>
      </c>
      <c r="AO183" s="59">
        <f t="shared" si="144"/>
        <v>335.2680289568774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19.891357298547103</v>
      </c>
      <c r="AV183" s="21">
        <f>EXP(-LN(2)/25)*AV182+(1-EXP(-LN(2)/25))/(LN(2)/25)*Calculateur!AQ183*Calculateur!AS183*VLOOKUP('Données projet'!$B$10,Paramètres!$A$1:$I$89,3,0)*0.475*44/12</f>
        <v>0.7345006000989186</v>
      </c>
      <c r="AW183" s="21">
        <f>EXP(-LN(2)/2)*AW182+(1-EXP(-LN(2)/2))/(LN(2)/2)*AQ183*AT183*VLOOKUP('Données projet'!$B$10,Paramètres!$A$1:$I$89,3,0)*0.475*44/12</f>
        <v>1.0178540659707435E-23</v>
      </c>
      <c r="AX183" s="21">
        <f t="shared" si="166"/>
        <v>20.625857898646021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403.99999999999989</v>
      </c>
      <c r="BE183" s="13">
        <f>BD183*VLOOKUP('Données projet'!$B$11,Paramètres!$A$1:$I$89,3,0)*VLOOKUP('Données projet'!$B$11,Paramètres!$A$1:$I$89,5,0)</f>
        <v>346.63199999999995</v>
      </c>
      <c r="BF183" s="13">
        <f t="shared" si="167"/>
        <v>80.868615263336864</v>
      </c>
      <c r="BG183" s="20">
        <f t="shared" si="168"/>
        <v>744.56357158364483</v>
      </c>
      <c r="BH183" s="59">
        <f t="shared" si="116"/>
        <v>1037.8969049169782</v>
      </c>
      <c r="BI183" s="59">
        <f ca="1">AVERAGE(OFFSET($BH$3,0,0,'Données projet'!$E$11+1,1))-AVERAGE(OFFSET($H$3,0,0,'Données projet'!$E$11+1,1))</f>
        <v>352.61091660077574</v>
      </c>
      <c r="BJ183" s="59">
        <f t="shared" si="146"/>
        <v>186.48649111821521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30.461845205054711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30.461845205054711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266.99999999999983</v>
      </c>
      <c r="BZ183" s="13">
        <f>BY183*VLOOKUP('Données projet'!$B$12,Paramètres!$A$1:$I$89,3,0)*VLOOKUP('Données projet'!$B$12,Paramètres!$A$1:$I$89,5,0)</f>
        <v>212.42519999999985</v>
      </c>
      <c r="CA183" s="13">
        <f t="shared" si="170"/>
        <v>52.465198231787184</v>
      </c>
      <c r="CB183" s="20">
        <f t="shared" si="171"/>
        <v>461.35077692036231</v>
      </c>
      <c r="CC183" s="59">
        <f t="shared" si="119"/>
        <v>754.68411025369562</v>
      </c>
      <c r="CD183" s="59">
        <f ca="1">AVERAGE(OFFSET($CC$3,0,0,'Données projet'!$E$12+1,1))-AVERAGE(OFFSET($H$3,0,0,'Données projet'!$E$12+1,1))</f>
        <v>225.2323446080772</v>
      </c>
      <c r="CE183" s="59">
        <f t="shared" si="148"/>
        <v>222.29030402759292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5.9878606761850302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5.9878606761850302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213.00000000000003</v>
      </c>
      <c r="CU183" s="17">
        <f>CT183*VLOOKUP('Données projet'!$B$13,Paramètres!$A$1:$I$89,3,0)*VLOOKUP('Données projet'!$B$13,Paramètres!$A$1:$I$89,5,0)</f>
        <v>206.01360000000005</v>
      </c>
      <c r="CV183" s="13">
        <f t="shared" si="173"/>
        <v>51.063487709141484</v>
      </c>
      <c r="CW183" s="20">
        <f t="shared" si="174"/>
        <v>447.74259442675481</v>
      </c>
      <c r="CX183" s="59">
        <f t="shared" si="122"/>
        <v>741.07592776008812</v>
      </c>
      <c r="CY183" s="59">
        <f ca="1">AVERAGE(OFFSET($CX$3,0,0,'Données projet'!$E$13+1,1))-AVERAGE(OFFSET($H$3,0,0,'Données projet'!$E$13+1,1))</f>
        <v>212.32823943192528</v>
      </c>
      <c r="CZ183" s="59">
        <f t="shared" si="150"/>
        <v>209.60834138503003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4.5627185767004432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4.5627185767004432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285.99999999999972</v>
      </c>
      <c r="DP183" s="17">
        <f>DO183*VLOOKUP('Données projet'!$B$14,Paramètres!$A$1:$I$89,3,0)*VLOOKUP('Données projet'!$B$14,Paramètres!$A$1:$I$89,5,0)</f>
        <v>223.07999999999979</v>
      </c>
      <c r="DQ183" s="13">
        <f t="shared" si="176"/>
        <v>54.783765878062617</v>
      </c>
      <c r="DR183" s="20">
        <f t="shared" si="177"/>
        <v>483.94605890429199</v>
      </c>
      <c r="DS183" s="59">
        <f t="shared" si="125"/>
        <v>777.2793922376253</v>
      </c>
      <c r="DT183" s="59">
        <f ca="1">AVERAGE(OFFSET($DS$3,0,0,'Données projet'!$E$14+1,1))-AVERAGE(OFFSET($H$3,0,0,'Données projet'!$E$14+1,1))</f>
        <v>215.84581110302656</v>
      </c>
      <c r="DU183" s="59">
        <f t="shared" si="152"/>
        <v>193.88588526156104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6.6423594766241463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6.6423594766241463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6">
        <f t="shared" si="110"/>
        <v>486.51211199168915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401</v>
      </c>
      <c r="O184" s="13">
        <f>N184*VLOOKUP('Données projet'!$B$9,Paramètres!$A$1:$I$89,3,0)*VLOOKUP('Données projet'!$B$9,Paramètres!$A$1:$I$89,5,0)</f>
        <v>250.22399999999999</v>
      </c>
      <c r="P184" s="13">
        <f t="shared" si="141"/>
        <v>60.633904580527918</v>
      </c>
      <c r="Q184" s="20">
        <f t="shared" si="162"/>
        <v>541.41085047775289</v>
      </c>
      <c r="R184" s="59">
        <f t="shared" si="109"/>
        <v>834.74418381108626</v>
      </c>
      <c r="S184" s="59">
        <f ca="1">AVERAGE(OFFSET($R$3,0,0,'Données projet'!$E$9+1,1))-AVERAGE(OFFSET($H$3,0,0,'Données projet'!$E$9+1,1))</f>
        <v>269.77739619445515</v>
      </c>
      <c r="T184" s="59">
        <f t="shared" si="142"/>
        <v>347.56964743629885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6.97272144223684</v>
      </c>
      <c r="AA184" s="21">
        <f>EXP(-LN(2)/25)*AA183+(1-EXP(-LN(2)/25))/(LN(2)/25)*Calculateur!V184*Calculateur!X184*VLOOKUP('Données projet'!$B$9,Paramètres!$A$1:$I$89,3,0)*0.475*44/12</f>
        <v>1.3942733890256476</v>
      </c>
      <c r="AB184" s="21">
        <f>EXP(-LN(2)/2)*AB183+(1-EXP(-LN(2)/2))/(LN(2)/2)*V184*Y184*VLOOKUP('Données projet'!$B$9,Paramètres!$A$1:$I$89,3,0)*0.475*44/12</f>
        <v>4.6489834526956278E-25</v>
      </c>
      <c r="AC184" s="22">
        <f t="shared" si="163"/>
        <v>8.3669948312624882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789</v>
      </c>
      <c r="AJ184" s="13">
        <f>AI184*VLOOKUP('Données projet'!$B$10,Paramètres!$A$1:$I$89,3,0)*VLOOKUP('Données projet'!$B$10,Paramètres!$A$1:$I$89,5,0)</f>
        <v>389.76600000000002</v>
      </c>
      <c r="AK184" s="13">
        <f t="shared" si="164"/>
        <v>89.698759503620408</v>
      </c>
      <c r="AL184" s="20">
        <f t="shared" si="165"/>
        <v>835.06778946880547</v>
      </c>
      <c r="AM184" s="59">
        <f t="shared" si="113"/>
        <v>1128.4011228021388</v>
      </c>
      <c r="AN184" s="59">
        <f ca="1">AVERAGE(OFFSET($AM$3,0,0,'Données projet'!$E$10+1,1))-AVERAGE(OFFSET($H$3,0,0,'Données projet'!$E$10+1,1))</f>
        <v>396.27049617044378</v>
      </c>
      <c r="AO184" s="59">
        <f t="shared" si="144"/>
        <v>335.2680289568774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19.501299914452559</v>
      </c>
      <c r="AV184" s="21">
        <f>EXP(-LN(2)/25)*AV183+(1-EXP(-LN(2)/25))/(LN(2)/25)*Calculateur!AQ184*Calculateur!AS184*VLOOKUP('Données projet'!$B$10,Paramètres!$A$1:$I$89,3,0)*0.475*44/12</f>
        <v>0.71441564256350587</v>
      </c>
      <c r="AW184" s="21">
        <f>EXP(-LN(2)/2)*AW183+(1-EXP(-LN(2)/2))/(LN(2)/2)*AQ184*AT184*VLOOKUP('Données projet'!$B$10,Paramètres!$A$1:$I$89,3,0)*0.475*44/12</f>
        <v>7.1973151230621224E-24</v>
      </c>
      <c r="AX184" s="21">
        <f t="shared" si="166"/>
        <v>20.215715557016065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403.99999999999989</v>
      </c>
      <c r="BE184" s="13">
        <f>BD184*VLOOKUP('Données projet'!$B$11,Paramètres!$A$1:$I$89,3,0)*VLOOKUP('Données projet'!$B$11,Paramètres!$A$1:$I$89,5,0)</f>
        <v>346.63199999999995</v>
      </c>
      <c r="BF184" s="13">
        <f t="shared" si="167"/>
        <v>80.868615263336864</v>
      </c>
      <c r="BG184" s="20">
        <f t="shared" si="168"/>
        <v>744.56357158364483</v>
      </c>
      <c r="BH184" s="59">
        <f t="shared" si="116"/>
        <v>1037.8969049169782</v>
      </c>
      <c r="BI184" s="59">
        <f ca="1">AVERAGE(OFFSET($BH$3,0,0,'Données projet'!$E$11+1,1))-AVERAGE(OFFSET($H$3,0,0,'Données projet'!$E$11+1,1))</f>
        <v>352.61091660077574</v>
      </c>
      <c r="BJ184" s="59">
        <f t="shared" si="146"/>
        <v>186.48649111821521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29.86450700047455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29.86450700047455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266.99999999999983</v>
      </c>
      <c r="BZ184" s="13">
        <f>BY184*VLOOKUP('Données projet'!$B$12,Paramètres!$A$1:$I$89,3,0)*VLOOKUP('Données projet'!$B$12,Paramètres!$A$1:$I$89,5,0)</f>
        <v>212.42519999999985</v>
      </c>
      <c r="CA184" s="13">
        <f t="shared" si="170"/>
        <v>52.465198231787184</v>
      </c>
      <c r="CB184" s="20">
        <f t="shared" si="171"/>
        <v>461.35077692036231</v>
      </c>
      <c r="CC184" s="59">
        <f t="shared" si="119"/>
        <v>754.68411025369562</v>
      </c>
      <c r="CD184" s="59">
        <f ca="1">AVERAGE(OFFSET($CC$3,0,0,'Données projet'!$E$12+1,1))-AVERAGE(OFFSET($H$3,0,0,'Données projet'!$E$12+1,1))</f>
        <v>225.2323446080772</v>
      </c>
      <c r="CE184" s="59">
        <f t="shared" si="148"/>
        <v>222.29030402759292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5.8704423805594264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5.8704423805594264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213.00000000000003</v>
      </c>
      <c r="CU184" s="17">
        <f>CT184*VLOOKUP('Données projet'!$B$13,Paramètres!$A$1:$I$89,3,0)*VLOOKUP('Données projet'!$B$13,Paramètres!$A$1:$I$89,5,0)</f>
        <v>206.01360000000005</v>
      </c>
      <c r="CV184" s="13">
        <f t="shared" si="173"/>
        <v>51.063487709141484</v>
      </c>
      <c r="CW184" s="20">
        <f t="shared" si="174"/>
        <v>447.74259442675481</v>
      </c>
      <c r="CX184" s="59">
        <f t="shared" si="122"/>
        <v>741.07592776008812</v>
      </c>
      <c r="CY184" s="59">
        <f ca="1">AVERAGE(OFFSET($CX$3,0,0,'Données projet'!$E$13+1,1))-AVERAGE(OFFSET($H$3,0,0,'Données projet'!$E$13+1,1))</f>
        <v>212.32823943192528</v>
      </c>
      <c r="CZ184" s="59">
        <f t="shared" si="150"/>
        <v>209.60834138503003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4.4732464483948826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4.4732464483948826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285.99999999999972</v>
      </c>
      <c r="DP184" s="17">
        <f>DO184*VLOOKUP('Données projet'!$B$14,Paramètres!$A$1:$I$89,3,0)*VLOOKUP('Données projet'!$B$14,Paramètres!$A$1:$I$89,5,0)</f>
        <v>223.07999999999979</v>
      </c>
      <c r="DQ184" s="13">
        <f t="shared" si="176"/>
        <v>54.783765878062617</v>
      </c>
      <c r="DR184" s="20">
        <f t="shared" si="177"/>
        <v>483.94605890429199</v>
      </c>
      <c r="DS184" s="59">
        <f t="shared" si="125"/>
        <v>777.2793922376253</v>
      </c>
      <c r="DT184" s="59">
        <f ca="1">AVERAGE(OFFSET($DS$3,0,0,'Données projet'!$E$14+1,1))-AVERAGE(OFFSET($H$3,0,0,'Données projet'!$E$14+1,1))</f>
        <v>215.84581110302656</v>
      </c>
      <c r="DU184" s="59">
        <f t="shared" si="152"/>
        <v>193.88588526156104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6.5121068587267814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6.5121068587267814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6">
        <f t="shared" si="110"/>
        <v>487.55261400887855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401</v>
      </c>
      <c r="O185" s="13">
        <f>N185*VLOOKUP('Données projet'!$B$9,Paramètres!$A$1:$I$89,3,0)*VLOOKUP('Données projet'!$B$9,Paramètres!$A$1:$I$89,5,0)</f>
        <v>250.22399999999999</v>
      </c>
      <c r="P185" s="13">
        <f t="shared" si="141"/>
        <v>60.633904580527918</v>
      </c>
      <c r="Q185" s="20">
        <f t="shared" si="162"/>
        <v>541.41085047775289</v>
      </c>
      <c r="R185" s="59">
        <f t="shared" si="109"/>
        <v>834.74418381108626</v>
      </c>
      <c r="S185" s="59">
        <f ca="1">AVERAGE(OFFSET($R$3,0,0,'Données projet'!$E$9+1,1))-AVERAGE(OFFSET($H$3,0,0,'Données projet'!$E$9+1,1))</f>
        <v>269.77739619445515</v>
      </c>
      <c r="T185" s="59">
        <f t="shared" si="142"/>
        <v>347.56964743629885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6.835990627694712</v>
      </c>
      <c r="AA185" s="21">
        <f>EXP(-LN(2)/25)*AA184+(1-EXP(-LN(2)/25))/(LN(2)/25)*Calculateur!V185*Calculateur!X185*VLOOKUP('Données projet'!$B$9,Paramètres!$A$1:$I$89,3,0)*0.475*44/12</f>
        <v>1.3561469098810903</v>
      </c>
      <c r="AB185" s="21">
        <f>EXP(-LN(2)/2)*AB184+(1-EXP(-LN(2)/2))/(LN(2)/2)*V185*Y185*VLOOKUP('Données projet'!$B$9,Paramètres!$A$1:$I$89,3,0)*0.475*44/12</f>
        <v>3.2873277250251276E-25</v>
      </c>
      <c r="AC185" s="22">
        <f t="shared" si="163"/>
        <v>8.1921375375758032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789</v>
      </c>
      <c r="AJ185" s="13">
        <f>AI185*VLOOKUP('Données projet'!$B$10,Paramètres!$A$1:$I$89,3,0)*VLOOKUP('Données projet'!$B$10,Paramètres!$A$1:$I$89,5,0)</f>
        <v>389.76600000000002</v>
      </c>
      <c r="AK185" s="13">
        <f t="shared" si="164"/>
        <v>89.698759503620408</v>
      </c>
      <c r="AL185" s="20">
        <f t="shared" si="165"/>
        <v>835.06778946880547</v>
      </c>
      <c r="AM185" s="59">
        <f t="shared" si="113"/>
        <v>1128.4011228021388</v>
      </c>
      <c r="AN185" s="59">
        <f ca="1">AVERAGE(OFFSET($AM$3,0,0,'Données projet'!$E$10+1,1))-AVERAGE(OFFSET($H$3,0,0,'Données projet'!$E$10+1,1))</f>
        <v>396.27049617044378</v>
      </c>
      <c r="AO185" s="59">
        <f t="shared" si="144"/>
        <v>335.2680289568774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19.118891317748595</v>
      </c>
      <c r="AV185" s="21">
        <f>EXP(-LN(2)/25)*AV184+(1-EXP(-LN(2)/25))/(LN(2)/25)*Calculateur!AQ185*Calculateur!AS185*VLOOKUP('Données projet'!$B$10,Paramètres!$A$1:$I$89,3,0)*0.475*44/12</f>
        <v>0.69487990924812093</v>
      </c>
      <c r="AW185" s="21">
        <f>EXP(-LN(2)/2)*AW184+(1-EXP(-LN(2)/2))/(LN(2)/2)*AQ185*AT185*VLOOKUP('Données projet'!$B$10,Paramètres!$A$1:$I$89,3,0)*0.475*44/12</f>
        <v>5.0892703298537176E-24</v>
      </c>
      <c r="AX185" s="21">
        <f t="shared" si="166"/>
        <v>19.813771226996717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403.99999999999989</v>
      </c>
      <c r="BE185" s="13">
        <f>BD185*VLOOKUP('Données projet'!$B$11,Paramètres!$A$1:$I$89,3,0)*VLOOKUP('Données projet'!$B$11,Paramètres!$A$1:$I$89,5,0)</f>
        <v>346.63199999999995</v>
      </c>
      <c r="BF185" s="13">
        <f t="shared" si="167"/>
        <v>80.868615263336864</v>
      </c>
      <c r="BG185" s="20">
        <f t="shared" si="168"/>
        <v>744.56357158364483</v>
      </c>
      <c r="BH185" s="59">
        <f t="shared" si="116"/>
        <v>1037.8969049169782</v>
      </c>
      <c r="BI185" s="59">
        <f ca="1">AVERAGE(OFFSET($BH$3,0,0,'Données projet'!$E$11+1,1))-AVERAGE(OFFSET($H$3,0,0,'Données projet'!$E$11+1,1))</f>
        <v>352.61091660077574</v>
      </c>
      <c r="BJ185" s="59">
        <f t="shared" si="146"/>
        <v>186.48649111821521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29.278882233745879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29.278882233745879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266.99999999999983</v>
      </c>
      <c r="BZ185" s="13">
        <f>BY185*VLOOKUP('Données projet'!$B$12,Paramètres!$A$1:$I$89,3,0)*VLOOKUP('Données projet'!$B$12,Paramètres!$A$1:$I$89,5,0)</f>
        <v>212.42519999999985</v>
      </c>
      <c r="CA185" s="13">
        <f t="shared" si="170"/>
        <v>52.465198231787184</v>
      </c>
      <c r="CB185" s="20">
        <f t="shared" si="171"/>
        <v>461.35077692036231</v>
      </c>
      <c r="CC185" s="59">
        <f t="shared" si="119"/>
        <v>754.68411025369562</v>
      </c>
      <c r="CD185" s="59">
        <f ca="1">AVERAGE(OFFSET($CC$3,0,0,'Données projet'!$E$12+1,1))-AVERAGE(OFFSET($H$3,0,0,'Données projet'!$E$12+1,1))</f>
        <v>225.2323446080772</v>
      </c>
      <c r="CE185" s="59">
        <f t="shared" si="148"/>
        <v>222.29030402759292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5.7553265860929512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5.7553265860929512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213.00000000000003</v>
      </c>
      <c r="CU185" s="17">
        <f>CT185*VLOOKUP('Données projet'!$B$13,Paramètres!$A$1:$I$89,3,0)*VLOOKUP('Données projet'!$B$13,Paramètres!$A$1:$I$89,5,0)</f>
        <v>206.01360000000005</v>
      </c>
      <c r="CV185" s="13">
        <f t="shared" si="173"/>
        <v>51.063487709141484</v>
      </c>
      <c r="CW185" s="20">
        <f t="shared" si="174"/>
        <v>447.74259442675481</v>
      </c>
      <c r="CX185" s="59">
        <f t="shared" si="122"/>
        <v>741.07592776008812</v>
      </c>
      <c r="CY185" s="59">
        <f ca="1">AVERAGE(OFFSET($CX$3,0,0,'Données projet'!$E$13+1,1))-AVERAGE(OFFSET($H$3,0,0,'Données projet'!$E$13+1,1))</f>
        <v>212.32823943192528</v>
      </c>
      <c r="CZ185" s="59">
        <f t="shared" si="150"/>
        <v>209.60834138503003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4.3855288139527842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4.3855288139527842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285.99999999999972</v>
      </c>
      <c r="DP185" s="17">
        <f>DO185*VLOOKUP('Données projet'!$B$14,Paramètres!$A$1:$I$89,3,0)*VLOOKUP('Données projet'!$B$14,Paramètres!$A$1:$I$89,5,0)</f>
        <v>223.07999999999979</v>
      </c>
      <c r="DQ185" s="13">
        <f t="shared" si="176"/>
        <v>54.783765878062617</v>
      </c>
      <c r="DR185" s="20">
        <f t="shared" si="177"/>
        <v>483.94605890429199</v>
      </c>
      <c r="DS185" s="59">
        <f t="shared" si="125"/>
        <v>777.2793922376253</v>
      </c>
      <c r="DT185" s="59">
        <f ca="1">AVERAGE(OFFSET($DS$3,0,0,'Données projet'!$E$14+1,1))-AVERAGE(OFFSET($H$3,0,0,'Données projet'!$E$14+1,1))</f>
        <v>215.84581110302656</v>
      </c>
      <c r="DU185" s="59">
        <f t="shared" si="152"/>
        <v>193.88588526156104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6.3844084152201317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6.3844084152201317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6">
        <f t="shared" si="110"/>
        <v>488.59298638933842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401</v>
      </c>
      <c r="O186" s="13">
        <f>N186*VLOOKUP('Données projet'!$B$9,Paramètres!$A$1:$I$89,3,0)*VLOOKUP('Données projet'!$B$9,Paramètres!$A$1:$I$89,5,0)</f>
        <v>250.22399999999999</v>
      </c>
      <c r="P186" s="13">
        <f t="shared" si="141"/>
        <v>60.633904580527918</v>
      </c>
      <c r="Q186" s="20">
        <f t="shared" si="162"/>
        <v>541.41085047775289</v>
      </c>
      <c r="R186" s="59">
        <f t="shared" si="109"/>
        <v>834.74418381108626</v>
      </c>
      <c r="S186" s="59">
        <f ca="1">AVERAGE(OFFSET($R$3,0,0,'Données projet'!$E$9+1,1))-AVERAGE(OFFSET($H$3,0,0,'Données projet'!$E$9+1,1))</f>
        <v>269.77739619445515</v>
      </c>
      <c r="T186" s="59">
        <f t="shared" si="142"/>
        <v>347.56964743629885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6.7019410210281931</v>
      </c>
      <c r="AA186" s="21">
        <f>EXP(-LN(2)/25)*AA185+(1-EXP(-LN(2)/25))/(LN(2)/25)*Calculateur!V186*Calculateur!X186*VLOOKUP('Données projet'!$B$9,Paramètres!$A$1:$I$89,3,0)*0.475*44/12</f>
        <v>1.3190630013137254</v>
      </c>
      <c r="AB186" s="21">
        <f>EXP(-LN(2)/2)*AB185+(1-EXP(-LN(2)/2))/(LN(2)/2)*V186*Y186*VLOOKUP('Données projet'!$B$9,Paramètres!$A$1:$I$89,3,0)*0.475*44/12</f>
        <v>2.3244917263478139E-25</v>
      </c>
      <c r="AC186" s="22">
        <f t="shared" si="163"/>
        <v>8.0210040223419181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789</v>
      </c>
      <c r="AJ186" s="13">
        <f>AI186*VLOOKUP('Données projet'!$B$10,Paramètres!$A$1:$I$89,3,0)*VLOOKUP('Données projet'!$B$10,Paramètres!$A$1:$I$89,5,0)</f>
        <v>389.76600000000002</v>
      </c>
      <c r="AK186" s="13">
        <f t="shared" si="164"/>
        <v>89.698759503620408</v>
      </c>
      <c r="AL186" s="20">
        <f t="shared" si="165"/>
        <v>835.06778946880547</v>
      </c>
      <c r="AM186" s="59">
        <f t="shared" si="113"/>
        <v>1128.4011228021388</v>
      </c>
      <c r="AN186" s="59">
        <f ca="1">AVERAGE(OFFSET($AM$3,0,0,'Données projet'!$E$10+1,1))-AVERAGE(OFFSET($H$3,0,0,'Données projet'!$E$10+1,1))</f>
        <v>396.27049617044378</v>
      </c>
      <c r="AO186" s="59">
        <f t="shared" si="144"/>
        <v>335.2680289568774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18.743981520379783</v>
      </c>
      <c r="AV186" s="21">
        <f>EXP(-LN(2)/25)*AV185+(1-EXP(-LN(2)/25))/(LN(2)/25)*Calculateur!AQ186*Calculateur!AS186*VLOOKUP('Données projet'!$B$10,Paramètres!$A$1:$I$89,3,0)*0.475*44/12</f>
        <v>0.67587838158758484</v>
      </c>
      <c r="AW186" s="21">
        <f>EXP(-LN(2)/2)*AW185+(1-EXP(-LN(2)/2))/(LN(2)/2)*AQ186*AT186*VLOOKUP('Données projet'!$B$10,Paramètres!$A$1:$I$89,3,0)*0.475*44/12</f>
        <v>3.5986575615310612E-24</v>
      </c>
      <c r="AX186" s="21">
        <f t="shared" si="166"/>
        <v>19.419859901967367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403.99999999999989</v>
      </c>
      <c r="BE186" s="13">
        <f>BD186*VLOOKUP('Données projet'!$B$11,Paramètres!$A$1:$I$89,3,0)*VLOOKUP('Données projet'!$B$11,Paramètres!$A$1:$I$89,5,0)</f>
        <v>346.63199999999995</v>
      </c>
      <c r="BF186" s="13">
        <f t="shared" si="167"/>
        <v>80.868615263336864</v>
      </c>
      <c r="BG186" s="20">
        <f t="shared" si="168"/>
        <v>744.56357158364483</v>
      </c>
      <c r="BH186" s="59">
        <f t="shared" si="116"/>
        <v>1037.8969049169782</v>
      </c>
      <c r="BI186" s="59">
        <f ca="1">AVERAGE(OFFSET($BH$3,0,0,'Données projet'!$E$11+1,1))-AVERAGE(OFFSET($H$3,0,0,'Données projet'!$E$11+1,1))</f>
        <v>352.61091660077574</v>
      </c>
      <c r="BJ186" s="59">
        <f t="shared" si="146"/>
        <v>186.48649111821521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28.70474121149692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28.70474121149692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266.99999999999983</v>
      </c>
      <c r="BZ186" s="13">
        <f>BY186*VLOOKUP('Données projet'!$B$12,Paramètres!$A$1:$I$89,3,0)*VLOOKUP('Données projet'!$B$12,Paramètres!$A$1:$I$89,5,0)</f>
        <v>212.42519999999985</v>
      </c>
      <c r="CA186" s="13">
        <f t="shared" si="170"/>
        <v>52.465198231787184</v>
      </c>
      <c r="CB186" s="20">
        <f t="shared" si="171"/>
        <v>461.35077692036231</v>
      </c>
      <c r="CC186" s="59">
        <f t="shared" si="119"/>
        <v>754.68411025369562</v>
      </c>
      <c r="CD186" s="59">
        <f ca="1">AVERAGE(OFFSET($CC$3,0,0,'Données projet'!$E$12+1,1))-AVERAGE(OFFSET($H$3,0,0,'Données projet'!$E$12+1,1))</f>
        <v>225.2323446080772</v>
      </c>
      <c r="CE186" s="59">
        <f t="shared" si="148"/>
        <v>222.29030402759292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5.6424681421422624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5.6424681421422624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213.00000000000003</v>
      </c>
      <c r="CU186" s="17">
        <f>CT186*VLOOKUP('Données projet'!$B$13,Paramètres!$A$1:$I$89,3,0)*VLOOKUP('Données projet'!$B$13,Paramètres!$A$1:$I$89,5,0)</f>
        <v>206.01360000000005</v>
      </c>
      <c r="CV186" s="13">
        <f t="shared" si="173"/>
        <v>51.063487709141484</v>
      </c>
      <c r="CW186" s="20">
        <f t="shared" si="174"/>
        <v>447.74259442675481</v>
      </c>
      <c r="CX186" s="59">
        <f t="shared" si="122"/>
        <v>741.07592776008812</v>
      </c>
      <c r="CY186" s="59">
        <f ca="1">AVERAGE(OFFSET($CX$3,0,0,'Données projet'!$E$13+1,1))-AVERAGE(OFFSET($H$3,0,0,'Données projet'!$E$13+1,1))</f>
        <v>212.32823943192528</v>
      </c>
      <c r="CZ186" s="59">
        <f t="shared" si="150"/>
        <v>209.60834138503003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4.2995312688196217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4.2995312688196217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285.99999999999972</v>
      </c>
      <c r="DP186" s="17">
        <f>DO186*VLOOKUP('Données projet'!$B$14,Paramètres!$A$1:$I$89,3,0)*VLOOKUP('Données projet'!$B$14,Paramètres!$A$1:$I$89,5,0)</f>
        <v>223.07999999999979</v>
      </c>
      <c r="DQ186" s="13">
        <f t="shared" si="176"/>
        <v>54.783765878062617</v>
      </c>
      <c r="DR186" s="20">
        <f t="shared" si="177"/>
        <v>483.94605890429199</v>
      </c>
      <c r="DS186" s="59">
        <f t="shared" si="125"/>
        <v>777.2793922376253</v>
      </c>
      <c r="DT186" s="59">
        <f ca="1">AVERAGE(OFFSET($DS$3,0,0,'Données projet'!$E$14+1,1))-AVERAGE(OFFSET($H$3,0,0,'Données projet'!$E$14+1,1))</f>
        <v>215.84581110302656</v>
      </c>
      <c r="DU186" s="59">
        <f t="shared" si="152"/>
        <v>193.88588526156104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6.2592140603022877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6.2592140603022877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6">
        <f t="shared" si="110"/>
        <v>489.63322992368012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401</v>
      </c>
      <c r="O187" s="13">
        <f>N187*VLOOKUP('Données projet'!$B$9,Paramètres!$A$1:$I$89,3,0)*VLOOKUP('Données projet'!$B$9,Paramètres!$A$1:$I$89,5,0)</f>
        <v>250.22399999999999</v>
      </c>
      <c r="P187" s="13">
        <f t="shared" si="141"/>
        <v>60.633904580527918</v>
      </c>
      <c r="Q187" s="20">
        <f t="shared" si="162"/>
        <v>541.41085047775289</v>
      </c>
      <c r="R187" s="59">
        <f t="shared" si="109"/>
        <v>834.74418381108626</v>
      </c>
      <c r="S187" s="59">
        <f ca="1">AVERAGE(OFFSET($R$3,0,0,'Données projet'!$E$9+1,1))-AVERAGE(OFFSET($H$3,0,0,'Données projet'!$E$9+1,1))</f>
        <v>269.77739619445515</v>
      </c>
      <c r="T187" s="59">
        <f t="shared" si="142"/>
        <v>347.56964743629885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6.5705200453862185</v>
      </c>
      <c r="AA187" s="21">
        <f>EXP(-LN(2)/25)*AA186+(1-EXP(-LN(2)/25))/(LN(2)/25)*Calculateur!V187*Calculateur!X187*VLOOKUP('Données projet'!$B$9,Paramètres!$A$1:$I$89,3,0)*0.475*44/12</f>
        <v>1.2829931541762931</v>
      </c>
      <c r="AB187" s="21">
        <f>EXP(-LN(2)/2)*AB186+(1-EXP(-LN(2)/2))/(LN(2)/2)*V187*Y187*VLOOKUP('Données projet'!$B$9,Paramètres!$A$1:$I$89,3,0)*0.475*44/12</f>
        <v>1.6436638625125638E-25</v>
      </c>
      <c r="AC187" s="22">
        <f t="shared" si="163"/>
        <v>7.8535131995625118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789</v>
      </c>
      <c r="AJ187" s="13">
        <f>AI187*VLOOKUP('Données projet'!$B$10,Paramètres!$A$1:$I$89,3,0)*VLOOKUP('Données projet'!$B$10,Paramètres!$A$1:$I$89,5,0)</f>
        <v>389.76600000000002</v>
      </c>
      <c r="AK187" s="13">
        <f t="shared" si="164"/>
        <v>89.698759503620408</v>
      </c>
      <c r="AL187" s="20">
        <f t="shared" si="165"/>
        <v>835.06778946880547</v>
      </c>
      <c r="AM187" s="59">
        <f t="shared" si="113"/>
        <v>1128.4011228021388</v>
      </c>
      <c r="AN187" s="59">
        <f ca="1">AVERAGE(OFFSET($AM$3,0,0,'Données projet'!$E$10+1,1))-AVERAGE(OFFSET($H$3,0,0,'Données projet'!$E$10+1,1))</f>
        <v>396.27049617044378</v>
      </c>
      <c r="AO187" s="59">
        <f t="shared" si="144"/>
        <v>335.2680289568774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18.376423475464978</v>
      </c>
      <c r="AV187" s="21">
        <f>EXP(-LN(2)/25)*AV186+(1-EXP(-LN(2)/25))/(LN(2)/25)*Calculateur!AQ187*Calculateur!AS187*VLOOKUP('Données projet'!$B$10,Paramètres!$A$1:$I$89,3,0)*0.475*44/12</f>
        <v>0.65739645170017302</v>
      </c>
      <c r="AW187" s="21">
        <f>EXP(-LN(2)/2)*AW186+(1-EXP(-LN(2)/2))/(LN(2)/2)*AQ187*AT187*VLOOKUP('Données projet'!$B$10,Paramètres!$A$1:$I$89,3,0)*0.475*44/12</f>
        <v>2.5446351649268588E-24</v>
      </c>
      <c r="AX187" s="21">
        <f t="shared" si="166"/>
        <v>19.033819927165151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403.99999999999989</v>
      </c>
      <c r="BE187" s="13">
        <f>BD187*VLOOKUP('Données projet'!$B$11,Paramètres!$A$1:$I$89,3,0)*VLOOKUP('Données projet'!$B$11,Paramètres!$A$1:$I$89,5,0)</f>
        <v>346.63199999999995</v>
      </c>
      <c r="BF187" s="13">
        <f t="shared" si="167"/>
        <v>80.868615263336864</v>
      </c>
      <c r="BG187" s="20">
        <f t="shared" si="168"/>
        <v>744.56357158364483</v>
      </c>
      <c r="BH187" s="59">
        <f t="shared" si="116"/>
        <v>1037.8969049169782</v>
      </c>
      <c r="BI187" s="59">
        <f ca="1">AVERAGE(OFFSET($BH$3,0,0,'Données projet'!$E$11+1,1))-AVERAGE(OFFSET($H$3,0,0,'Données projet'!$E$11+1,1))</f>
        <v>352.61091660077574</v>
      </c>
      <c r="BJ187" s="59">
        <f t="shared" si="146"/>
        <v>186.48649111821521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28.141858744502816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28.141858744502816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266.99999999999983</v>
      </c>
      <c r="BZ187" s="13">
        <f>BY187*VLOOKUP('Données projet'!$B$12,Paramètres!$A$1:$I$89,3,0)*VLOOKUP('Données projet'!$B$12,Paramètres!$A$1:$I$89,5,0)</f>
        <v>212.42519999999985</v>
      </c>
      <c r="CA187" s="13">
        <f t="shared" si="170"/>
        <v>52.465198231787184</v>
      </c>
      <c r="CB187" s="20">
        <f t="shared" si="171"/>
        <v>461.35077692036231</v>
      </c>
      <c r="CC187" s="59">
        <f t="shared" si="119"/>
        <v>754.68411025369562</v>
      </c>
      <c r="CD187" s="59">
        <f ca="1">AVERAGE(OFFSET($CC$3,0,0,'Données projet'!$E$12+1,1))-AVERAGE(OFFSET($H$3,0,0,'Données projet'!$E$12+1,1))</f>
        <v>225.2323446080772</v>
      </c>
      <c r="CE187" s="59">
        <f t="shared" si="148"/>
        <v>222.29030402759292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5.5318227834405933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5.5318227834405933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213.00000000000003</v>
      </c>
      <c r="CU187" s="17">
        <f>CT187*VLOOKUP('Données projet'!$B$13,Paramètres!$A$1:$I$89,3,0)*VLOOKUP('Données projet'!$B$13,Paramètres!$A$1:$I$89,5,0)</f>
        <v>206.01360000000005</v>
      </c>
      <c r="CV187" s="13">
        <f t="shared" si="173"/>
        <v>51.063487709141484</v>
      </c>
      <c r="CW187" s="20">
        <f t="shared" si="174"/>
        <v>447.74259442675481</v>
      </c>
      <c r="CX187" s="59">
        <f t="shared" si="122"/>
        <v>741.07592776008812</v>
      </c>
      <c r="CY187" s="59">
        <f ca="1">AVERAGE(OFFSET($CX$3,0,0,'Données projet'!$E$13+1,1))-AVERAGE(OFFSET($H$3,0,0,'Données projet'!$E$13+1,1))</f>
        <v>212.32823943192528</v>
      </c>
      <c r="CZ187" s="59">
        <f t="shared" si="150"/>
        <v>209.60834138503003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4.2152200830931967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4.2152200830931967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285.99999999999972</v>
      </c>
      <c r="DP187" s="17">
        <f>DO187*VLOOKUP('Données projet'!$B$14,Paramètres!$A$1:$I$89,3,0)*VLOOKUP('Données projet'!$B$14,Paramètres!$A$1:$I$89,5,0)</f>
        <v>223.07999999999979</v>
      </c>
      <c r="DQ187" s="13">
        <f t="shared" si="176"/>
        <v>54.783765878062617</v>
      </c>
      <c r="DR187" s="20">
        <f t="shared" si="177"/>
        <v>483.94605890429199</v>
      </c>
      <c r="DS187" s="59">
        <f t="shared" si="125"/>
        <v>777.2793922376253</v>
      </c>
      <c r="DT187" s="59">
        <f ca="1">AVERAGE(OFFSET($DS$3,0,0,'Données projet'!$E$14+1,1))-AVERAGE(OFFSET($H$3,0,0,'Données projet'!$E$14+1,1))</f>
        <v>215.84581110302656</v>
      </c>
      <c r="DU187" s="59">
        <f t="shared" si="152"/>
        <v>193.88588526156104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6.1364746903233653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6.1364746903233653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6">
        <f t="shared" si="110"/>
        <v>490.67334539342403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401</v>
      </c>
      <c r="O188" s="13">
        <f>N188*VLOOKUP('Données projet'!$B$9,Paramètres!$A$1:$I$89,3,0)*VLOOKUP('Données projet'!$B$9,Paramètres!$A$1:$I$89,5,0)</f>
        <v>250.22399999999999</v>
      </c>
      <c r="P188" s="13">
        <f t="shared" si="141"/>
        <v>60.633904580527918</v>
      </c>
      <c r="Q188" s="20">
        <f t="shared" si="162"/>
        <v>541.41085047775289</v>
      </c>
      <c r="R188" s="59">
        <f t="shared" si="109"/>
        <v>834.74418381108626</v>
      </c>
      <c r="S188" s="59">
        <f ca="1">AVERAGE(OFFSET($R$3,0,0,'Données projet'!$E$9+1,1))-AVERAGE(OFFSET($H$3,0,0,'Données projet'!$E$9+1,1))</f>
        <v>269.77739619445515</v>
      </c>
      <c r="T188" s="59">
        <f t="shared" si="142"/>
        <v>347.56964743629885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6.4416761549177028</v>
      </c>
      <c r="AA188" s="21">
        <f>EXP(-LN(2)/25)*AA187+(1-EXP(-LN(2)/25))/(LN(2)/25)*Calculateur!V188*Calculateur!X188*VLOOKUP('Données projet'!$B$9,Paramètres!$A$1:$I$89,3,0)*0.475*44/12</f>
        <v>1.2479096389056648</v>
      </c>
      <c r="AB188" s="21">
        <f>EXP(-LN(2)/2)*AB187+(1-EXP(-LN(2)/2))/(LN(2)/2)*V188*Y188*VLOOKUP('Données projet'!$B$9,Paramètres!$A$1:$I$89,3,0)*0.475*44/12</f>
        <v>1.162245863173907E-25</v>
      </c>
      <c r="AC188" s="22">
        <f t="shared" si="163"/>
        <v>7.6895857938233672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789</v>
      </c>
      <c r="AJ188" s="13">
        <f>AI188*VLOOKUP('Données projet'!$B$10,Paramètres!$A$1:$I$89,3,0)*VLOOKUP('Données projet'!$B$10,Paramètres!$A$1:$I$89,5,0)</f>
        <v>389.76600000000002</v>
      </c>
      <c r="AK188" s="13">
        <f t="shared" si="164"/>
        <v>89.698759503620408</v>
      </c>
      <c r="AL188" s="20">
        <f t="shared" si="165"/>
        <v>835.06778946880547</v>
      </c>
      <c r="AM188" s="59">
        <f t="shared" si="113"/>
        <v>1128.4011228021388</v>
      </c>
      <c r="AN188" s="59">
        <f ca="1">AVERAGE(OFFSET($AM$3,0,0,'Données projet'!$E$10+1,1))-AVERAGE(OFFSET($H$3,0,0,'Données projet'!$E$10+1,1))</f>
        <v>396.27049617044378</v>
      </c>
      <c r="AO188" s="59">
        <f t="shared" si="144"/>
        <v>335.2680289568774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18.016073019622681</v>
      </c>
      <c r="AV188" s="21">
        <f>EXP(-LN(2)/25)*AV187+(1-EXP(-LN(2)/25))/(LN(2)/25)*Calculateur!AQ188*Calculateur!AS188*VLOOKUP('Données projet'!$B$10,Paramètres!$A$1:$I$89,3,0)*0.475*44/12</f>
        <v>0.63941991115745489</v>
      </c>
      <c r="AW188" s="21">
        <f>EXP(-LN(2)/2)*AW187+(1-EXP(-LN(2)/2))/(LN(2)/2)*AQ188*AT188*VLOOKUP('Données projet'!$B$10,Paramètres!$A$1:$I$89,3,0)*0.475*44/12</f>
        <v>1.7993287807655306E-24</v>
      </c>
      <c r="AX188" s="21">
        <f t="shared" si="166"/>
        <v>18.655492930780134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403.99999999999989</v>
      </c>
      <c r="BE188" s="13">
        <f>BD188*VLOOKUP('Données projet'!$B$11,Paramètres!$A$1:$I$89,3,0)*VLOOKUP('Données projet'!$B$11,Paramètres!$A$1:$I$89,5,0)</f>
        <v>346.63199999999995</v>
      </c>
      <c r="BF188" s="13">
        <f t="shared" si="167"/>
        <v>80.868615263336864</v>
      </c>
      <c r="BG188" s="20">
        <f t="shared" si="168"/>
        <v>744.56357158364483</v>
      </c>
      <c r="BH188" s="59">
        <f t="shared" si="116"/>
        <v>1037.8969049169782</v>
      </c>
      <c r="BI188" s="59">
        <f ca="1">AVERAGE(OFFSET($BH$3,0,0,'Données projet'!$E$11+1,1))-AVERAGE(OFFSET($H$3,0,0,'Données projet'!$E$11+1,1))</f>
        <v>352.61091660077574</v>
      </c>
      <c r="BJ188" s="59">
        <f t="shared" si="146"/>
        <v>186.48649111821521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27.590014059362062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27.590014059362062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266.99999999999983</v>
      </c>
      <c r="BZ188" s="13">
        <f>BY188*VLOOKUP('Données projet'!$B$12,Paramètres!$A$1:$I$89,3,0)*VLOOKUP('Données projet'!$B$12,Paramètres!$A$1:$I$89,5,0)</f>
        <v>212.42519999999985</v>
      </c>
      <c r="CA188" s="13">
        <f t="shared" si="170"/>
        <v>52.465198231787184</v>
      </c>
      <c r="CB188" s="20">
        <f t="shared" si="171"/>
        <v>461.35077692036231</v>
      </c>
      <c r="CC188" s="59">
        <f t="shared" si="119"/>
        <v>754.68411025369562</v>
      </c>
      <c r="CD188" s="59">
        <f ca="1">AVERAGE(OFFSET($CC$3,0,0,'Données projet'!$E$12+1,1))-AVERAGE(OFFSET($H$3,0,0,'Données projet'!$E$12+1,1))</f>
        <v>225.2323446080772</v>
      </c>
      <c r="CE188" s="59">
        <f t="shared" si="148"/>
        <v>222.29030402759292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5.4233471127360584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5.4233471127360584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213.00000000000003</v>
      </c>
      <c r="CU188" s="17">
        <f>CT188*VLOOKUP('Données projet'!$B$13,Paramètres!$A$1:$I$89,3,0)*VLOOKUP('Données projet'!$B$13,Paramètres!$A$1:$I$89,5,0)</f>
        <v>206.01360000000005</v>
      </c>
      <c r="CV188" s="13">
        <f t="shared" si="173"/>
        <v>51.063487709141484</v>
      </c>
      <c r="CW188" s="20">
        <f t="shared" si="174"/>
        <v>447.74259442675481</v>
      </c>
      <c r="CX188" s="59">
        <f t="shared" si="122"/>
        <v>741.07592776008812</v>
      </c>
      <c r="CY188" s="59">
        <f ca="1">AVERAGE(OFFSET($CX$3,0,0,'Données projet'!$E$13+1,1))-AVERAGE(OFFSET($H$3,0,0,'Données projet'!$E$13+1,1))</f>
        <v>212.32823943192528</v>
      </c>
      <c r="CZ188" s="59">
        <f t="shared" si="150"/>
        <v>209.60834138503003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4.1325621882941217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4.1325621882941217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285.99999999999972</v>
      </c>
      <c r="DP188" s="17">
        <f>DO188*VLOOKUP('Données projet'!$B$14,Paramètres!$A$1:$I$89,3,0)*VLOOKUP('Données projet'!$B$14,Paramètres!$A$1:$I$89,5,0)</f>
        <v>223.07999999999979</v>
      </c>
      <c r="DQ188" s="13">
        <f t="shared" si="176"/>
        <v>54.783765878062617</v>
      </c>
      <c r="DR188" s="20">
        <f t="shared" si="177"/>
        <v>483.94605890429199</v>
      </c>
      <c r="DS188" s="59">
        <f t="shared" si="125"/>
        <v>777.2793922376253</v>
      </c>
      <c r="DT188" s="59">
        <f ca="1">AVERAGE(OFFSET($DS$3,0,0,'Données projet'!$E$14+1,1))-AVERAGE(OFFSET($H$3,0,0,'Données projet'!$E$14+1,1))</f>
        <v>215.84581110302656</v>
      </c>
      <c r="DU188" s="59">
        <f t="shared" si="152"/>
        <v>193.88588526156104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6.0161421645261068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6.0161421645261068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6">
        <f t="shared" si="110"/>
        <v>491.71333357115242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401</v>
      </c>
      <c r="O189" s="13">
        <f>N189*VLOOKUP('Données projet'!$B$9,Paramètres!$A$1:$I$89,3,0)*VLOOKUP('Données projet'!$B$9,Paramètres!$A$1:$I$89,5,0)</f>
        <v>250.22399999999999</v>
      </c>
      <c r="P189" s="13">
        <f t="shared" si="141"/>
        <v>60.633904580527918</v>
      </c>
      <c r="Q189" s="20">
        <f t="shared" si="162"/>
        <v>541.41085047775289</v>
      </c>
      <c r="R189" s="59">
        <f t="shared" si="109"/>
        <v>834.74418381108626</v>
      </c>
      <c r="S189" s="59">
        <f ca="1">AVERAGE(OFFSET($R$3,0,0,'Données projet'!$E$9+1,1))-AVERAGE(OFFSET($H$3,0,0,'Données projet'!$E$9+1,1))</f>
        <v>269.77739619445515</v>
      </c>
      <c r="T189" s="59">
        <f t="shared" si="142"/>
        <v>347.56964743629885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6.3153588145542612</v>
      </c>
      <c r="AA189" s="21">
        <f>EXP(-LN(2)/25)*AA188+(1-EXP(-LN(2)/25))/(LN(2)/25)*Calculateur!V189*Calculateur!X189*VLOOKUP('Données projet'!$B$9,Paramètres!$A$1:$I$89,3,0)*0.475*44/12</f>
        <v>1.2137854842050735</v>
      </c>
      <c r="AB189" s="21">
        <f>EXP(-LN(2)/2)*AB188+(1-EXP(-LN(2)/2))/(LN(2)/2)*V189*Y189*VLOOKUP('Données projet'!$B$9,Paramètres!$A$1:$I$89,3,0)*0.475*44/12</f>
        <v>8.218319312562819E-26</v>
      </c>
      <c r="AC189" s="22">
        <f t="shared" si="163"/>
        <v>7.5291442987593342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789</v>
      </c>
      <c r="AJ189" s="13">
        <f>AI189*VLOOKUP('Données projet'!$B$10,Paramètres!$A$1:$I$89,3,0)*VLOOKUP('Données projet'!$B$10,Paramètres!$A$1:$I$89,5,0)</f>
        <v>389.76600000000002</v>
      </c>
      <c r="AK189" s="13">
        <f t="shared" si="164"/>
        <v>89.698759503620408</v>
      </c>
      <c r="AL189" s="20">
        <f t="shared" si="165"/>
        <v>835.06778946880547</v>
      </c>
      <c r="AM189" s="59">
        <f t="shared" si="113"/>
        <v>1128.4011228021388</v>
      </c>
      <c r="AN189" s="59">
        <f ca="1">AVERAGE(OFFSET($AM$3,0,0,'Données projet'!$E$10+1,1))-AVERAGE(OFFSET($H$3,0,0,'Données projet'!$E$10+1,1))</f>
        <v>396.27049617044378</v>
      </c>
      <c r="AO189" s="59">
        <f t="shared" si="144"/>
        <v>335.2680289568774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17.662788816427376</v>
      </c>
      <c r="AV189" s="21">
        <f>EXP(-LN(2)/25)*AV188+(1-EXP(-LN(2)/25))/(LN(2)/25)*Calculateur!AQ189*Calculateur!AS189*VLOOKUP('Données projet'!$B$10,Paramètres!$A$1:$I$89,3,0)*0.475*44/12</f>
        <v>0.62193494006122252</v>
      </c>
      <c r="AW189" s="21">
        <f>EXP(-LN(2)/2)*AW188+(1-EXP(-LN(2)/2))/(LN(2)/2)*AQ189*AT189*VLOOKUP('Données projet'!$B$10,Paramètres!$A$1:$I$89,3,0)*0.475*44/12</f>
        <v>1.2723175824634294E-24</v>
      </c>
      <c r="AX189" s="21">
        <f t="shared" si="166"/>
        <v>18.284723756488599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403.99999999999989</v>
      </c>
      <c r="BE189" s="13">
        <f>BD189*VLOOKUP('Données projet'!$B$11,Paramètres!$A$1:$I$89,3,0)*VLOOKUP('Données projet'!$B$11,Paramètres!$A$1:$I$89,5,0)</f>
        <v>346.63199999999995</v>
      </c>
      <c r="BF189" s="13">
        <f t="shared" si="167"/>
        <v>80.868615263336864</v>
      </c>
      <c r="BG189" s="20">
        <f t="shared" si="168"/>
        <v>744.56357158364483</v>
      </c>
      <c r="BH189" s="59">
        <f t="shared" si="116"/>
        <v>1037.8969049169782</v>
      </c>
      <c r="BI189" s="59">
        <f ca="1">AVERAGE(OFFSET($BH$3,0,0,'Données projet'!$E$11+1,1))-AVERAGE(OFFSET($H$3,0,0,'Données projet'!$E$11+1,1))</f>
        <v>352.61091660077574</v>
      </c>
      <c r="BJ189" s="59">
        <f t="shared" si="146"/>
        <v>186.48649111821521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27.048990711904896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27.048990711904896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266.99999999999983</v>
      </c>
      <c r="BZ189" s="13">
        <f>BY189*VLOOKUP('Données projet'!$B$12,Paramètres!$A$1:$I$89,3,0)*VLOOKUP('Données projet'!$B$12,Paramètres!$A$1:$I$89,5,0)</f>
        <v>212.42519999999985</v>
      </c>
      <c r="CA189" s="13">
        <f t="shared" si="170"/>
        <v>52.465198231787184</v>
      </c>
      <c r="CB189" s="20">
        <f t="shared" si="171"/>
        <v>461.35077692036231</v>
      </c>
      <c r="CC189" s="59">
        <f t="shared" si="119"/>
        <v>754.68411025369562</v>
      </c>
      <c r="CD189" s="59">
        <f ca="1">AVERAGE(OFFSET($CC$3,0,0,'Données projet'!$E$12+1,1))-AVERAGE(OFFSET($H$3,0,0,'Données projet'!$E$12+1,1))</f>
        <v>225.2323446080772</v>
      </c>
      <c r="CE189" s="59">
        <f t="shared" si="148"/>
        <v>222.29030402759292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5.3169985837704132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5.3169985837704132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213.00000000000003</v>
      </c>
      <c r="CU189" s="17">
        <f>CT189*VLOOKUP('Données projet'!$B$13,Paramètres!$A$1:$I$89,3,0)*VLOOKUP('Données projet'!$B$13,Paramètres!$A$1:$I$89,5,0)</f>
        <v>206.01360000000005</v>
      </c>
      <c r="CV189" s="13">
        <f t="shared" si="173"/>
        <v>51.063487709141484</v>
      </c>
      <c r="CW189" s="20">
        <f t="shared" si="174"/>
        <v>447.74259442675481</v>
      </c>
      <c r="CX189" s="59">
        <f t="shared" si="122"/>
        <v>741.07592776008812</v>
      </c>
      <c r="CY189" s="59">
        <f ca="1">AVERAGE(OFFSET($CX$3,0,0,'Données projet'!$E$13+1,1))-AVERAGE(OFFSET($H$3,0,0,'Données projet'!$E$13+1,1))</f>
        <v>212.32823943192528</v>
      </c>
      <c r="CZ189" s="59">
        <f t="shared" si="150"/>
        <v>209.60834138503003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4.0515251643957191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4.0515251643957191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285.99999999999972</v>
      </c>
      <c r="DP189" s="17">
        <f>DO189*VLOOKUP('Données projet'!$B$14,Paramètres!$A$1:$I$89,3,0)*VLOOKUP('Données projet'!$B$14,Paramètres!$A$1:$I$89,5,0)</f>
        <v>223.07999999999979</v>
      </c>
      <c r="DQ189" s="13">
        <f t="shared" si="176"/>
        <v>54.783765878062617</v>
      </c>
      <c r="DR189" s="20">
        <f t="shared" si="177"/>
        <v>483.94605890429199</v>
      </c>
      <c r="DS189" s="59">
        <f t="shared" si="125"/>
        <v>777.2793922376253</v>
      </c>
      <c r="DT189" s="59">
        <f ca="1">AVERAGE(OFFSET($DS$3,0,0,'Données projet'!$E$14+1,1))-AVERAGE(OFFSET($H$3,0,0,'Données projet'!$E$14+1,1))</f>
        <v>215.84581110302656</v>
      </c>
      <c r="DU189" s="59">
        <f t="shared" si="152"/>
        <v>193.88588526156104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5.8981692861641388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5.8981692861641388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6">
        <f t="shared" si="110"/>
        <v>492.75319522065962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401</v>
      </c>
      <c r="O190" s="13">
        <f>N190*VLOOKUP('Données projet'!$B$9,Paramètres!$A$1:$I$89,3,0)*VLOOKUP('Données projet'!$B$9,Paramètres!$A$1:$I$89,5,0)</f>
        <v>250.22399999999999</v>
      </c>
      <c r="P190" s="13">
        <f t="shared" si="141"/>
        <v>60.633904580527918</v>
      </c>
      <c r="Q190" s="20">
        <f t="shared" si="162"/>
        <v>541.41085047775289</v>
      </c>
      <c r="R190" s="59">
        <f t="shared" si="109"/>
        <v>834.74418381108626</v>
      </c>
      <c r="S190" s="59">
        <f ca="1">AVERAGE(OFFSET($R$3,0,0,'Données projet'!$E$9+1,1))-AVERAGE(OFFSET($H$3,0,0,'Données projet'!$E$9+1,1))</f>
        <v>269.77739619445515</v>
      </c>
      <c r="T190" s="59">
        <f t="shared" si="142"/>
        <v>347.56964743629885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6.1915184801893766</v>
      </c>
      <c r="AA190" s="21">
        <f>EXP(-LN(2)/25)*AA189+(1-EXP(-LN(2)/25))/(LN(2)/25)*Calculateur!V190*Calculateur!X190*VLOOKUP('Données projet'!$B$9,Paramètres!$A$1:$I$89,3,0)*0.475*44/12</f>
        <v>1.1805944563092812</v>
      </c>
      <c r="AB190" s="21">
        <f>EXP(-LN(2)/2)*AB189+(1-EXP(-LN(2)/2))/(LN(2)/2)*V190*Y190*VLOOKUP('Données projet'!$B$9,Paramètres!$A$1:$I$89,3,0)*0.475*44/12</f>
        <v>5.8112293158695348E-26</v>
      </c>
      <c r="AC190" s="22">
        <f t="shared" si="163"/>
        <v>7.3721129364986577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789</v>
      </c>
      <c r="AJ190" s="13">
        <f>AI190*VLOOKUP('Données projet'!$B$10,Paramètres!$A$1:$I$89,3,0)*VLOOKUP('Données projet'!$B$10,Paramètres!$A$1:$I$89,5,0)</f>
        <v>389.76600000000002</v>
      </c>
      <c r="AK190" s="13">
        <f t="shared" si="164"/>
        <v>89.698759503620408</v>
      </c>
      <c r="AL190" s="20">
        <f t="shared" si="165"/>
        <v>835.06778946880547</v>
      </c>
      <c r="AM190" s="59">
        <f t="shared" si="113"/>
        <v>1128.4011228021388</v>
      </c>
      <c r="AN190" s="59">
        <f ca="1">AVERAGE(OFFSET($AM$3,0,0,'Données projet'!$E$10+1,1))-AVERAGE(OFFSET($H$3,0,0,'Données projet'!$E$10+1,1))</f>
        <v>396.27049617044378</v>
      </c>
      <c r="AO190" s="59">
        <f t="shared" si="144"/>
        <v>335.2680289568774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17.316432300974643</v>
      </c>
      <c r="AV190" s="21">
        <f>EXP(-LN(2)/25)*AV189+(1-EXP(-LN(2)/25))/(LN(2)/25)*Calculateur!AQ190*Calculateur!AS190*VLOOKUP('Données projet'!$B$10,Paramètres!$A$1:$I$89,3,0)*0.475*44/12</f>
        <v>0.60492809641911138</v>
      </c>
      <c r="AW190" s="21">
        <f>EXP(-LN(2)/2)*AW189+(1-EXP(-LN(2)/2))/(LN(2)/2)*AQ190*AT190*VLOOKUP('Données projet'!$B$10,Paramètres!$A$1:$I$89,3,0)*0.475*44/12</f>
        <v>8.996643903827653E-25</v>
      </c>
      <c r="AX190" s="21">
        <f t="shared" si="166"/>
        <v>17.921360397393755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403.99999999999989</v>
      </c>
      <c r="BE190" s="13">
        <f>BD190*VLOOKUP('Données projet'!$B$11,Paramètres!$A$1:$I$89,3,0)*VLOOKUP('Données projet'!$B$11,Paramètres!$A$1:$I$89,5,0)</f>
        <v>346.63199999999995</v>
      </c>
      <c r="BF190" s="13">
        <f t="shared" si="167"/>
        <v>80.868615263336864</v>
      </c>
      <c r="BG190" s="20">
        <f t="shared" si="168"/>
        <v>744.56357158364483</v>
      </c>
      <c r="BH190" s="59">
        <f t="shared" si="116"/>
        <v>1037.8969049169782</v>
      </c>
      <c r="BI190" s="59">
        <f ca="1">AVERAGE(OFFSET($BH$3,0,0,'Données projet'!$E$11+1,1))-AVERAGE(OFFSET($H$3,0,0,'Données projet'!$E$11+1,1))</f>
        <v>352.61091660077574</v>
      </c>
      <c r="BJ190" s="59">
        <f t="shared" si="146"/>
        <v>186.48649111821521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26.518576502299709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26.518576502299709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266.99999999999983</v>
      </c>
      <c r="BZ190" s="13">
        <f>BY190*VLOOKUP('Données projet'!$B$12,Paramètres!$A$1:$I$89,3,0)*VLOOKUP('Données projet'!$B$12,Paramètres!$A$1:$I$89,5,0)</f>
        <v>212.42519999999985</v>
      </c>
      <c r="CA190" s="13">
        <f t="shared" si="170"/>
        <v>52.465198231787184</v>
      </c>
      <c r="CB190" s="20">
        <f t="shared" si="171"/>
        <v>461.35077692036231</v>
      </c>
      <c r="CC190" s="59">
        <f t="shared" si="119"/>
        <v>754.68411025369562</v>
      </c>
      <c r="CD190" s="59">
        <f ca="1">AVERAGE(OFFSET($CC$3,0,0,'Données projet'!$E$12+1,1))-AVERAGE(OFFSET($H$3,0,0,'Données projet'!$E$12+1,1))</f>
        <v>225.2323446080772</v>
      </c>
      <c r="CE190" s="59">
        <f t="shared" si="148"/>
        <v>222.29030402759292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5.2127354845915868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5.2127354845915868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213.00000000000003</v>
      </c>
      <c r="CU190" s="17">
        <f>CT190*VLOOKUP('Données projet'!$B$13,Paramètres!$A$1:$I$89,3,0)*VLOOKUP('Données projet'!$B$13,Paramètres!$A$1:$I$89,5,0)</f>
        <v>206.01360000000005</v>
      </c>
      <c r="CV190" s="13">
        <f t="shared" si="173"/>
        <v>51.063487709141484</v>
      </c>
      <c r="CW190" s="20">
        <f t="shared" si="174"/>
        <v>447.74259442675481</v>
      </c>
      <c r="CX190" s="59">
        <f t="shared" si="122"/>
        <v>741.07592776008812</v>
      </c>
      <c r="CY190" s="59">
        <f ca="1">AVERAGE(OFFSET($CX$3,0,0,'Données projet'!$E$13+1,1))-AVERAGE(OFFSET($H$3,0,0,'Données projet'!$E$13+1,1))</f>
        <v>212.32823943192528</v>
      </c>
      <c r="CZ190" s="59">
        <f t="shared" si="150"/>
        <v>209.60834138503003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3.9720772271082598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3.9720772271082598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285.99999999999972</v>
      </c>
      <c r="DP190" s="17">
        <f>DO190*VLOOKUP('Données projet'!$B$14,Paramètres!$A$1:$I$89,3,0)*VLOOKUP('Données projet'!$B$14,Paramètres!$A$1:$I$89,5,0)</f>
        <v>223.07999999999979</v>
      </c>
      <c r="DQ190" s="13">
        <f t="shared" si="176"/>
        <v>54.783765878062617</v>
      </c>
      <c r="DR190" s="20">
        <f t="shared" si="177"/>
        <v>483.94605890429199</v>
      </c>
      <c r="DS190" s="59">
        <f t="shared" si="125"/>
        <v>777.2793922376253</v>
      </c>
      <c r="DT190" s="59">
        <f ca="1">AVERAGE(OFFSET($DS$3,0,0,'Données projet'!$E$14+1,1))-AVERAGE(OFFSET($H$3,0,0,'Données projet'!$E$14+1,1))</f>
        <v>215.84581110302656</v>
      </c>
      <c r="DU190" s="59">
        <f t="shared" si="152"/>
        <v>193.88588526156104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5.7825097839904984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5.7825097839904984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6">
        <f t="shared" si="110"/>
        <v>493.79293109709795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401</v>
      </c>
      <c r="O191" s="13">
        <f>N191*VLOOKUP('Données projet'!$B$9,Paramètres!$A$1:$I$89,3,0)*VLOOKUP('Données projet'!$B$9,Paramètres!$A$1:$I$89,5,0)</f>
        <v>250.22399999999999</v>
      </c>
      <c r="P191" s="13">
        <f t="shared" si="141"/>
        <v>60.633904580527918</v>
      </c>
      <c r="Q191" s="20">
        <f t="shared" si="162"/>
        <v>541.41085047775289</v>
      </c>
      <c r="R191" s="59">
        <f t="shared" si="109"/>
        <v>834.74418381108626</v>
      </c>
      <c r="S191" s="59">
        <f ca="1">AVERAGE(OFFSET($R$3,0,0,'Données projet'!$E$9+1,1))-AVERAGE(OFFSET($H$3,0,0,'Données projet'!$E$9+1,1))</f>
        <v>269.77739619445515</v>
      </c>
      <c r="T191" s="59">
        <f t="shared" si="142"/>
        <v>347.56964743629885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6.0701065792462421</v>
      </c>
      <c r="AA191" s="21">
        <f>EXP(-LN(2)/25)*AA190+(1-EXP(-LN(2)/25))/(LN(2)/25)*Calculateur!V191*Calculateur!X191*VLOOKUP('Données projet'!$B$9,Paramètres!$A$1:$I$89,3,0)*0.475*44/12</f>
        <v>1.1483110388167397</v>
      </c>
      <c r="AB191" s="21">
        <f>EXP(-LN(2)/2)*AB190+(1-EXP(-LN(2)/2))/(LN(2)/2)*V191*Y191*VLOOKUP('Données projet'!$B$9,Paramètres!$A$1:$I$89,3,0)*0.475*44/12</f>
        <v>4.1091596562814095E-26</v>
      </c>
      <c r="AC191" s="22">
        <f t="shared" si="163"/>
        <v>7.2184176180629818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789</v>
      </c>
      <c r="AJ191" s="13">
        <f>AI191*VLOOKUP('Données projet'!$B$10,Paramètres!$A$1:$I$89,3,0)*VLOOKUP('Données projet'!$B$10,Paramètres!$A$1:$I$89,5,0)</f>
        <v>389.76600000000002</v>
      </c>
      <c r="AK191" s="13">
        <f t="shared" si="164"/>
        <v>89.698759503620408</v>
      </c>
      <c r="AL191" s="20">
        <f t="shared" si="165"/>
        <v>835.06778946880547</v>
      </c>
      <c r="AM191" s="59">
        <f t="shared" si="113"/>
        <v>1128.4011228021388</v>
      </c>
      <c r="AN191" s="59">
        <f ca="1">AVERAGE(OFFSET($AM$3,0,0,'Données projet'!$E$10+1,1))-AVERAGE(OFFSET($H$3,0,0,'Données projet'!$E$10+1,1))</f>
        <v>396.27049617044378</v>
      </c>
      <c r="AO191" s="59">
        <f t="shared" si="144"/>
        <v>335.2680289568774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16.976867625533327</v>
      </c>
      <c r="AV191" s="21">
        <f>EXP(-LN(2)/25)*AV190+(1-EXP(-LN(2)/25))/(LN(2)/25)*Calculateur!AQ191*Calculateur!AS191*VLOOKUP('Données projet'!$B$10,Paramètres!$A$1:$I$89,3,0)*0.475*44/12</f>
        <v>0.5883863058107448</v>
      </c>
      <c r="AW191" s="21">
        <f>EXP(-LN(2)/2)*AW190+(1-EXP(-LN(2)/2))/(LN(2)/2)*AQ191*AT191*VLOOKUP('Données projet'!$B$10,Paramètres!$A$1:$I$89,3,0)*0.475*44/12</f>
        <v>6.361587912317147E-25</v>
      </c>
      <c r="AX191" s="21">
        <f t="shared" si="166"/>
        <v>17.565253931344071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403.99999999999989</v>
      </c>
      <c r="BE191" s="13">
        <f>BD191*VLOOKUP('Données projet'!$B$11,Paramètres!$A$1:$I$89,3,0)*VLOOKUP('Données projet'!$B$11,Paramètres!$A$1:$I$89,5,0)</f>
        <v>346.63199999999995</v>
      </c>
      <c r="BF191" s="13">
        <f t="shared" si="167"/>
        <v>80.868615263336864</v>
      </c>
      <c r="BG191" s="20">
        <f t="shared" si="168"/>
        <v>744.56357158364483</v>
      </c>
      <c r="BH191" s="59">
        <f t="shared" si="116"/>
        <v>1037.8969049169782</v>
      </c>
      <c r="BI191" s="59">
        <f ca="1">AVERAGE(OFFSET($BH$3,0,0,'Données projet'!$E$11+1,1))-AVERAGE(OFFSET($H$3,0,0,'Données projet'!$E$11+1,1))</f>
        <v>352.61091660077574</v>
      </c>
      <c r="BJ191" s="59">
        <f t="shared" si="146"/>
        <v>186.48649111821521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25.998563391824156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25.998563391824156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266.99999999999983</v>
      </c>
      <c r="BZ191" s="13">
        <f>BY191*VLOOKUP('Données projet'!$B$12,Paramètres!$A$1:$I$89,3,0)*VLOOKUP('Données projet'!$B$12,Paramètres!$A$1:$I$89,5,0)</f>
        <v>212.42519999999985</v>
      </c>
      <c r="CA191" s="13">
        <f t="shared" si="170"/>
        <v>52.465198231787184</v>
      </c>
      <c r="CB191" s="20">
        <f t="shared" si="171"/>
        <v>461.35077692036231</v>
      </c>
      <c r="CC191" s="59">
        <f t="shared" si="119"/>
        <v>754.68411025369562</v>
      </c>
      <c r="CD191" s="59">
        <f ca="1">AVERAGE(OFFSET($CC$3,0,0,'Données projet'!$E$12+1,1))-AVERAGE(OFFSET($H$3,0,0,'Données projet'!$E$12+1,1))</f>
        <v>225.2323446080772</v>
      </c>
      <c r="CE191" s="59">
        <f t="shared" si="148"/>
        <v>222.29030402759292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5.1105169211934465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5.1105169211934465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213.00000000000003</v>
      </c>
      <c r="CU191" s="17">
        <f>CT191*VLOOKUP('Données projet'!$B$13,Paramètres!$A$1:$I$89,3,0)*VLOOKUP('Données projet'!$B$13,Paramètres!$A$1:$I$89,5,0)</f>
        <v>206.01360000000005</v>
      </c>
      <c r="CV191" s="13">
        <f t="shared" si="173"/>
        <v>51.063487709141484</v>
      </c>
      <c r="CW191" s="20">
        <f t="shared" si="174"/>
        <v>447.74259442675481</v>
      </c>
      <c r="CX191" s="59">
        <f t="shared" si="122"/>
        <v>741.07592776008812</v>
      </c>
      <c r="CY191" s="59">
        <f ca="1">AVERAGE(OFFSET($CX$3,0,0,'Données projet'!$E$13+1,1))-AVERAGE(OFFSET($H$3,0,0,'Données projet'!$E$13+1,1))</f>
        <v>212.32823943192528</v>
      </c>
      <c r="CZ191" s="59">
        <f t="shared" si="150"/>
        <v>209.60834138503003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3.894187215412551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3.894187215412551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285.99999999999972</v>
      </c>
      <c r="DP191" s="17">
        <f>DO191*VLOOKUP('Données projet'!$B$14,Paramètres!$A$1:$I$89,3,0)*VLOOKUP('Données projet'!$B$14,Paramètres!$A$1:$I$89,5,0)</f>
        <v>223.07999999999979</v>
      </c>
      <c r="DQ191" s="13">
        <f t="shared" si="176"/>
        <v>54.783765878062617</v>
      </c>
      <c r="DR191" s="20">
        <f t="shared" si="177"/>
        <v>483.94605890429199</v>
      </c>
      <c r="DS191" s="59">
        <f t="shared" si="125"/>
        <v>777.2793922376253</v>
      </c>
      <c r="DT191" s="59">
        <f ca="1">AVERAGE(OFFSET($DS$3,0,0,'Données projet'!$E$14+1,1))-AVERAGE(OFFSET($H$3,0,0,'Données projet'!$E$14+1,1))</f>
        <v>215.84581110302656</v>
      </c>
      <c r="DU191" s="59">
        <f t="shared" si="152"/>
        <v>193.88588526156104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5.6691182941091522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5.6691182941091522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6">
        <f t="shared" si="110"/>
        <v>494.83254194712129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401</v>
      </c>
      <c r="O192" s="13">
        <f>N192*VLOOKUP('Données projet'!$B$9,Paramètres!$A$1:$I$89,3,0)*VLOOKUP('Données projet'!$B$9,Paramètres!$A$1:$I$89,5,0)</f>
        <v>250.22399999999999</v>
      </c>
      <c r="P192" s="13">
        <f t="shared" si="141"/>
        <v>60.633904580527918</v>
      </c>
      <c r="Q192" s="20">
        <f t="shared" si="162"/>
        <v>541.41085047775289</v>
      </c>
      <c r="R192" s="59">
        <f t="shared" si="109"/>
        <v>834.74418381108626</v>
      </c>
      <c r="S192" s="59">
        <f ca="1">AVERAGE(OFFSET($R$3,0,0,'Données projet'!$E$9+1,1))-AVERAGE(OFFSET($H$3,0,0,'Données projet'!$E$9+1,1))</f>
        <v>269.77739619445515</v>
      </c>
      <c r="T192" s="59">
        <f t="shared" si="142"/>
        <v>347.56964743629885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5.9510754916266553</v>
      </c>
      <c r="AA192" s="21">
        <f>EXP(-LN(2)/25)*AA191+(1-EXP(-LN(2)/25))/(LN(2)/25)*Calculateur!V192*Calculateur!X192*VLOOKUP('Données projet'!$B$9,Paramètres!$A$1:$I$89,3,0)*0.475*44/12</f>
        <v>1.116910413073243</v>
      </c>
      <c r="AB192" s="21">
        <f>EXP(-LN(2)/2)*AB191+(1-EXP(-LN(2)/2))/(LN(2)/2)*V192*Y192*VLOOKUP('Données projet'!$B$9,Paramètres!$A$1:$I$89,3,0)*0.475*44/12</f>
        <v>2.9056146579347674E-26</v>
      </c>
      <c r="AC192" s="22">
        <f t="shared" si="163"/>
        <v>7.0679859046998983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789</v>
      </c>
      <c r="AJ192" s="13">
        <f>AI192*VLOOKUP('Données projet'!$B$10,Paramètres!$A$1:$I$89,3,0)*VLOOKUP('Données projet'!$B$10,Paramètres!$A$1:$I$89,5,0)</f>
        <v>389.76600000000002</v>
      </c>
      <c r="AK192" s="13">
        <f t="shared" si="164"/>
        <v>89.698759503620408</v>
      </c>
      <c r="AL192" s="20">
        <f t="shared" si="165"/>
        <v>835.06778946880547</v>
      </c>
      <c r="AM192" s="59">
        <f t="shared" si="113"/>
        <v>1128.4011228021388</v>
      </c>
      <c r="AN192" s="59">
        <f ca="1">AVERAGE(OFFSET($AM$3,0,0,'Données projet'!$E$10+1,1))-AVERAGE(OFFSET($H$3,0,0,'Données projet'!$E$10+1,1))</f>
        <v>396.27049617044378</v>
      </c>
      <c r="AO192" s="59">
        <f t="shared" si="144"/>
        <v>335.2680289568774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16.64396160626341</v>
      </c>
      <c r="AV192" s="21">
        <f>EXP(-LN(2)/25)*AV191+(1-EXP(-LN(2)/25))/(LN(2)/25)*Calculateur!AQ192*Calculateur!AS192*VLOOKUP('Données projet'!$B$10,Paramètres!$A$1:$I$89,3,0)*0.475*44/12</f>
        <v>0.57229685133645891</v>
      </c>
      <c r="AW192" s="21">
        <f>EXP(-LN(2)/2)*AW191+(1-EXP(-LN(2)/2))/(LN(2)/2)*AQ192*AT192*VLOOKUP('Données projet'!$B$10,Paramètres!$A$1:$I$89,3,0)*0.475*44/12</f>
        <v>4.4983219519138265E-25</v>
      </c>
      <c r="AX192" s="21">
        <f t="shared" si="166"/>
        <v>17.216258457599871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403.99999999999989</v>
      </c>
      <c r="BE192" s="13">
        <f>BD192*VLOOKUP('Données projet'!$B$11,Paramètres!$A$1:$I$89,3,0)*VLOOKUP('Données projet'!$B$11,Paramètres!$A$1:$I$89,5,0)</f>
        <v>346.63199999999995</v>
      </c>
      <c r="BF192" s="13">
        <f t="shared" si="167"/>
        <v>80.868615263336864</v>
      </c>
      <c r="BG192" s="20">
        <f t="shared" si="168"/>
        <v>744.56357158364483</v>
      </c>
      <c r="BH192" s="59">
        <f t="shared" si="116"/>
        <v>1037.8969049169782</v>
      </c>
      <c r="BI192" s="59">
        <f ca="1">AVERAGE(OFFSET($BH$3,0,0,'Données projet'!$E$11+1,1))-AVERAGE(OFFSET($H$3,0,0,'Données projet'!$E$11+1,1))</f>
        <v>352.61091660077574</v>
      </c>
      <c r="BJ192" s="59">
        <f t="shared" si="146"/>
        <v>186.48649111821521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25.48874742126835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25.48874742126835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266.99999999999983</v>
      </c>
      <c r="BZ192" s="13">
        <f>BY192*VLOOKUP('Données projet'!$B$12,Paramètres!$A$1:$I$89,3,0)*VLOOKUP('Données projet'!$B$12,Paramètres!$A$1:$I$89,5,0)</f>
        <v>212.42519999999985</v>
      </c>
      <c r="CA192" s="13">
        <f t="shared" si="170"/>
        <v>52.465198231787184</v>
      </c>
      <c r="CB192" s="20">
        <f t="shared" si="171"/>
        <v>461.35077692036231</v>
      </c>
      <c r="CC192" s="59">
        <f t="shared" si="119"/>
        <v>754.68411025369562</v>
      </c>
      <c r="CD192" s="59">
        <f ca="1">AVERAGE(OFFSET($CC$3,0,0,'Données projet'!$E$12+1,1))-AVERAGE(OFFSET($H$3,0,0,'Données projet'!$E$12+1,1))</f>
        <v>225.2323446080772</v>
      </c>
      <c r="CE192" s="59">
        <f t="shared" si="148"/>
        <v>222.29030402759292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5.0103028014763762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5.0103028014763762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213.00000000000003</v>
      </c>
      <c r="CU192" s="17">
        <f>CT192*VLOOKUP('Données projet'!$B$13,Paramètres!$A$1:$I$89,3,0)*VLOOKUP('Données projet'!$B$13,Paramètres!$A$1:$I$89,5,0)</f>
        <v>206.01360000000005</v>
      </c>
      <c r="CV192" s="13">
        <f t="shared" si="173"/>
        <v>51.063487709141484</v>
      </c>
      <c r="CW192" s="20">
        <f t="shared" si="174"/>
        <v>447.74259442675481</v>
      </c>
      <c r="CX192" s="59">
        <f t="shared" si="122"/>
        <v>741.07592776008812</v>
      </c>
      <c r="CY192" s="59">
        <f ca="1">AVERAGE(OFFSET($CX$3,0,0,'Données projet'!$E$13+1,1))-AVERAGE(OFFSET($H$3,0,0,'Données projet'!$E$13+1,1))</f>
        <v>212.32823943192528</v>
      </c>
      <c r="CZ192" s="59">
        <f t="shared" si="150"/>
        <v>209.60834138503003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3.8178245793379788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3.8178245793379788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285.99999999999972</v>
      </c>
      <c r="DP192" s="17">
        <f>DO192*VLOOKUP('Données projet'!$B$14,Paramètres!$A$1:$I$89,3,0)*VLOOKUP('Données projet'!$B$14,Paramètres!$A$1:$I$89,5,0)</f>
        <v>223.07999999999979</v>
      </c>
      <c r="DQ192" s="13">
        <f t="shared" si="176"/>
        <v>54.783765878062617</v>
      </c>
      <c r="DR192" s="20">
        <f t="shared" si="177"/>
        <v>483.94605890429199</v>
      </c>
      <c r="DS192" s="59">
        <f t="shared" si="125"/>
        <v>777.2793922376253</v>
      </c>
      <c r="DT192" s="59">
        <f ca="1">AVERAGE(OFFSET($DS$3,0,0,'Données projet'!$E$14+1,1))-AVERAGE(OFFSET($H$3,0,0,'Données projet'!$E$14+1,1))</f>
        <v>215.84581110302656</v>
      </c>
      <c r="DU192" s="59">
        <f t="shared" si="152"/>
        <v>193.88588526156104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5.5579503421823997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5.5579503421823997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6">
        <f t="shared" si="110"/>
        <v>495.87202850902497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401</v>
      </c>
      <c r="O193" s="13">
        <f>N193*VLOOKUP('Données projet'!$B$9,Paramètres!$A$1:$I$89,3,0)*VLOOKUP('Données projet'!$B$9,Paramètres!$A$1:$I$89,5,0)</f>
        <v>250.22399999999999</v>
      </c>
      <c r="P193" s="13">
        <f t="shared" si="141"/>
        <v>60.633904580527918</v>
      </c>
      <c r="Q193" s="20">
        <f t="shared" si="162"/>
        <v>541.41085047775289</v>
      </c>
      <c r="R193" s="59">
        <f t="shared" si="109"/>
        <v>834.74418381108626</v>
      </c>
      <c r="S193" s="59">
        <f ca="1">AVERAGE(OFFSET($R$3,0,0,'Données projet'!$E$9+1,1))-AVERAGE(OFFSET($H$3,0,0,'Données projet'!$E$9+1,1))</f>
        <v>269.77739619445515</v>
      </c>
      <c r="T193" s="59">
        <f t="shared" si="142"/>
        <v>347.56964743629885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5.8343785310334937</v>
      </c>
      <c r="AA193" s="21">
        <f>EXP(-LN(2)/25)*AA192+(1-EXP(-LN(2)/25))/(LN(2)/25)*Calculateur!V193*Calculateur!X193*VLOOKUP('Données projet'!$B$9,Paramètres!$A$1:$I$89,3,0)*0.475*44/12</f>
        <v>1.0863684390919892</v>
      </c>
      <c r="AB193" s="21">
        <f>EXP(-LN(2)/2)*AB192+(1-EXP(-LN(2)/2))/(LN(2)/2)*V193*Y193*VLOOKUP('Données projet'!$B$9,Paramètres!$A$1:$I$89,3,0)*0.475*44/12</f>
        <v>2.0545798281407048E-26</v>
      </c>
      <c r="AC193" s="22">
        <f t="shared" si="163"/>
        <v>6.9207469701254833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789</v>
      </c>
      <c r="AJ193" s="13">
        <f>AI193*VLOOKUP('Données projet'!$B$10,Paramètres!$A$1:$I$89,3,0)*VLOOKUP('Données projet'!$B$10,Paramètres!$A$1:$I$89,5,0)</f>
        <v>389.76600000000002</v>
      </c>
      <c r="AK193" s="13">
        <f t="shared" si="164"/>
        <v>89.698759503620408</v>
      </c>
      <c r="AL193" s="20">
        <f t="shared" si="165"/>
        <v>835.06778946880547</v>
      </c>
      <c r="AM193" s="59">
        <f t="shared" si="113"/>
        <v>1128.4011228021388</v>
      </c>
      <c r="AN193" s="59">
        <f ca="1">AVERAGE(OFFSET($AM$3,0,0,'Données projet'!$E$10+1,1))-AVERAGE(OFFSET($H$3,0,0,'Données projet'!$E$10+1,1))</f>
        <v>396.27049617044378</v>
      </c>
      <c r="AO193" s="59">
        <f t="shared" si="144"/>
        <v>335.2680289568774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16.317583670978756</v>
      </c>
      <c r="AV193" s="21">
        <f>EXP(-LN(2)/25)*AV192+(1-EXP(-LN(2)/25))/(LN(2)/25)*Calculateur!AQ193*Calculateur!AS193*VLOOKUP('Données projet'!$B$10,Paramètres!$A$1:$I$89,3,0)*0.475*44/12</f>
        <v>0.55664736384087998</v>
      </c>
      <c r="AW193" s="21">
        <f>EXP(-LN(2)/2)*AW192+(1-EXP(-LN(2)/2))/(LN(2)/2)*AQ193*AT193*VLOOKUP('Données projet'!$B$10,Paramètres!$A$1:$I$89,3,0)*0.475*44/12</f>
        <v>3.1807939561585735E-25</v>
      </c>
      <c r="AX193" s="21">
        <f t="shared" si="166"/>
        <v>16.874231034819637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403.99999999999989</v>
      </c>
      <c r="BE193" s="13">
        <f>BD193*VLOOKUP('Données projet'!$B$11,Paramètres!$A$1:$I$89,3,0)*VLOOKUP('Données projet'!$B$11,Paramètres!$A$1:$I$89,5,0)</f>
        <v>346.63199999999995</v>
      </c>
      <c r="BF193" s="13">
        <f t="shared" si="167"/>
        <v>80.868615263336864</v>
      </c>
      <c r="BG193" s="20">
        <f t="shared" si="168"/>
        <v>744.56357158364483</v>
      </c>
      <c r="BH193" s="59">
        <f t="shared" si="116"/>
        <v>1037.8969049169782</v>
      </c>
      <c r="BI193" s="59">
        <f ca="1">AVERAGE(OFFSET($BH$3,0,0,'Données projet'!$E$11+1,1))-AVERAGE(OFFSET($H$3,0,0,'Données projet'!$E$11+1,1))</f>
        <v>352.61091660077574</v>
      </c>
      <c r="BJ193" s="59">
        <f t="shared" si="146"/>
        <v>186.48649111821521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24.988928630938105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24.988928630938105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266.99999999999983</v>
      </c>
      <c r="BZ193" s="13">
        <f>BY193*VLOOKUP('Données projet'!$B$12,Paramètres!$A$1:$I$89,3,0)*VLOOKUP('Données projet'!$B$12,Paramètres!$A$1:$I$89,5,0)</f>
        <v>212.42519999999985</v>
      </c>
      <c r="CA193" s="13">
        <f t="shared" si="170"/>
        <v>52.465198231787184</v>
      </c>
      <c r="CB193" s="20">
        <f t="shared" si="171"/>
        <v>461.35077692036231</v>
      </c>
      <c r="CC193" s="59">
        <f t="shared" si="119"/>
        <v>754.68411025369562</v>
      </c>
      <c r="CD193" s="59">
        <f ca="1">AVERAGE(OFFSET($CC$3,0,0,'Données projet'!$E$12+1,1))-AVERAGE(OFFSET($H$3,0,0,'Données projet'!$E$12+1,1))</f>
        <v>225.2323446080772</v>
      </c>
      <c r="CE193" s="59">
        <f t="shared" si="148"/>
        <v>222.29030402759292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4.91205381952238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4.91205381952238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213.00000000000003</v>
      </c>
      <c r="CU193" s="17">
        <f>CT193*VLOOKUP('Données projet'!$B$13,Paramètres!$A$1:$I$89,3,0)*VLOOKUP('Données projet'!$B$13,Paramètres!$A$1:$I$89,5,0)</f>
        <v>206.01360000000005</v>
      </c>
      <c r="CV193" s="13">
        <f t="shared" si="173"/>
        <v>51.063487709141484</v>
      </c>
      <c r="CW193" s="20">
        <f t="shared" si="174"/>
        <v>447.74259442675481</v>
      </c>
      <c r="CX193" s="59">
        <f t="shared" si="122"/>
        <v>741.07592776008812</v>
      </c>
      <c r="CY193" s="59">
        <f ca="1">AVERAGE(OFFSET($CX$3,0,0,'Données projet'!$E$13+1,1))-AVERAGE(OFFSET($H$3,0,0,'Données projet'!$E$13+1,1))</f>
        <v>212.32823943192528</v>
      </c>
      <c r="CZ193" s="59">
        <f t="shared" si="150"/>
        <v>209.60834138503003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3.74295936798022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3.74295936798022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285.99999999999972</v>
      </c>
      <c r="DP193" s="17">
        <f>DO193*VLOOKUP('Données projet'!$B$14,Paramètres!$A$1:$I$89,3,0)*VLOOKUP('Données projet'!$B$14,Paramètres!$A$1:$I$89,5,0)</f>
        <v>223.07999999999979</v>
      </c>
      <c r="DQ193" s="13">
        <f t="shared" si="176"/>
        <v>54.783765878062617</v>
      </c>
      <c r="DR193" s="20">
        <f t="shared" si="177"/>
        <v>483.94605890429199</v>
      </c>
      <c r="DS193" s="59">
        <f t="shared" si="125"/>
        <v>777.2793922376253</v>
      </c>
      <c r="DT193" s="59">
        <f ca="1">AVERAGE(OFFSET($DS$3,0,0,'Données projet'!$E$14+1,1))-AVERAGE(OFFSET($H$3,0,0,'Données projet'!$E$14+1,1))</f>
        <v>215.84581110302656</v>
      </c>
      <c r="DU193" s="59">
        <f t="shared" si="152"/>
        <v>193.88588526156104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5.4489623259871758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5.4489623259871758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6">
        <f t="shared" si="110"/>
        <v>496.91139151288291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401</v>
      </c>
      <c r="O194" s="13">
        <f>N194*VLOOKUP('Données projet'!$B$9,Paramètres!$A$1:$I$89,3,0)*VLOOKUP('Données projet'!$B$9,Paramètres!$A$1:$I$89,5,0)</f>
        <v>250.22399999999999</v>
      </c>
      <c r="P194" s="13">
        <f t="shared" si="141"/>
        <v>60.633904580527918</v>
      </c>
      <c r="Q194" s="20">
        <f t="shared" si="162"/>
        <v>541.41085047775289</v>
      </c>
      <c r="R194" s="59">
        <f t="shared" si="109"/>
        <v>834.74418381108626</v>
      </c>
      <c r="S194" s="59">
        <f ca="1">AVERAGE(OFFSET($R$3,0,0,'Données projet'!$E$9+1,1))-AVERAGE(OFFSET($H$3,0,0,'Données projet'!$E$9+1,1))</f>
        <v>269.77739619445515</v>
      </c>
      <c r="T194" s="59">
        <f t="shared" si="142"/>
        <v>347.56964743629885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5.7199699266594459</v>
      </c>
      <c r="AA194" s="21">
        <f>EXP(-LN(2)/25)*AA193+(1-EXP(-LN(2)/25))/(LN(2)/25)*Calculateur!V194*Calculateur!X194*VLOOKUP('Données projet'!$B$9,Paramètres!$A$1:$I$89,3,0)*0.475*44/12</f>
        <v>1.0566616369953854</v>
      </c>
      <c r="AB194" s="21">
        <f>EXP(-LN(2)/2)*AB193+(1-EXP(-LN(2)/2))/(LN(2)/2)*V194*Y194*VLOOKUP('Données projet'!$B$9,Paramètres!$A$1:$I$89,3,0)*0.475*44/12</f>
        <v>1.4528073289673837E-26</v>
      </c>
      <c r="AC194" s="22">
        <f t="shared" si="163"/>
        <v>6.7766315636548313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789</v>
      </c>
      <c r="AJ194" s="13">
        <f>AI194*VLOOKUP('Données projet'!$B$10,Paramètres!$A$1:$I$89,3,0)*VLOOKUP('Données projet'!$B$10,Paramètres!$A$1:$I$89,5,0)</f>
        <v>389.76600000000002</v>
      </c>
      <c r="AK194" s="13">
        <f t="shared" si="164"/>
        <v>89.698759503620408</v>
      </c>
      <c r="AL194" s="20">
        <f t="shared" si="165"/>
        <v>835.06778946880547</v>
      </c>
      <c r="AM194" s="59">
        <f t="shared" si="113"/>
        <v>1128.4011228021388</v>
      </c>
      <c r="AN194" s="59">
        <f ca="1">AVERAGE(OFFSET($AM$3,0,0,'Données projet'!$E$10+1,1))-AVERAGE(OFFSET($H$3,0,0,'Données projet'!$E$10+1,1))</f>
        <v>396.27049617044378</v>
      </c>
      <c r="AO194" s="59">
        <f t="shared" si="144"/>
        <v>335.2680289568774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15.99760580793415</v>
      </c>
      <c r="AV194" s="21">
        <f>EXP(-LN(2)/25)*AV193+(1-EXP(-LN(2)/25))/(LN(2)/25)*Calculateur!AQ194*Calculateur!AS194*VLOOKUP('Données projet'!$B$10,Paramètres!$A$1:$I$89,3,0)*0.475*44/12</f>
        <v>0.54142581240383847</v>
      </c>
      <c r="AW194" s="21">
        <f>EXP(-LN(2)/2)*AW193+(1-EXP(-LN(2)/2))/(LN(2)/2)*AQ194*AT194*VLOOKUP('Données projet'!$B$10,Paramètres!$A$1:$I$89,3,0)*0.475*44/12</f>
        <v>2.2491609759569132E-25</v>
      </c>
      <c r="AX194" s="21">
        <f t="shared" si="166"/>
        <v>16.539031620337987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403.99999999999989</v>
      </c>
      <c r="BE194" s="13">
        <f>BD194*VLOOKUP('Données projet'!$B$11,Paramètres!$A$1:$I$89,3,0)*VLOOKUP('Données projet'!$B$11,Paramètres!$A$1:$I$89,5,0)</f>
        <v>346.63199999999995</v>
      </c>
      <c r="BF194" s="13">
        <f t="shared" si="167"/>
        <v>80.868615263336864</v>
      </c>
      <c r="BG194" s="20">
        <f t="shared" si="168"/>
        <v>744.56357158364483</v>
      </c>
      <c r="BH194" s="59">
        <f t="shared" si="116"/>
        <v>1037.8969049169782</v>
      </c>
      <c r="BI194" s="59">
        <f ca="1">AVERAGE(OFFSET($BH$3,0,0,'Données projet'!$E$11+1,1))-AVERAGE(OFFSET($H$3,0,0,'Données projet'!$E$11+1,1))</f>
        <v>352.61091660077574</v>
      </c>
      <c r="BJ194" s="59">
        <f t="shared" si="146"/>
        <v>186.48649111821521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24.498910982226878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24.498910982226878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266.99999999999983</v>
      </c>
      <c r="BZ194" s="13">
        <f>BY194*VLOOKUP('Données projet'!$B$12,Paramètres!$A$1:$I$89,3,0)*VLOOKUP('Données projet'!$B$12,Paramètres!$A$1:$I$89,5,0)</f>
        <v>212.42519999999985</v>
      </c>
      <c r="CA194" s="13">
        <f t="shared" si="170"/>
        <v>52.465198231787184</v>
      </c>
      <c r="CB194" s="20">
        <f t="shared" si="171"/>
        <v>461.35077692036231</v>
      </c>
      <c r="CC194" s="59">
        <f t="shared" si="119"/>
        <v>754.68411025369562</v>
      </c>
      <c r="CD194" s="59">
        <f ca="1">AVERAGE(OFFSET($CC$3,0,0,'Données projet'!$E$12+1,1))-AVERAGE(OFFSET($H$3,0,0,'Données projet'!$E$12+1,1))</f>
        <v>225.2323446080772</v>
      </c>
      <c r="CE194" s="59">
        <f t="shared" si="148"/>
        <v>222.29030402759292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4.8157314401785403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4.8157314401785403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213.00000000000003</v>
      </c>
      <c r="CU194" s="17">
        <f>CT194*VLOOKUP('Données projet'!$B$13,Paramètres!$A$1:$I$89,3,0)*VLOOKUP('Données projet'!$B$13,Paramètres!$A$1:$I$89,5,0)</f>
        <v>206.01360000000005</v>
      </c>
      <c r="CV194" s="13">
        <f t="shared" si="173"/>
        <v>51.063487709141484</v>
      </c>
      <c r="CW194" s="20">
        <f t="shared" si="174"/>
        <v>447.74259442675481</v>
      </c>
      <c r="CX194" s="59">
        <f t="shared" si="122"/>
        <v>741.07592776008812</v>
      </c>
      <c r="CY194" s="59">
        <f ca="1">AVERAGE(OFFSET($CX$3,0,0,'Données projet'!$E$13+1,1))-AVERAGE(OFFSET($H$3,0,0,'Données projet'!$E$13+1,1))</f>
        <v>212.32823943192528</v>
      </c>
      <c r="CZ194" s="59">
        <f t="shared" si="150"/>
        <v>209.60834138503003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3.6695622177539167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3.6695622177539167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285.99999999999972</v>
      </c>
      <c r="DP194" s="17">
        <f>DO194*VLOOKUP('Données projet'!$B$14,Paramètres!$A$1:$I$89,3,0)*VLOOKUP('Données projet'!$B$14,Paramètres!$A$1:$I$89,5,0)</f>
        <v>223.07999999999979</v>
      </c>
      <c r="DQ194" s="13">
        <f t="shared" si="176"/>
        <v>54.783765878062617</v>
      </c>
      <c r="DR194" s="20">
        <f t="shared" si="177"/>
        <v>483.94605890429199</v>
      </c>
      <c r="DS194" s="59">
        <f t="shared" si="125"/>
        <v>777.2793922376253</v>
      </c>
      <c r="DT194" s="59">
        <f ca="1">AVERAGE(OFFSET($DS$3,0,0,'Données projet'!$E$14+1,1))-AVERAGE(OFFSET($H$3,0,0,'Données projet'!$E$14+1,1))</f>
        <v>215.84581110302656</v>
      </c>
      <c r="DU194" s="59">
        <f t="shared" si="152"/>
        <v>193.88588526156104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5.3421114983134137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5.3421114983134137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6">
        <f t="shared" si="110"/>
        <v>497.95063168068179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401</v>
      </c>
      <c r="O195" s="13">
        <f>N195*VLOOKUP('Données projet'!$B$9,Paramètres!$A$1:$I$89,3,0)*VLOOKUP('Données projet'!$B$9,Paramètres!$A$1:$I$89,5,0)</f>
        <v>250.22399999999999</v>
      </c>
      <c r="P195" s="13">
        <f t="shared" si="141"/>
        <v>60.633904580527918</v>
      </c>
      <c r="Q195" s="20">
        <f t="shared" si="162"/>
        <v>541.41085047775289</v>
      </c>
      <c r="R195" s="59">
        <f t="shared" ref="R195:R203" si="191">Q195+(I195+J195)*44/12</f>
        <v>834.74418381108626</v>
      </c>
      <c r="S195" s="59">
        <f ca="1">AVERAGE(OFFSET($R$3,0,0,'Données projet'!$E$9+1,1))-AVERAGE(OFFSET($H$3,0,0,'Données projet'!$E$9+1,1))</f>
        <v>269.77739619445515</v>
      </c>
      <c r="T195" s="59">
        <f t="shared" si="142"/>
        <v>347.56964743629885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5.6078048052348155</v>
      </c>
      <c r="AA195" s="21">
        <f>EXP(-LN(2)/25)*AA194+(1-EXP(-LN(2)/25))/(LN(2)/25)*Calculateur!V195*Calculateur!X195*VLOOKUP('Données projet'!$B$9,Paramètres!$A$1:$I$89,3,0)*0.475*44/12</f>
        <v>1.0277671689643262</v>
      </c>
      <c r="AB195" s="21">
        <f>EXP(-LN(2)/2)*AB194+(1-EXP(-LN(2)/2))/(LN(2)/2)*V195*Y195*VLOOKUP('Données projet'!$B$9,Paramètres!$A$1:$I$89,3,0)*0.475*44/12</f>
        <v>1.0272899140703524E-26</v>
      </c>
      <c r="AC195" s="22">
        <f t="shared" si="163"/>
        <v>6.6355719741991415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789</v>
      </c>
      <c r="AJ195" s="13">
        <f>AI195*VLOOKUP('Données projet'!$B$10,Paramètres!$A$1:$I$89,3,0)*VLOOKUP('Données projet'!$B$10,Paramètres!$A$1:$I$89,5,0)</f>
        <v>389.76600000000002</v>
      </c>
      <c r="AK195" s="13">
        <f t="shared" si="164"/>
        <v>89.698759503620408</v>
      </c>
      <c r="AL195" s="20">
        <f t="shared" si="165"/>
        <v>835.06778946880547</v>
      </c>
      <c r="AM195" s="59">
        <f t="shared" si="113"/>
        <v>1128.4011228021388</v>
      </c>
      <c r="AN195" s="59">
        <f ca="1">AVERAGE(OFFSET($AM$3,0,0,'Données projet'!$E$10+1,1))-AVERAGE(OFFSET($H$3,0,0,'Données projet'!$E$10+1,1))</f>
        <v>396.27049617044378</v>
      </c>
      <c r="AO195" s="59">
        <f t="shared" si="144"/>
        <v>335.2680289568774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15.683902515616623</v>
      </c>
      <c r="AV195" s="21">
        <f>EXP(-LN(2)/25)*AV194+(1-EXP(-LN(2)/25))/(LN(2)/25)*Calculateur!AQ195*Calculateur!AS195*VLOOKUP('Données projet'!$B$10,Paramètres!$A$1:$I$89,3,0)*0.475*44/12</f>
        <v>0.52662049509130948</v>
      </c>
      <c r="AW195" s="21">
        <f>EXP(-LN(2)/2)*AW194+(1-EXP(-LN(2)/2))/(LN(2)/2)*AQ195*AT195*VLOOKUP('Données projet'!$B$10,Paramètres!$A$1:$I$89,3,0)*0.475*44/12</f>
        <v>1.5903969780792867E-25</v>
      </c>
      <c r="AX195" s="21">
        <f t="shared" si="166"/>
        <v>16.210523010707931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403.99999999999989</v>
      </c>
      <c r="BE195" s="13">
        <f>BD195*VLOOKUP('Données projet'!$B$11,Paramètres!$A$1:$I$89,3,0)*VLOOKUP('Données projet'!$B$11,Paramètres!$A$1:$I$89,5,0)</f>
        <v>346.63199999999995</v>
      </c>
      <c r="BF195" s="13">
        <f t="shared" si="167"/>
        <v>80.868615263336864</v>
      </c>
      <c r="BG195" s="20">
        <f t="shared" si="168"/>
        <v>744.56357158364483</v>
      </c>
      <c r="BH195" s="59">
        <f t="shared" si="116"/>
        <v>1037.8969049169782</v>
      </c>
      <c r="BI195" s="59">
        <f ca="1">AVERAGE(OFFSET($BH$3,0,0,'Données projet'!$E$11+1,1))-AVERAGE(OFFSET($H$3,0,0,'Données projet'!$E$11+1,1))</f>
        <v>352.61091660077574</v>
      </c>
      <c r="BJ195" s="59">
        <f t="shared" si="146"/>
        <v>186.48649111821521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24.018502280725624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24.018502280725624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266.99999999999983</v>
      </c>
      <c r="BZ195" s="13">
        <f>BY195*VLOOKUP('Données projet'!$B$12,Paramètres!$A$1:$I$89,3,0)*VLOOKUP('Données projet'!$B$12,Paramètres!$A$1:$I$89,5,0)</f>
        <v>212.42519999999985</v>
      </c>
      <c r="CA195" s="13">
        <f t="shared" si="170"/>
        <v>52.465198231787184</v>
      </c>
      <c r="CB195" s="20">
        <f t="shared" si="171"/>
        <v>461.35077692036231</v>
      </c>
      <c r="CC195" s="59">
        <f t="shared" si="119"/>
        <v>754.68411025369562</v>
      </c>
      <c r="CD195" s="59">
        <f ca="1">AVERAGE(OFFSET($CC$3,0,0,'Données projet'!$E$12+1,1))-AVERAGE(OFFSET($H$3,0,0,'Données projet'!$E$12+1,1))</f>
        <v>225.2323446080772</v>
      </c>
      <c r="CE195" s="59">
        <f t="shared" si="148"/>
        <v>222.29030402759292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4.7212978839427828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4.7212978839427828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213.00000000000003</v>
      </c>
      <c r="CU195" s="17">
        <f>CT195*VLOOKUP('Données projet'!$B$13,Paramètres!$A$1:$I$89,3,0)*VLOOKUP('Données projet'!$B$13,Paramètres!$A$1:$I$89,5,0)</f>
        <v>206.01360000000005</v>
      </c>
      <c r="CV195" s="13">
        <f t="shared" si="173"/>
        <v>51.063487709141484</v>
      </c>
      <c r="CW195" s="20">
        <f t="shared" si="174"/>
        <v>447.74259442675481</v>
      </c>
      <c r="CX195" s="59">
        <f t="shared" si="122"/>
        <v>741.07592776008812</v>
      </c>
      <c r="CY195" s="59">
        <f ca="1">AVERAGE(OFFSET($CX$3,0,0,'Données projet'!$E$13+1,1))-AVERAGE(OFFSET($H$3,0,0,'Données projet'!$E$13+1,1))</f>
        <v>212.32823943192528</v>
      </c>
      <c r="CZ195" s="59">
        <f t="shared" si="150"/>
        <v>209.60834138503003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3.5976043408757099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3.5976043408757099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285.99999999999972</v>
      </c>
      <c r="DP195" s="17">
        <f>DO195*VLOOKUP('Données projet'!$B$14,Paramètres!$A$1:$I$89,3,0)*VLOOKUP('Données projet'!$B$14,Paramètres!$A$1:$I$89,5,0)</f>
        <v>223.07999999999979</v>
      </c>
      <c r="DQ195" s="13">
        <f t="shared" si="176"/>
        <v>54.783765878062617</v>
      </c>
      <c r="DR195" s="20">
        <f t="shared" si="177"/>
        <v>483.94605890429199</v>
      </c>
      <c r="DS195" s="59">
        <f t="shared" si="125"/>
        <v>777.2793922376253</v>
      </c>
      <c r="DT195" s="59">
        <f ca="1">AVERAGE(OFFSET($DS$3,0,0,'Données projet'!$E$14+1,1))-AVERAGE(OFFSET($H$3,0,0,'Données projet'!$E$14+1,1))</f>
        <v>215.84581110302656</v>
      </c>
      <c r="DU195" s="59">
        <f t="shared" si="152"/>
        <v>193.88588526156104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5.2373559501977649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5.2373559501977649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6">
        <f t="shared" ref="H196:H203" si="192">(B196+E196+F196)*44/12+(C196+D196)*0.475*44/12</f>
        <v>498.98974972645203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401</v>
      </c>
      <c r="O196" s="13">
        <f>N196*VLOOKUP('Données projet'!$B$9,Paramètres!$A$1:$I$89,3,0)*VLOOKUP('Données projet'!$B$9,Paramètres!$A$1:$I$89,5,0)</f>
        <v>250.22399999999999</v>
      </c>
      <c r="P196" s="13">
        <f t="shared" si="141"/>
        <v>60.633904580527918</v>
      </c>
      <c r="Q196" s="20">
        <f t="shared" si="162"/>
        <v>541.41085047775289</v>
      </c>
      <c r="R196" s="59">
        <f t="shared" si="191"/>
        <v>834.74418381108626</v>
      </c>
      <c r="S196" s="59">
        <f ca="1">AVERAGE(OFFSET($R$3,0,0,'Données projet'!$E$9+1,1))-AVERAGE(OFFSET($H$3,0,0,'Données projet'!$E$9+1,1))</f>
        <v>269.77739619445515</v>
      </c>
      <c r="T196" s="59">
        <f t="shared" si="142"/>
        <v>347.56964743629885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5.4978391734273533</v>
      </c>
      <c r="AA196" s="21">
        <f>EXP(-LN(2)/25)*AA195+(1-EXP(-LN(2)/25))/(LN(2)/25)*Calculateur!V196*Calculateur!X196*VLOOKUP('Données projet'!$B$9,Paramètres!$A$1:$I$89,3,0)*0.475*44/12</f>
        <v>0.99966282168107023</v>
      </c>
      <c r="AB196" s="21">
        <f>EXP(-LN(2)/2)*AB195+(1-EXP(-LN(2)/2))/(LN(2)/2)*V196*Y196*VLOOKUP('Données projet'!$B$9,Paramètres!$A$1:$I$89,3,0)*0.475*44/12</f>
        <v>7.2640366448369185E-27</v>
      </c>
      <c r="AC196" s="22">
        <f t="shared" si="163"/>
        <v>6.4975019951084239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789</v>
      </c>
      <c r="AJ196" s="13">
        <f>AI196*VLOOKUP('Données projet'!$B$10,Paramètres!$A$1:$I$89,3,0)*VLOOKUP('Données projet'!$B$10,Paramètres!$A$1:$I$89,5,0)</f>
        <v>389.76600000000002</v>
      </c>
      <c r="AK196" s="13">
        <f t="shared" si="164"/>
        <v>89.698759503620408</v>
      </c>
      <c r="AL196" s="20">
        <f t="shared" si="165"/>
        <v>835.06778946880547</v>
      </c>
      <c r="AM196" s="59">
        <f t="shared" ref="AM196:AM203" si="193">AL196+(AD196+AE196)*44/12</f>
        <v>1128.4011228021388</v>
      </c>
      <c r="AN196" s="59">
        <f ca="1">AVERAGE(OFFSET($AM$3,0,0,'Données projet'!$E$10+1,1))-AVERAGE(OFFSET($H$3,0,0,'Données projet'!$E$10+1,1))</f>
        <v>396.27049617044378</v>
      </c>
      <c r="AO196" s="59">
        <f t="shared" si="144"/>
        <v>335.2680289568774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15.376350753521328</v>
      </c>
      <c r="AV196" s="21">
        <f>EXP(-LN(2)/25)*AV195+(1-EXP(-LN(2)/25))/(LN(2)/25)*Calculateur!AQ196*Calculateur!AS196*VLOOKUP('Données projet'!$B$10,Paramètres!$A$1:$I$89,3,0)*0.475*44/12</f>
        <v>0.51222002995926941</v>
      </c>
      <c r="AW196" s="21">
        <f>EXP(-LN(2)/2)*AW195+(1-EXP(-LN(2)/2))/(LN(2)/2)*AQ196*AT196*VLOOKUP('Données projet'!$B$10,Paramètres!$A$1:$I$89,3,0)*0.475*44/12</f>
        <v>1.1245804879784566E-25</v>
      </c>
      <c r="AX196" s="21">
        <f t="shared" si="166"/>
        <v>15.888570783480597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403.99999999999989</v>
      </c>
      <c r="BE196" s="13">
        <f>BD196*VLOOKUP('Données projet'!$B$11,Paramètres!$A$1:$I$89,3,0)*VLOOKUP('Données projet'!$B$11,Paramètres!$A$1:$I$89,5,0)</f>
        <v>346.63199999999995</v>
      </c>
      <c r="BF196" s="13">
        <f t="shared" si="167"/>
        <v>80.868615263336864</v>
      </c>
      <c r="BG196" s="20">
        <f t="shared" si="168"/>
        <v>744.56357158364483</v>
      </c>
      <c r="BH196" s="59">
        <f t="shared" ref="BH196:BH203" si="194">BG196+(AY196+AZ196)*44/12</f>
        <v>1037.8969049169782</v>
      </c>
      <c r="BI196" s="59">
        <f ca="1">AVERAGE(OFFSET($BH$3,0,0,'Données projet'!$E$11+1,1))-AVERAGE(OFFSET($H$3,0,0,'Données projet'!$E$11+1,1))</f>
        <v>352.61091660077574</v>
      </c>
      <c r="BJ196" s="59">
        <f t="shared" si="146"/>
        <v>186.48649111821521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23.547514100840434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23.547514100840434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266.99999999999983</v>
      </c>
      <c r="BZ196" s="13">
        <f>BY196*VLOOKUP('Données projet'!$B$12,Paramètres!$A$1:$I$89,3,0)*VLOOKUP('Données projet'!$B$12,Paramètres!$A$1:$I$89,5,0)</f>
        <v>212.42519999999985</v>
      </c>
      <c r="CA196" s="13">
        <f t="shared" si="170"/>
        <v>52.465198231787184</v>
      </c>
      <c r="CB196" s="20">
        <f t="shared" si="171"/>
        <v>461.35077692036231</v>
      </c>
      <c r="CC196" s="59">
        <f t="shared" ref="CC196:CC203" si="195">CB196+(BT196+BU196)*44/12</f>
        <v>754.68411025369562</v>
      </c>
      <c r="CD196" s="59">
        <f ca="1">AVERAGE(OFFSET($CC$3,0,0,'Données projet'!$E$12+1,1))-AVERAGE(OFFSET($H$3,0,0,'Données projet'!$E$12+1,1))</f>
        <v>225.2323446080772</v>
      </c>
      <c r="CE196" s="59">
        <f t="shared" si="148"/>
        <v>222.29030402759292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4.6287161121460265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4.6287161121460265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213.00000000000003</v>
      </c>
      <c r="CU196" s="17">
        <f>CT196*VLOOKUP('Données projet'!$B$13,Paramètres!$A$1:$I$89,3,0)*VLOOKUP('Données projet'!$B$13,Paramètres!$A$1:$I$89,5,0)</f>
        <v>206.01360000000005</v>
      </c>
      <c r="CV196" s="13">
        <f t="shared" si="173"/>
        <v>51.063487709141484</v>
      </c>
      <c r="CW196" s="20">
        <f t="shared" si="174"/>
        <v>447.74259442675481</v>
      </c>
      <c r="CX196" s="59">
        <f t="shared" ref="CX196:CX203" si="196">CW196+(CO196+CP196)*44/12</f>
        <v>741.07592776008812</v>
      </c>
      <c r="CY196" s="59">
        <f ca="1">AVERAGE(OFFSET($CX$3,0,0,'Données projet'!$E$13+1,1))-AVERAGE(OFFSET($H$3,0,0,'Données projet'!$E$13+1,1))</f>
        <v>212.32823943192528</v>
      </c>
      <c r="CZ196" s="59">
        <f t="shared" si="150"/>
        <v>209.60834138503003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3.527057514073114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3.527057514073114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285.99999999999972</v>
      </c>
      <c r="DP196" s="17">
        <f>DO196*VLOOKUP('Données projet'!$B$14,Paramètres!$A$1:$I$89,3,0)*VLOOKUP('Données projet'!$B$14,Paramètres!$A$1:$I$89,5,0)</f>
        <v>223.07999999999979</v>
      </c>
      <c r="DQ196" s="13">
        <f t="shared" si="176"/>
        <v>54.783765878062617</v>
      </c>
      <c r="DR196" s="20">
        <f t="shared" si="177"/>
        <v>483.94605890429199</v>
      </c>
      <c r="DS196" s="59">
        <f t="shared" ref="DS196:DS203" si="197">DR196+(DJ196+DK196)*44/12</f>
        <v>777.2793922376253</v>
      </c>
      <c r="DT196" s="59">
        <f ca="1">AVERAGE(OFFSET($DS$3,0,0,'Données projet'!$E$14+1,1))-AVERAGE(OFFSET($H$3,0,0,'Données projet'!$E$14+1,1))</f>
        <v>215.84581110302656</v>
      </c>
      <c r="DU196" s="59">
        <f t="shared" si="152"/>
        <v>193.88588526156104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5.1346545944860882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5.1346545944860882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6">
        <f t="shared" si="192"/>
        <v>500.0287463563966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401</v>
      </c>
      <c r="O197" s="13">
        <f>N197*VLOOKUP('Données projet'!$B$9,Paramètres!$A$1:$I$89,3,0)*VLOOKUP('Données projet'!$B$9,Paramètres!$A$1:$I$89,5,0)</f>
        <v>250.22399999999999</v>
      </c>
      <c r="P197" s="13">
        <f t="shared" ref="P197:P203" si="203">EXP(-1.0587+0.8836*LN(O197)+0.284)</f>
        <v>60.633904580527918</v>
      </c>
      <c r="Q197" s="20">
        <f t="shared" si="162"/>
        <v>541.41085047775289</v>
      </c>
      <c r="R197" s="59">
        <f t="shared" si="191"/>
        <v>834.74418381108626</v>
      </c>
      <c r="S197" s="59">
        <f ca="1">AVERAGE(OFFSET($R$3,0,0,'Données projet'!$E$9+1,1))-AVERAGE(OFFSET($H$3,0,0,'Données projet'!$E$9+1,1))</f>
        <v>269.77739619445515</v>
      </c>
      <c r="T197" s="59">
        <f t="shared" ref="T197:T203" si="204">$T$3</f>
        <v>347.56964743629885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5.3900299005872228</v>
      </c>
      <c r="AA197" s="21">
        <f>EXP(-LN(2)/25)*AA196+(1-EXP(-LN(2)/25))/(LN(2)/25)*Calculateur!V197*Calculateur!X197*VLOOKUP('Données projet'!$B$9,Paramètres!$A$1:$I$89,3,0)*0.475*44/12</f>
        <v>0.97232698925221839</v>
      </c>
      <c r="AB197" s="21">
        <f>EXP(-LN(2)/2)*AB196+(1-EXP(-LN(2)/2))/(LN(2)/2)*V197*Y197*VLOOKUP('Données projet'!$B$9,Paramètres!$A$1:$I$89,3,0)*0.475*44/12</f>
        <v>5.1364495703517619E-27</v>
      </c>
      <c r="AC197" s="22">
        <f t="shared" si="163"/>
        <v>6.3623568898394414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789</v>
      </c>
      <c r="AJ197" s="13">
        <f>AI197*VLOOKUP('Données projet'!$B$10,Paramètres!$A$1:$I$89,3,0)*VLOOKUP('Données projet'!$B$10,Paramètres!$A$1:$I$89,5,0)</f>
        <v>389.76600000000002</v>
      </c>
      <c r="AK197" s="13">
        <f t="shared" si="164"/>
        <v>89.698759503620408</v>
      </c>
      <c r="AL197" s="20">
        <f t="shared" si="165"/>
        <v>835.06778946880547</v>
      </c>
      <c r="AM197" s="59">
        <f t="shared" si="193"/>
        <v>1128.4011228021388</v>
      </c>
      <c r="AN197" s="59">
        <f ca="1">AVERAGE(OFFSET($AM$3,0,0,'Données projet'!$E$10+1,1))-AVERAGE(OFFSET($H$3,0,0,'Données projet'!$E$10+1,1))</f>
        <v>396.27049617044378</v>
      </c>
      <c r="AO197" s="59">
        <f t="shared" ref="AO197:AO203" si="205">$AO$3</f>
        <v>335.2680289568774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15.074829893892669</v>
      </c>
      <c r="AV197" s="21">
        <f>EXP(-LN(2)/25)*AV196+(1-EXP(-LN(2)/25))/(LN(2)/25)*Calculateur!AQ197*Calculateur!AS197*VLOOKUP('Données projet'!$B$10,Paramètres!$A$1:$I$89,3,0)*0.475*44/12</f>
        <v>0.49821334630355252</v>
      </c>
      <c r="AW197" s="21">
        <f>EXP(-LN(2)/2)*AW196+(1-EXP(-LN(2)/2))/(LN(2)/2)*AQ197*AT197*VLOOKUP('Données projet'!$B$10,Paramètres!$A$1:$I$89,3,0)*0.475*44/12</f>
        <v>7.9519848903964337E-26</v>
      </c>
      <c r="AX197" s="21">
        <f t="shared" si="166"/>
        <v>15.573043240196222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403.99999999999989</v>
      </c>
      <c r="BE197" s="13">
        <f>BD197*VLOOKUP('Données projet'!$B$11,Paramètres!$A$1:$I$89,3,0)*VLOOKUP('Données projet'!$B$11,Paramètres!$A$1:$I$89,5,0)</f>
        <v>346.63199999999995</v>
      </c>
      <c r="BF197" s="13">
        <f t="shared" si="167"/>
        <v>80.868615263336864</v>
      </c>
      <c r="BG197" s="20">
        <f t="shared" si="168"/>
        <v>744.56357158364483</v>
      </c>
      <c r="BH197" s="59">
        <f t="shared" si="194"/>
        <v>1037.8969049169782</v>
      </c>
      <c r="BI197" s="59">
        <f ca="1">AVERAGE(OFFSET($BH$3,0,0,'Données projet'!$E$11+1,1))-AVERAGE(OFFSET($H$3,0,0,'Données projet'!$E$11+1,1))</f>
        <v>352.61091660077574</v>
      </c>
      <c r="BJ197" s="59">
        <f t="shared" ref="BJ197:BJ203" si="206">$BJ$3</f>
        <v>186.48649111821521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23.08576171188837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23.08576171188837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266.99999999999983</v>
      </c>
      <c r="BZ197" s="13">
        <f>BY197*VLOOKUP('Données projet'!$B$12,Paramètres!$A$1:$I$89,3,0)*VLOOKUP('Données projet'!$B$12,Paramètres!$A$1:$I$89,5,0)</f>
        <v>212.42519999999985</v>
      </c>
      <c r="CA197" s="13">
        <f t="shared" si="170"/>
        <v>52.465198231787184</v>
      </c>
      <c r="CB197" s="20">
        <f t="shared" si="171"/>
        <v>461.35077692036231</v>
      </c>
      <c r="CC197" s="59">
        <f t="shared" si="195"/>
        <v>754.68411025369562</v>
      </c>
      <c r="CD197" s="59">
        <f ca="1">AVERAGE(OFFSET($CC$3,0,0,'Données projet'!$E$12+1,1))-AVERAGE(OFFSET($H$3,0,0,'Données projet'!$E$12+1,1))</f>
        <v>225.2323446080772</v>
      </c>
      <c r="CE197" s="59">
        <f t="shared" ref="CE197:CE203" si="207">$CE$3</f>
        <v>222.29030402759292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4.5379498124249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4.5379498124249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213.00000000000003</v>
      </c>
      <c r="CU197" s="17">
        <f>CT197*VLOOKUP('Données projet'!$B$13,Paramètres!$A$1:$I$89,3,0)*VLOOKUP('Données projet'!$B$13,Paramètres!$A$1:$I$89,5,0)</f>
        <v>206.01360000000005</v>
      </c>
      <c r="CV197" s="13">
        <f t="shared" si="173"/>
        <v>51.063487709141484</v>
      </c>
      <c r="CW197" s="20">
        <f t="shared" si="174"/>
        <v>447.74259442675481</v>
      </c>
      <c r="CX197" s="59">
        <f t="shared" si="196"/>
        <v>741.07592776008812</v>
      </c>
      <c r="CY197" s="59">
        <f ca="1">AVERAGE(OFFSET($CX$3,0,0,'Données projet'!$E$13+1,1))-AVERAGE(OFFSET($H$3,0,0,'Données projet'!$E$13+1,1))</f>
        <v>212.32823943192528</v>
      </c>
      <c r="CZ197" s="59">
        <f t="shared" ref="CZ197:CZ203" si="208">$CZ$3</f>
        <v>209.60834138503003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3.4578940675148013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3.4578940675148013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285.99999999999972</v>
      </c>
      <c r="DP197" s="17">
        <f>DO197*VLOOKUP('Données projet'!$B$14,Paramètres!$A$1:$I$89,3,0)*VLOOKUP('Données projet'!$B$14,Paramètres!$A$1:$I$89,5,0)</f>
        <v>223.07999999999979</v>
      </c>
      <c r="DQ197" s="13">
        <f t="shared" si="176"/>
        <v>54.783765878062617</v>
      </c>
      <c r="DR197" s="20">
        <f t="shared" si="177"/>
        <v>483.94605890429199</v>
      </c>
      <c r="DS197" s="59">
        <f t="shared" si="197"/>
        <v>777.2793922376253</v>
      </c>
      <c r="DT197" s="59">
        <f ca="1">AVERAGE(OFFSET($DS$3,0,0,'Données projet'!$E$14+1,1))-AVERAGE(OFFSET($H$3,0,0,'Données projet'!$E$14+1,1))</f>
        <v>215.84581110302656</v>
      </c>
      <c r="DU197" s="59">
        <f t="shared" ref="DU197:DU203" si="209">$DU$3</f>
        <v>193.88588526156104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5.0339671497182765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5.0339671497182765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6">
        <f t="shared" si="192"/>
        <v>501.06762226901623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401</v>
      </c>
      <c r="O198" s="13">
        <f>N198*VLOOKUP('Données projet'!$B$9,Paramètres!$A$1:$I$89,3,0)*VLOOKUP('Données projet'!$B$9,Paramètres!$A$1:$I$89,5,0)</f>
        <v>250.22399999999999</v>
      </c>
      <c r="P198" s="13">
        <f t="shared" si="203"/>
        <v>60.633904580527918</v>
      </c>
      <c r="Q198" s="20">
        <f t="shared" si="162"/>
        <v>541.41085047775289</v>
      </c>
      <c r="R198" s="59">
        <f t="shared" si="191"/>
        <v>834.74418381108626</v>
      </c>
      <c r="S198" s="59">
        <f ca="1">AVERAGE(OFFSET($R$3,0,0,'Données projet'!$E$9+1,1))-AVERAGE(OFFSET($H$3,0,0,'Données projet'!$E$9+1,1))</f>
        <v>269.77739619445515</v>
      </c>
      <c r="T198" s="59">
        <f t="shared" si="204"/>
        <v>347.56964743629885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5.2843347018303239</v>
      </c>
      <c r="AA198" s="21">
        <f>EXP(-LN(2)/25)*AA197+(1-EXP(-LN(2)/25))/(LN(2)/25)*Calculateur!V198*Calculateur!X198*VLOOKUP('Données projet'!$B$9,Paramètres!$A$1:$I$89,3,0)*0.475*44/12</f>
        <v>0.94573865659866241</v>
      </c>
      <c r="AB198" s="21">
        <f>EXP(-LN(2)/2)*AB197+(1-EXP(-LN(2)/2))/(LN(2)/2)*V198*Y198*VLOOKUP('Données projet'!$B$9,Paramètres!$A$1:$I$89,3,0)*0.475*44/12</f>
        <v>3.6320183224184593E-27</v>
      </c>
      <c r="AC198" s="22">
        <f t="shared" si="163"/>
        <v>6.230073358428986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789</v>
      </c>
      <c r="AJ198" s="13">
        <f>AI198*VLOOKUP('Données projet'!$B$10,Paramètres!$A$1:$I$89,3,0)*VLOOKUP('Données projet'!$B$10,Paramètres!$A$1:$I$89,5,0)</f>
        <v>389.76600000000002</v>
      </c>
      <c r="AK198" s="13">
        <f t="shared" si="164"/>
        <v>89.698759503620408</v>
      </c>
      <c r="AL198" s="20">
        <f t="shared" si="165"/>
        <v>835.06778946880547</v>
      </c>
      <c r="AM198" s="59">
        <f t="shared" si="193"/>
        <v>1128.4011228021388</v>
      </c>
      <c r="AN198" s="59">
        <f ca="1">AVERAGE(OFFSET($AM$3,0,0,'Données projet'!$E$10+1,1))-AVERAGE(OFFSET($H$3,0,0,'Données projet'!$E$10+1,1))</f>
        <v>396.27049617044378</v>
      </c>
      <c r="AO198" s="59">
        <f t="shared" si="205"/>
        <v>335.2680289568774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14.779221674411765</v>
      </c>
      <c r="AV198" s="21">
        <f>EXP(-LN(2)/25)*AV197+(1-EXP(-LN(2)/25))/(LN(2)/25)*Calculateur!AQ198*Calculateur!AS198*VLOOKUP('Données projet'!$B$10,Paramètres!$A$1:$I$89,3,0)*0.475*44/12</f>
        <v>0.48458967614898069</v>
      </c>
      <c r="AW198" s="21">
        <f>EXP(-LN(2)/2)*AW197+(1-EXP(-LN(2)/2))/(LN(2)/2)*AQ198*AT198*VLOOKUP('Données projet'!$B$10,Paramètres!$A$1:$I$89,3,0)*0.475*44/12</f>
        <v>5.6229024398922831E-26</v>
      </c>
      <c r="AX198" s="21">
        <f t="shared" si="166"/>
        <v>15.263811350560745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403.99999999999989</v>
      </c>
      <c r="BE198" s="13">
        <f>BD198*VLOOKUP('Données projet'!$B$11,Paramètres!$A$1:$I$89,3,0)*VLOOKUP('Données projet'!$B$11,Paramètres!$A$1:$I$89,5,0)</f>
        <v>346.63199999999995</v>
      </c>
      <c r="BF198" s="13">
        <f t="shared" si="167"/>
        <v>80.868615263336864</v>
      </c>
      <c r="BG198" s="20">
        <f t="shared" si="168"/>
        <v>744.56357158364483</v>
      </c>
      <c r="BH198" s="59">
        <f t="shared" si="194"/>
        <v>1037.8969049169782</v>
      </c>
      <c r="BI198" s="59">
        <f ca="1">AVERAGE(OFFSET($BH$3,0,0,'Données projet'!$E$11+1,1))-AVERAGE(OFFSET($H$3,0,0,'Données projet'!$E$11+1,1))</f>
        <v>352.61091660077574</v>
      </c>
      <c r="BJ198" s="59">
        <f t="shared" si="206"/>
        <v>186.48649111821521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22.633064005642506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22.633064005642506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266.99999999999983</v>
      </c>
      <c r="BZ198" s="13">
        <f>BY198*VLOOKUP('Données projet'!$B$12,Paramètres!$A$1:$I$89,3,0)*VLOOKUP('Données projet'!$B$12,Paramètres!$A$1:$I$89,5,0)</f>
        <v>212.42519999999985</v>
      </c>
      <c r="CA198" s="13">
        <f t="shared" si="170"/>
        <v>52.465198231787184</v>
      </c>
      <c r="CB198" s="20">
        <f t="shared" si="171"/>
        <v>461.35077692036231</v>
      </c>
      <c r="CC198" s="59">
        <f t="shared" si="195"/>
        <v>754.68411025369562</v>
      </c>
      <c r="CD198" s="59">
        <f ca="1">AVERAGE(OFFSET($CC$3,0,0,'Données projet'!$E$12+1,1))-AVERAGE(OFFSET($H$3,0,0,'Données projet'!$E$12+1,1))</f>
        <v>225.2323446080772</v>
      </c>
      <c r="CE198" s="59">
        <f t="shared" si="207"/>
        <v>222.29030402759292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4.4489633844793284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4.4489633844793284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213.00000000000003</v>
      </c>
      <c r="CU198" s="17">
        <f>CT198*VLOOKUP('Données projet'!$B$13,Paramètres!$A$1:$I$89,3,0)*VLOOKUP('Données projet'!$B$13,Paramètres!$A$1:$I$89,5,0)</f>
        <v>206.01360000000005</v>
      </c>
      <c r="CV198" s="13">
        <f t="shared" si="173"/>
        <v>51.063487709141484</v>
      </c>
      <c r="CW198" s="20">
        <f t="shared" si="174"/>
        <v>447.74259442675481</v>
      </c>
      <c r="CX198" s="59">
        <f t="shared" si="196"/>
        <v>741.07592776008812</v>
      </c>
      <c r="CY198" s="59">
        <f ca="1">AVERAGE(OFFSET($CX$3,0,0,'Données projet'!$E$13+1,1))-AVERAGE(OFFSET($H$3,0,0,'Données projet'!$E$13+1,1))</f>
        <v>212.32823943192528</v>
      </c>
      <c r="CZ198" s="59">
        <f t="shared" si="208"/>
        <v>209.60834138503003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3.3900868739579604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3.3900868739579604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285.99999999999972</v>
      </c>
      <c r="DP198" s="17">
        <f>DO198*VLOOKUP('Données projet'!$B$14,Paramètres!$A$1:$I$89,3,0)*VLOOKUP('Données projet'!$B$14,Paramètres!$A$1:$I$89,5,0)</f>
        <v>223.07999999999979</v>
      </c>
      <c r="DQ198" s="13">
        <f t="shared" si="176"/>
        <v>54.783765878062617</v>
      </c>
      <c r="DR198" s="20">
        <f t="shared" si="177"/>
        <v>483.94605890429199</v>
      </c>
      <c r="DS198" s="59">
        <f t="shared" si="197"/>
        <v>777.2793922376253</v>
      </c>
      <c r="DT198" s="59">
        <f ca="1">AVERAGE(OFFSET($DS$3,0,0,'Données projet'!$E$14+1,1))-AVERAGE(OFFSET($H$3,0,0,'Données projet'!$E$14+1,1))</f>
        <v>215.84581110302656</v>
      </c>
      <c r="DU198" s="59">
        <f t="shared" si="209"/>
        <v>193.88588526156104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4.9352541243290844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4.9352541243290844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6">
        <f t="shared" si="192"/>
        <v>502.10637815523307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401</v>
      </c>
      <c r="O199" s="13">
        <f>N199*VLOOKUP('Données projet'!$B$9,Paramètres!$A$1:$I$89,3,0)*VLOOKUP('Données projet'!$B$9,Paramètres!$A$1:$I$89,5,0)</f>
        <v>250.22399999999999</v>
      </c>
      <c r="P199" s="13">
        <f t="shared" si="203"/>
        <v>60.633904580527918</v>
      </c>
      <c r="Q199" s="20">
        <f t="shared" si="162"/>
        <v>541.41085047775289</v>
      </c>
      <c r="R199" s="59">
        <f t="shared" si="191"/>
        <v>834.74418381108626</v>
      </c>
      <c r="S199" s="59">
        <f ca="1">AVERAGE(OFFSET($R$3,0,0,'Données projet'!$E$9+1,1))-AVERAGE(OFFSET($H$3,0,0,'Données projet'!$E$9+1,1))</f>
        <v>269.77739619445515</v>
      </c>
      <c r="T199" s="59">
        <f t="shared" si="204"/>
        <v>347.56964743629885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5.1807121214533423</v>
      </c>
      <c r="AA199" s="21">
        <f>EXP(-LN(2)/25)*AA198+(1-EXP(-LN(2)/25))/(LN(2)/25)*Calculateur!V199*Calculateur!X199*VLOOKUP('Données projet'!$B$9,Paramètres!$A$1:$I$89,3,0)*0.475*44/12</f>
        <v>0.91987738329973756</v>
      </c>
      <c r="AB199" s="21">
        <f>EXP(-LN(2)/2)*AB198+(1-EXP(-LN(2)/2))/(LN(2)/2)*V199*Y199*VLOOKUP('Données projet'!$B$9,Paramètres!$A$1:$I$89,3,0)*0.475*44/12</f>
        <v>2.5682247851758809E-27</v>
      </c>
      <c r="AC199" s="22">
        <f t="shared" si="163"/>
        <v>6.1005895047530796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789</v>
      </c>
      <c r="AJ199" s="13">
        <f>AI199*VLOOKUP('Données projet'!$B$10,Paramètres!$A$1:$I$89,3,0)*VLOOKUP('Données projet'!$B$10,Paramètres!$A$1:$I$89,5,0)</f>
        <v>389.76600000000002</v>
      </c>
      <c r="AK199" s="13">
        <f t="shared" si="164"/>
        <v>89.698759503620408</v>
      </c>
      <c r="AL199" s="20">
        <f t="shared" si="165"/>
        <v>835.06778946880547</v>
      </c>
      <c r="AM199" s="59">
        <f t="shared" si="193"/>
        <v>1128.4011228021388</v>
      </c>
      <c r="AN199" s="59">
        <f ca="1">AVERAGE(OFFSET($AM$3,0,0,'Données projet'!$E$10+1,1))-AVERAGE(OFFSET($H$3,0,0,'Données projet'!$E$10+1,1))</f>
        <v>396.27049617044378</v>
      </c>
      <c r="AO199" s="59">
        <f t="shared" si="205"/>
        <v>335.2680289568774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14.48941015181167</v>
      </c>
      <c r="AV199" s="21">
        <f>EXP(-LN(2)/25)*AV198+(1-EXP(-LN(2)/25))/(LN(2)/25)*Calculateur!AQ199*Calculateur!AS199*VLOOKUP('Données projet'!$B$10,Paramètres!$A$1:$I$89,3,0)*0.475*44/12</f>
        <v>0.47133854597122327</v>
      </c>
      <c r="AW199" s="21">
        <f>EXP(-LN(2)/2)*AW198+(1-EXP(-LN(2)/2))/(LN(2)/2)*AQ199*AT199*VLOOKUP('Données projet'!$B$10,Paramètres!$A$1:$I$89,3,0)*0.475*44/12</f>
        <v>3.9759924451982169E-26</v>
      </c>
      <c r="AX199" s="21">
        <f t="shared" si="166"/>
        <v>14.960748697782893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403.99999999999989</v>
      </c>
      <c r="BE199" s="13">
        <f>BD199*VLOOKUP('Données projet'!$B$11,Paramètres!$A$1:$I$89,3,0)*VLOOKUP('Données projet'!$B$11,Paramètres!$A$1:$I$89,5,0)</f>
        <v>346.63199999999995</v>
      </c>
      <c r="BF199" s="13">
        <f t="shared" si="167"/>
        <v>80.868615263336864</v>
      </c>
      <c r="BG199" s="20">
        <f t="shared" si="168"/>
        <v>744.56357158364483</v>
      </c>
      <c r="BH199" s="59">
        <f t="shared" si="194"/>
        <v>1037.8969049169782</v>
      </c>
      <c r="BI199" s="59">
        <f ca="1">AVERAGE(OFFSET($BH$3,0,0,'Données projet'!$E$11+1,1))-AVERAGE(OFFSET($H$3,0,0,'Données projet'!$E$11+1,1))</f>
        <v>352.61091660077574</v>
      </c>
      <c r="BJ199" s="59">
        <f t="shared" si="206"/>
        <v>186.48649111821521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22.189243425297789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22.189243425297789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266.99999999999983</v>
      </c>
      <c r="BZ199" s="13">
        <f>BY199*VLOOKUP('Données projet'!$B$12,Paramètres!$A$1:$I$89,3,0)*VLOOKUP('Données projet'!$B$12,Paramètres!$A$1:$I$89,5,0)</f>
        <v>212.42519999999985</v>
      </c>
      <c r="CA199" s="13">
        <f t="shared" si="170"/>
        <v>52.465198231787184</v>
      </c>
      <c r="CB199" s="20">
        <f t="shared" si="171"/>
        <v>461.35077692036231</v>
      </c>
      <c r="CC199" s="59">
        <f t="shared" si="195"/>
        <v>754.68411025369562</v>
      </c>
      <c r="CD199" s="59">
        <f ca="1">AVERAGE(OFFSET($CC$3,0,0,'Données projet'!$E$12+1,1))-AVERAGE(OFFSET($H$3,0,0,'Données projet'!$E$12+1,1))</f>
        <v>225.2323446080772</v>
      </c>
      <c r="CE199" s="59">
        <f t="shared" si="207"/>
        <v>222.29030402759292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4.3617219261094071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4.3617219261094071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213.00000000000003</v>
      </c>
      <c r="CU199" s="17">
        <f>CT199*VLOOKUP('Données projet'!$B$13,Paramètres!$A$1:$I$89,3,0)*VLOOKUP('Données projet'!$B$13,Paramètres!$A$1:$I$89,5,0)</f>
        <v>206.01360000000005</v>
      </c>
      <c r="CV199" s="13">
        <f t="shared" si="173"/>
        <v>51.063487709141484</v>
      </c>
      <c r="CW199" s="20">
        <f t="shared" si="174"/>
        <v>447.74259442675481</v>
      </c>
      <c r="CX199" s="59">
        <f t="shared" si="196"/>
        <v>741.07592776008812</v>
      </c>
      <c r="CY199" s="59">
        <f ca="1">AVERAGE(OFFSET($CX$3,0,0,'Données projet'!$E$13+1,1))-AVERAGE(OFFSET($H$3,0,0,'Données projet'!$E$13+1,1))</f>
        <v>212.32823943192528</v>
      </c>
      <c r="CZ199" s="59">
        <f t="shared" si="208"/>
        <v>209.60834138503003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3.3236093381084646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3.3236093381084646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285.99999999999972</v>
      </c>
      <c r="DP199" s="17">
        <f>DO199*VLOOKUP('Données projet'!$B$14,Paramètres!$A$1:$I$89,3,0)*VLOOKUP('Données projet'!$B$14,Paramètres!$A$1:$I$89,5,0)</f>
        <v>223.07999999999979</v>
      </c>
      <c r="DQ199" s="13">
        <f t="shared" si="176"/>
        <v>54.783765878062617</v>
      </c>
      <c r="DR199" s="20">
        <f t="shared" si="177"/>
        <v>483.94605890429199</v>
      </c>
      <c r="DS199" s="59">
        <f t="shared" si="197"/>
        <v>777.2793922376253</v>
      </c>
      <c r="DT199" s="59">
        <f ca="1">AVERAGE(OFFSET($DS$3,0,0,'Données projet'!$E$14+1,1))-AVERAGE(OFFSET($H$3,0,0,'Données projet'!$E$14+1,1))</f>
        <v>215.84581110302656</v>
      </c>
      <c r="DU199" s="59">
        <f t="shared" si="209"/>
        <v>193.88588526156104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4.838476801158774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4.838476801158774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6">
        <f t="shared" si="192"/>
        <v>503.14501469851064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401</v>
      </c>
      <c r="O200" s="13">
        <f>N200*VLOOKUP('Données projet'!$B$9,Paramètres!$A$1:$I$89,3,0)*VLOOKUP('Données projet'!$B$9,Paramètres!$A$1:$I$89,5,0)</f>
        <v>250.22399999999999</v>
      </c>
      <c r="P200" s="13">
        <f t="shared" si="203"/>
        <v>60.633904580527918</v>
      </c>
      <c r="Q200" s="20">
        <f t="shared" si="162"/>
        <v>541.41085047775289</v>
      </c>
      <c r="R200" s="59">
        <f t="shared" si="191"/>
        <v>834.74418381108626</v>
      </c>
      <c r="S200" s="59">
        <f ca="1">AVERAGE(OFFSET($R$3,0,0,'Données projet'!$E$9+1,1))-AVERAGE(OFFSET($H$3,0,0,'Données projet'!$E$9+1,1))</f>
        <v>269.77739619445515</v>
      </c>
      <c r="T200" s="59">
        <f t="shared" si="204"/>
        <v>347.56964743629885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5.0791215166740198</v>
      </c>
      <c r="AA200" s="21">
        <f>EXP(-LN(2)/25)*AA199+(1-EXP(-LN(2)/25))/(LN(2)/25)*Calculateur!V200*Calculateur!X200*VLOOKUP('Données projet'!$B$9,Paramètres!$A$1:$I$89,3,0)*0.475*44/12</f>
        <v>0.894723287879157</v>
      </c>
      <c r="AB200" s="21">
        <f>EXP(-LN(2)/2)*AB199+(1-EXP(-LN(2)/2))/(LN(2)/2)*V200*Y200*VLOOKUP('Données projet'!$B$9,Paramètres!$A$1:$I$89,3,0)*0.475*44/12</f>
        <v>1.8160091612092296E-27</v>
      </c>
      <c r="AC200" s="22">
        <f t="shared" si="163"/>
        <v>5.9738448045531767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789</v>
      </c>
      <c r="AJ200" s="13">
        <f>AI200*VLOOKUP('Données projet'!$B$10,Paramètres!$A$1:$I$89,3,0)*VLOOKUP('Données projet'!$B$10,Paramètres!$A$1:$I$89,5,0)</f>
        <v>389.76600000000002</v>
      </c>
      <c r="AK200" s="13">
        <f t="shared" si="164"/>
        <v>89.698759503620408</v>
      </c>
      <c r="AL200" s="20">
        <f t="shared" si="165"/>
        <v>835.06778946880547</v>
      </c>
      <c r="AM200" s="59">
        <f t="shared" si="193"/>
        <v>1128.4011228021388</v>
      </c>
      <c r="AN200" s="59">
        <f ca="1">AVERAGE(OFFSET($AM$3,0,0,'Données projet'!$E$10+1,1))-AVERAGE(OFFSET($H$3,0,0,'Données projet'!$E$10+1,1))</f>
        <v>396.27049617044378</v>
      </c>
      <c r="AO200" s="59">
        <f t="shared" si="205"/>
        <v>335.2680289568774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14.205281656402189</v>
      </c>
      <c r="AV200" s="21">
        <f>EXP(-LN(2)/25)*AV199+(1-EXP(-LN(2)/25))/(LN(2)/25)*Calculateur!AQ200*Calculateur!AS200*VLOOKUP('Données projet'!$B$10,Paramètres!$A$1:$I$89,3,0)*0.475*44/12</f>
        <v>0.45844976864502329</v>
      </c>
      <c r="AW200" s="21">
        <f>EXP(-LN(2)/2)*AW199+(1-EXP(-LN(2)/2))/(LN(2)/2)*AQ200*AT200*VLOOKUP('Données projet'!$B$10,Paramètres!$A$1:$I$89,3,0)*0.475*44/12</f>
        <v>2.8114512199461416E-26</v>
      </c>
      <c r="AX200" s="21">
        <f t="shared" si="166"/>
        <v>14.663731425047212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403.99999999999989</v>
      </c>
      <c r="BE200" s="13">
        <f>BD200*VLOOKUP('Données projet'!$B$11,Paramètres!$A$1:$I$89,3,0)*VLOOKUP('Données projet'!$B$11,Paramètres!$A$1:$I$89,5,0)</f>
        <v>346.63199999999995</v>
      </c>
      <c r="BF200" s="13">
        <f t="shared" si="167"/>
        <v>80.868615263336864</v>
      </c>
      <c r="BG200" s="20">
        <f t="shared" si="168"/>
        <v>744.56357158364483</v>
      </c>
      <c r="BH200" s="59">
        <f t="shared" si="194"/>
        <v>1037.8969049169782</v>
      </c>
      <c r="BI200" s="59">
        <f ca="1">AVERAGE(OFFSET($BH$3,0,0,'Données projet'!$E$11+1,1))-AVERAGE(OFFSET($H$3,0,0,'Données projet'!$E$11+1,1))</f>
        <v>352.61091660077574</v>
      </c>
      <c r="BJ200" s="59">
        <f t="shared" si="206"/>
        <v>186.48649111821521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21.754125895829809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21.754125895829809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266.99999999999983</v>
      </c>
      <c r="BZ200" s="13">
        <f>BY200*VLOOKUP('Données projet'!$B$12,Paramètres!$A$1:$I$89,3,0)*VLOOKUP('Données projet'!$B$12,Paramètres!$A$1:$I$89,5,0)</f>
        <v>212.42519999999985</v>
      </c>
      <c r="CA200" s="13">
        <f t="shared" si="170"/>
        <v>52.465198231787184</v>
      </c>
      <c r="CB200" s="20">
        <f t="shared" si="171"/>
        <v>461.35077692036231</v>
      </c>
      <c r="CC200" s="59">
        <f t="shared" si="195"/>
        <v>754.68411025369562</v>
      </c>
      <c r="CD200" s="59">
        <f ca="1">AVERAGE(OFFSET($CC$3,0,0,'Données projet'!$E$12+1,1))-AVERAGE(OFFSET($H$3,0,0,'Données projet'!$E$12+1,1))</f>
        <v>225.2323446080772</v>
      </c>
      <c r="CE200" s="59">
        <f t="shared" si="207"/>
        <v>222.29030402759292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4.2761912195260852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4.2761912195260852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213.00000000000003</v>
      </c>
      <c r="CU200" s="17">
        <f>CT200*VLOOKUP('Données projet'!$B$13,Paramètres!$A$1:$I$89,3,0)*VLOOKUP('Données projet'!$B$13,Paramètres!$A$1:$I$89,5,0)</f>
        <v>206.01360000000005</v>
      </c>
      <c r="CV200" s="13">
        <f t="shared" si="173"/>
        <v>51.063487709141484</v>
      </c>
      <c r="CW200" s="20">
        <f t="shared" si="174"/>
        <v>447.74259442675481</v>
      </c>
      <c r="CX200" s="59">
        <f t="shared" si="196"/>
        <v>741.07592776008812</v>
      </c>
      <c r="CY200" s="59">
        <f ca="1">AVERAGE(OFFSET($CX$3,0,0,'Données projet'!$E$13+1,1))-AVERAGE(OFFSET($H$3,0,0,'Données projet'!$E$13+1,1))</f>
        <v>212.32823943192528</v>
      </c>
      <c r="CZ200" s="59">
        <f t="shared" si="208"/>
        <v>209.60834138503003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3.2584353861896842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3.2584353861896842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285.99999999999972</v>
      </c>
      <c r="DP200" s="17">
        <f>DO200*VLOOKUP('Données projet'!$B$14,Paramètres!$A$1:$I$89,3,0)*VLOOKUP('Données projet'!$B$14,Paramètres!$A$1:$I$89,5,0)</f>
        <v>223.07999999999979</v>
      </c>
      <c r="DQ200" s="13">
        <f t="shared" si="176"/>
        <v>54.783765878062617</v>
      </c>
      <c r="DR200" s="20">
        <f t="shared" si="177"/>
        <v>483.94605890429199</v>
      </c>
      <c r="DS200" s="59">
        <f t="shared" si="197"/>
        <v>777.2793922376253</v>
      </c>
      <c r="DT200" s="59">
        <f ca="1">AVERAGE(OFFSET($DS$3,0,0,'Données projet'!$E$14+1,1))-AVERAGE(OFFSET($H$3,0,0,'Données projet'!$E$14+1,1))</f>
        <v>215.84581110302656</v>
      </c>
      <c r="DU200" s="59">
        <f t="shared" si="209"/>
        <v>193.88588526156104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4.7435972222674945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4.7435972222674945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6">
        <f t="shared" si="192"/>
        <v>504.18353257497199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401</v>
      </c>
      <c r="O201" s="13">
        <f>N201*VLOOKUP('Données projet'!$B$9,Paramètres!$A$1:$I$89,3,0)*VLOOKUP('Données projet'!$B$9,Paramètres!$A$1:$I$89,5,0)</f>
        <v>250.22399999999999</v>
      </c>
      <c r="P201" s="13">
        <f t="shared" si="203"/>
        <v>60.633904580527918</v>
      </c>
      <c r="Q201" s="20">
        <f t="shared" si="162"/>
        <v>541.41085047775289</v>
      </c>
      <c r="R201" s="59">
        <f t="shared" si="191"/>
        <v>834.74418381108626</v>
      </c>
      <c r="S201" s="59">
        <f ca="1">AVERAGE(OFFSET($R$3,0,0,'Données projet'!$E$9+1,1))-AVERAGE(OFFSET($H$3,0,0,'Données projet'!$E$9+1,1))</f>
        <v>269.77739619445515</v>
      </c>
      <c r="T201" s="59">
        <f t="shared" si="204"/>
        <v>347.56964743629885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4.9795230416902694</v>
      </c>
      <c r="AA201" s="21">
        <f>EXP(-LN(2)/25)*AA200+(1-EXP(-LN(2)/25))/(LN(2)/25)*Calculateur!V201*Calculateur!X201*VLOOKUP('Données projet'!$B$9,Paramètres!$A$1:$I$89,3,0)*0.475*44/12</f>
        <v>0.87025703252064868</v>
      </c>
      <c r="AB201" s="21">
        <f>EXP(-LN(2)/2)*AB200+(1-EXP(-LN(2)/2))/(LN(2)/2)*V201*Y201*VLOOKUP('Données projet'!$B$9,Paramètres!$A$1:$I$89,3,0)*0.475*44/12</f>
        <v>1.2841123925879405E-27</v>
      </c>
      <c r="AC201" s="22">
        <f t="shared" si="163"/>
        <v>5.8497800742109183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789</v>
      </c>
      <c r="AJ201" s="13">
        <f>AI201*VLOOKUP('Données projet'!$B$10,Paramètres!$A$1:$I$89,3,0)*VLOOKUP('Données projet'!$B$10,Paramètres!$A$1:$I$89,5,0)</f>
        <v>389.76600000000002</v>
      </c>
      <c r="AK201" s="13">
        <f t="shared" si="164"/>
        <v>89.698759503620408</v>
      </c>
      <c r="AL201" s="20">
        <f t="shared" si="165"/>
        <v>835.06778946880547</v>
      </c>
      <c r="AM201" s="59">
        <f t="shared" si="193"/>
        <v>1128.4011228021388</v>
      </c>
      <c r="AN201" s="59">
        <f ca="1">AVERAGE(OFFSET($AM$3,0,0,'Données projet'!$E$10+1,1))-AVERAGE(OFFSET($H$3,0,0,'Données projet'!$E$10+1,1))</f>
        <v>396.27049617044378</v>
      </c>
      <c r="AO201" s="59">
        <f t="shared" si="205"/>
        <v>335.2680289568774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13.926724747486418</v>
      </c>
      <c r="AV201" s="21">
        <f>EXP(-LN(2)/25)*AV200+(1-EXP(-LN(2)/25))/(LN(2)/25)*Calculateur!AQ201*Calculateur!AS201*VLOOKUP('Données projet'!$B$10,Paramètres!$A$1:$I$89,3,0)*0.475*44/12</f>
        <v>0.44591343561259961</v>
      </c>
      <c r="AW201" s="21">
        <f>EXP(-LN(2)/2)*AW200+(1-EXP(-LN(2)/2))/(LN(2)/2)*AQ201*AT201*VLOOKUP('Données projet'!$B$10,Paramètres!$A$1:$I$89,3,0)*0.475*44/12</f>
        <v>1.9879962225991084E-26</v>
      </c>
      <c r="AX201" s="21">
        <f t="shared" si="166"/>
        <v>14.372638183099017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403.99999999999989</v>
      </c>
      <c r="BE201" s="13">
        <f>BD201*VLOOKUP('Données projet'!$B$11,Paramètres!$A$1:$I$89,3,0)*VLOOKUP('Données projet'!$B$11,Paramètres!$A$1:$I$89,5,0)</f>
        <v>346.63199999999995</v>
      </c>
      <c r="BF201" s="13">
        <f t="shared" si="167"/>
        <v>80.868615263336864</v>
      </c>
      <c r="BG201" s="20">
        <f t="shared" si="168"/>
        <v>744.56357158364483</v>
      </c>
      <c r="BH201" s="59">
        <f t="shared" si="194"/>
        <v>1037.8969049169782</v>
      </c>
      <c r="BI201" s="59">
        <f ca="1">AVERAGE(OFFSET($BH$3,0,0,'Données projet'!$E$11+1,1))-AVERAGE(OFFSET($H$3,0,0,'Données projet'!$E$11+1,1))</f>
        <v>352.61091660077574</v>
      </c>
      <c r="BJ201" s="59">
        <f t="shared" si="206"/>
        <v>186.48649111821521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21.327540755719205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21.327540755719205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266.99999999999983</v>
      </c>
      <c r="BZ201" s="13">
        <f>BY201*VLOOKUP('Données projet'!$B$12,Paramètres!$A$1:$I$89,3,0)*VLOOKUP('Données projet'!$B$12,Paramètres!$A$1:$I$89,5,0)</f>
        <v>212.42519999999985</v>
      </c>
      <c r="CA201" s="13">
        <f t="shared" si="170"/>
        <v>52.465198231787184</v>
      </c>
      <c r="CB201" s="20">
        <f t="shared" si="171"/>
        <v>461.35077692036231</v>
      </c>
      <c r="CC201" s="59">
        <f t="shared" si="195"/>
        <v>754.68411025369562</v>
      </c>
      <c r="CD201" s="59">
        <f ca="1">AVERAGE(OFFSET($CC$3,0,0,'Données projet'!$E$12+1,1))-AVERAGE(OFFSET($H$3,0,0,'Données projet'!$E$12+1,1))</f>
        <v>225.2323446080772</v>
      </c>
      <c r="CE201" s="59">
        <f t="shared" si="207"/>
        <v>222.29030402759292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4.1923377179302825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4.1923377179302825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213.00000000000003</v>
      </c>
      <c r="CU201" s="17">
        <f>CT201*VLOOKUP('Données projet'!$B$13,Paramètres!$A$1:$I$89,3,0)*VLOOKUP('Données projet'!$B$13,Paramètres!$A$1:$I$89,5,0)</f>
        <v>206.01360000000005</v>
      </c>
      <c r="CV201" s="13">
        <f t="shared" si="173"/>
        <v>51.063487709141484</v>
      </c>
      <c r="CW201" s="20">
        <f t="shared" si="174"/>
        <v>447.74259442675481</v>
      </c>
      <c r="CX201" s="59">
        <f t="shared" si="196"/>
        <v>741.07592776008812</v>
      </c>
      <c r="CY201" s="59">
        <f ca="1">AVERAGE(OFFSET($CX$3,0,0,'Données projet'!$E$13+1,1))-AVERAGE(OFFSET($H$3,0,0,'Données projet'!$E$13+1,1))</f>
        <v>212.32823943192528</v>
      </c>
      <c r="CZ201" s="59">
        <f t="shared" si="208"/>
        <v>209.60834138503003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3.1945394557158457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3.1945394557158457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285.99999999999972</v>
      </c>
      <c r="DP201" s="17">
        <f>DO201*VLOOKUP('Données projet'!$B$14,Paramètres!$A$1:$I$89,3,0)*VLOOKUP('Données projet'!$B$14,Paramètres!$A$1:$I$89,5,0)</f>
        <v>223.07999999999979</v>
      </c>
      <c r="DQ201" s="13">
        <f t="shared" si="176"/>
        <v>54.783765878062617</v>
      </c>
      <c r="DR201" s="20">
        <f t="shared" si="177"/>
        <v>483.94605890429199</v>
      </c>
      <c r="DS201" s="59">
        <f t="shared" si="197"/>
        <v>777.2793922376253</v>
      </c>
      <c r="DT201" s="59">
        <f ca="1">AVERAGE(OFFSET($DS$3,0,0,'Données projet'!$E$14+1,1))-AVERAGE(OFFSET($H$3,0,0,'Données projet'!$E$14+1,1))</f>
        <v>215.84581110302656</v>
      </c>
      <c r="DU201" s="59">
        <f t="shared" si="209"/>
        <v>193.88588526156104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4.6505781740474443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4.6505781740474443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6">
        <f t="shared" si="192"/>
        <v>505.22193245351531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401</v>
      </c>
      <c r="O202" s="13">
        <f>N202*VLOOKUP('Données projet'!$B$9,Paramètres!$A$1:$I$89,3,0)*VLOOKUP('Données projet'!$B$9,Paramètres!$A$1:$I$89,5,0)</f>
        <v>250.22399999999999</v>
      </c>
      <c r="P202" s="13">
        <f t="shared" si="203"/>
        <v>60.633904580527918</v>
      </c>
      <c r="Q202" s="20">
        <f t="shared" si="162"/>
        <v>541.41085047775289</v>
      </c>
      <c r="R202" s="59">
        <f t="shared" si="191"/>
        <v>834.74418381108626</v>
      </c>
      <c r="S202" s="59">
        <f ca="1">AVERAGE(OFFSET($R$3,0,0,'Données projet'!$E$9+1,1))-AVERAGE(OFFSET($H$3,0,0,'Données projet'!$E$9+1,1))</f>
        <v>269.77739619445515</v>
      </c>
      <c r="T202" s="59">
        <f t="shared" si="204"/>
        <v>347.56964743629885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4.8818776320518795</v>
      </c>
      <c r="AA202" s="21">
        <f>EXP(-LN(2)/25)*AA201+(1-EXP(-LN(2)/25))/(LN(2)/25)*Calculateur!V202*Calculateur!X202*VLOOKUP('Données projet'!$B$9,Paramètres!$A$1:$I$89,3,0)*0.475*44/12</f>
        <v>0.84645980820154321</v>
      </c>
      <c r="AB202" s="21">
        <f>EXP(-LN(2)/2)*AB201+(1-EXP(-LN(2)/2))/(LN(2)/2)*V202*Y202*VLOOKUP('Données projet'!$B$9,Paramètres!$A$1:$I$89,3,0)*0.475*44/12</f>
        <v>9.0800458060461481E-28</v>
      </c>
      <c r="AC202" s="22">
        <f t="shared" si="163"/>
        <v>5.7283374402534228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789</v>
      </c>
      <c r="AJ202" s="13">
        <f>AI202*VLOOKUP('Données projet'!$B$10,Paramètres!$A$1:$I$89,3,0)*VLOOKUP('Données projet'!$B$10,Paramètres!$A$1:$I$89,5,0)</f>
        <v>389.76600000000002</v>
      </c>
      <c r="AK202" s="13">
        <f t="shared" si="164"/>
        <v>89.698759503620408</v>
      </c>
      <c r="AL202" s="20">
        <f t="shared" si="165"/>
        <v>835.06778946880547</v>
      </c>
      <c r="AM202" s="59">
        <f t="shared" si="193"/>
        <v>1128.4011228021388</v>
      </c>
      <c r="AN202" s="59">
        <f ca="1">AVERAGE(OFFSET($AM$3,0,0,'Données projet'!$E$10+1,1))-AVERAGE(OFFSET($H$3,0,0,'Données projet'!$E$10+1,1))</f>
        <v>396.27049617044378</v>
      </c>
      <c r="AO202" s="59">
        <f t="shared" si="205"/>
        <v>335.2680289568774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13.653630169651546</v>
      </c>
      <c r="AV202" s="21">
        <f>EXP(-LN(2)/25)*AV201+(1-EXP(-LN(2)/25))/(LN(2)/25)*Calculateur!AQ202*Calculateur!AS202*VLOOKUP('Données projet'!$B$10,Paramètres!$A$1:$I$89,3,0)*0.475*44/12</f>
        <v>0.43371990926620463</v>
      </c>
      <c r="AW202" s="21">
        <f>EXP(-LN(2)/2)*AW201+(1-EXP(-LN(2)/2))/(LN(2)/2)*AQ202*AT202*VLOOKUP('Données projet'!$B$10,Paramètres!$A$1:$I$89,3,0)*0.475*44/12</f>
        <v>1.4057256099730708E-26</v>
      </c>
      <c r="AX202" s="21">
        <f t="shared" si="166"/>
        <v>14.087350078917751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403.99999999999989</v>
      </c>
      <c r="BE202" s="13">
        <f>BD202*VLOOKUP('Données projet'!$B$11,Paramètres!$A$1:$I$89,3,0)*VLOOKUP('Données projet'!$B$11,Paramètres!$A$1:$I$89,5,0)</f>
        <v>346.63199999999995</v>
      </c>
      <c r="BF202" s="13">
        <f t="shared" si="167"/>
        <v>80.868615263336864</v>
      </c>
      <c r="BG202" s="20">
        <f t="shared" si="168"/>
        <v>744.56357158364483</v>
      </c>
      <c r="BH202" s="59">
        <f t="shared" si="194"/>
        <v>1037.8969049169782</v>
      </c>
      <c r="BI202" s="59">
        <f ca="1">AVERAGE(OFFSET($BH$3,0,0,'Données projet'!$E$11+1,1))-AVERAGE(OFFSET($H$3,0,0,'Données projet'!$E$11+1,1))</f>
        <v>352.61091660077574</v>
      </c>
      <c r="BJ202" s="59">
        <f t="shared" si="206"/>
        <v>186.48649111821521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20.90932069001493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20.90932069001493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266.99999999999983</v>
      </c>
      <c r="BZ202" s="13">
        <f>BY202*VLOOKUP('Données projet'!$B$12,Paramètres!$A$1:$I$89,3,0)*VLOOKUP('Données projet'!$B$12,Paramètres!$A$1:$I$89,5,0)</f>
        <v>212.42519999999985</v>
      </c>
      <c r="CA202" s="13">
        <f t="shared" si="170"/>
        <v>52.465198231787184</v>
      </c>
      <c r="CB202" s="20">
        <f t="shared" si="171"/>
        <v>461.35077692036231</v>
      </c>
      <c r="CC202" s="59">
        <f t="shared" si="195"/>
        <v>754.68411025369562</v>
      </c>
      <c r="CD202" s="59">
        <f ca="1">AVERAGE(OFFSET($CC$3,0,0,'Données projet'!$E$12+1,1))-AVERAGE(OFFSET($H$3,0,0,'Données projet'!$E$12+1,1))</f>
        <v>225.2323446080772</v>
      </c>
      <c r="CE202" s="59">
        <f t="shared" si="207"/>
        <v>222.29030402759292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4.1101285323551879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4.1101285323551879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213.00000000000003</v>
      </c>
      <c r="CU202" s="17">
        <f>CT202*VLOOKUP('Données projet'!$B$13,Paramètres!$A$1:$I$89,3,0)*VLOOKUP('Données projet'!$B$13,Paramètres!$A$1:$I$89,5,0)</f>
        <v>206.01360000000005</v>
      </c>
      <c r="CV202" s="13">
        <f t="shared" si="173"/>
        <v>51.063487709141484</v>
      </c>
      <c r="CW202" s="20">
        <f t="shared" si="174"/>
        <v>447.74259442675481</v>
      </c>
      <c r="CX202" s="59">
        <f t="shared" si="196"/>
        <v>741.07592776008812</v>
      </c>
      <c r="CY202" s="59">
        <f ca="1">AVERAGE(OFFSET($CX$3,0,0,'Données projet'!$E$13+1,1))-AVERAGE(OFFSET($H$3,0,0,'Données projet'!$E$13+1,1))</f>
        <v>212.32823943192528</v>
      </c>
      <c r="CZ202" s="59">
        <f t="shared" si="208"/>
        <v>209.60834138503003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3.1318964854659299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3.1318964854659299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285.99999999999972</v>
      </c>
      <c r="DP202" s="17">
        <f>DO202*VLOOKUP('Données projet'!$B$14,Paramètres!$A$1:$I$89,3,0)*VLOOKUP('Données projet'!$B$14,Paramètres!$A$1:$I$89,5,0)</f>
        <v>223.07999999999979</v>
      </c>
      <c r="DQ202" s="13">
        <f t="shared" si="176"/>
        <v>54.783765878062617</v>
      </c>
      <c r="DR202" s="20">
        <f t="shared" si="177"/>
        <v>483.94605890429199</v>
      </c>
      <c r="DS202" s="59">
        <f t="shared" si="197"/>
        <v>777.2793922376253</v>
      </c>
      <c r="DT202" s="59">
        <f ca="1">AVERAGE(OFFSET($DS$3,0,0,'Données projet'!$E$14+1,1))-AVERAGE(OFFSET($H$3,0,0,'Données projet'!$E$14+1,1))</f>
        <v>215.84581110302656</v>
      </c>
      <c r="DU202" s="59">
        <f t="shared" si="209"/>
        <v>193.88588526156104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4.5593831726269718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4.5593831726269718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6">
        <f t="shared" si="192"/>
        <v>506.26021499592679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401</v>
      </c>
      <c r="O203" s="13">
        <f>N203*VLOOKUP('Données projet'!$B$9,Paramètres!$A$1:$I$89,3,0)*VLOOKUP('Données projet'!$B$9,Paramètres!$A$1:$I$89,5,0)</f>
        <v>250.22399999999999</v>
      </c>
      <c r="P203" s="13">
        <f t="shared" si="203"/>
        <v>60.633904580527918</v>
      </c>
      <c r="Q203" s="20">
        <f t="shared" si="162"/>
        <v>541.41085047775289</v>
      </c>
      <c r="R203" s="59">
        <f t="shared" si="191"/>
        <v>834.74418381108626</v>
      </c>
      <c r="S203" s="59">
        <f ca="1">AVERAGE(OFFSET($R$3,0,0,'Données projet'!$E$9+1,1))-AVERAGE(OFFSET($H$3,0,0,'Données projet'!$E$9+1,1))</f>
        <v>269.77739619445515</v>
      </c>
      <c r="T203" s="59">
        <f t="shared" si="204"/>
        <v>347.56964743629885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4.786146989338679</v>
      </c>
      <c r="AA203" s="21">
        <f>EXP(-LN(2)/25)*AA202+(1-EXP(-LN(2)/25))/(LN(2)/25)*Calculateur!V203*Calculateur!X203*VLOOKUP('Données projet'!$B$9,Paramètres!$A$1:$I$89,3,0)*0.475*44/12</f>
        <v>0.82331332023288528</v>
      </c>
      <c r="AB203" s="21">
        <f>EXP(-LN(2)/2)*AB202+(1-EXP(-LN(2)/2))/(LN(2)/2)*V203*Y203*VLOOKUP('Données projet'!$B$9,Paramètres!$A$1:$I$89,3,0)*0.475*44/12</f>
        <v>6.4205619629397024E-28</v>
      </c>
      <c r="AC203" s="22">
        <f t="shared" si="163"/>
        <v>5.6094603095715643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789</v>
      </c>
      <c r="AJ203" s="13">
        <f>AI203*VLOOKUP('Données projet'!$B$10,Paramètres!$A$1:$I$89,3,0)*VLOOKUP('Données projet'!$B$10,Paramètres!$A$1:$I$89,5,0)</f>
        <v>389.76600000000002</v>
      </c>
      <c r="AK203" s="13">
        <f t="shared" si="164"/>
        <v>89.698759503620408</v>
      </c>
      <c r="AL203" s="20">
        <f t="shared" si="165"/>
        <v>835.06778946880547</v>
      </c>
      <c r="AM203" s="59">
        <f t="shared" si="193"/>
        <v>1128.4011228021388</v>
      </c>
      <c r="AN203" s="59">
        <f ca="1">AVERAGE(OFFSET($AM$3,0,0,'Données projet'!$E$10+1,1))-AVERAGE(OFFSET($H$3,0,0,'Données projet'!$E$10+1,1))</f>
        <v>396.27049617044378</v>
      </c>
      <c r="AO203" s="59">
        <f t="shared" si="205"/>
        <v>335.2680289568774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13.385890809916772</v>
      </c>
      <c r="AV203" s="21">
        <f>EXP(-LN(2)/25)*AV202+(1-EXP(-LN(2)/25))/(LN(2)/25)*Calculateur!AQ203*Calculateur!AS203*VLOOKUP('Données projet'!$B$10,Paramètres!$A$1:$I$89,3,0)*0.475*44/12</f>
        <v>0.4218598155389815</v>
      </c>
      <c r="AW203" s="21">
        <f>EXP(-LN(2)/2)*AW202+(1-EXP(-LN(2)/2))/(LN(2)/2)*AQ203*AT203*VLOOKUP('Données projet'!$B$10,Paramètres!$A$1:$I$89,3,0)*0.475*44/12</f>
        <v>9.9399811129955421E-27</v>
      </c>
      <c r="AX203" s="21">
        <f t="shared" si="166"/>
        <v>13.807750625455753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403.99999999999989</v>
      </c>
      <c r="BE203" s="13">
        <f>BD203*VLOOKUP('Données projet'!$B$11,Paramètres!$A$1:$I$89,3,0)*VLOOKUP('Données projet'!$B$11,Paramètres!$A$1:$I$89,5,0)</f>
        <v>346.63199999999995</v>
      </c>
      <c r="BF203" s="13">
        <f t="shared" si="167"/>
        <v>80.868615263336864</v>
      </c>
      <c r="BG203" s="20">
        <f t="shared" si="168"/>
        <v>744.56357158364483</v>
      </c>
      <c r="BH203" s="59">
        <f t="shared" si="194"/>
        <v>1037.8969049169782</v>
      </c>
      <c r="BI203" s="59">
        <f ca="1">AVERAGE(OFFSET($BH$3,0,0,'Données projet'!$E$11+1,1))-AVERAGE(OFFSET($H$3,0,0,'Données projet'!$E$11+1,1))</f>
        <v>352.61091660077574</v>
      </c>
      <c r="BJ203" s="59">
        <f t="shared" si="206"/>
        <v>186.48649111821521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20.49930166471006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20.49930166471006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266.99999999999983</v>
      </c>
      <c r="BZ203" s="13">
        <f>BY203*VLOOKUP('Données projet'!$B$12,Paramètres!$A$1:$I$89,3,0)*VLOOKUP('Données projet'!$B$12,Paramètres!$A$1:$I$89,5,0)</f>
        <v>212.42519999999985</v>
      </c>
      <c r="CA203" s="13">
        <f t="shared" si="170"/>
        <v>52.465198231787184</v>
      </c>
      <c r="CB203" s="20">
        <f t="shared" si="171"/>
        <v>461.35077692036231</v>
      </c>
      <c r="CC203" s="59">
        <f t="shared" si="195"/>
        <v>754.68411025369562</v>
      </c>
      <c r="CD203" s="59">
        <f ca="1">AVERAGE(OFFSET($CC$3,0,0,'Données projet'!$E$12+1,1))-AVERAGE(OFFSET($H$3,0,0,'Données projet'!$E$12+1,1))</f>
        <v>225.2323446080772</v>
      </c>
      <c r="CE203" s="59">
        <f t="shared" si="207"/>
        <v>222.29030402759292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4.0295314187665685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4.0295314187665685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213.00000000000003</v>
      </c>
      <c r="CU203" s="17">
        <f>CT203*VLOOKUP('Données projet'!$B$13,Paramètres!$A$1:$I$89,3,0)*VLOOKUP('Données projet'!$B$13,Paramètres!$A$1:$I$89,5,0)</f>
        <v>206.01360000000005</v>
      </c>
      <c r="CV203" s="13">
        <f t="shared" si="173"/>
        <v>51.063487709141484</v>
      </c>
      <c r="CW203" s="20">
        <f t="shared" si="174"/>
        <v>447.74259442675481</v>
      </c>
      <c r="CX203" s="59">
        <f t="shared" si="196"/>
        <v>741.07592776008812</v>
      </c>
      <c r="CY203" s="59">
        <f ca="1">AVERAGE(OFFSET($CX$3,0,0,'Données projet'!$E$13+1,1))-AVERAGE(OFFSET($H$3,0,0,'Données projet'!$E$13+1,1))</f>
        <v>212.32823943192528</v>
      </c>
      <c r="CZ203" s="59">
        <f t="shared" si="208"/>
        <v>209.60834138503003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3.0704819056541757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3.0704819056541757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285.99999999999972</v>
      </c>
      <c r="DP203" s="17">
        <f>DO203*VLOOKUP('Données projet'!$B$14,Paramètres!$A$1:$I$89,3,0)*VLOOKUP('Données projet'!$B$14,Paramètres!$A$1:$I$89,5,0)</f>
        <v>223.07999999999979</v>
      </c>
      <c r="DQ203" s="13">
        <f t="shared" si="176"/>
        <v>54.783765878062617</v>
      </c>
      <c r="DR203" s="20">
        <f t="shared" si="177"/>
        <v>483.94605890429199</v>
      </c>
      <c r="DS203" s="59">
        <f t="shared" si="197"/>
        <v>777.2793922376253</v>
      </c>
      <c r="DT203" s="59">
        <f ca="1">AVERAGE(OFFSET($DS$3,0,0,'Données projet'!$E$14+1,1))-AVERAGE(OFFSET($H$3,0,0,'Données projet'!$E$14+1,1))</f>
        <v>215.84581110302656</v>
      </c>
      <c r="DU203" s="59">
        <f t="shared" si="209"/>
        <v>193.88588526156104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4.469976449560896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4.469976449560896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1.4714192565876152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1.282970348825361</v>
      </c>
      <c r="BA205" s="81">
        <f>EXP(LN('Données projet'!B88)/'Données projet'!A88)</f>
        <v>1.189207115002721</v>
      </c>
      <c r="BV205" s="81">
        <f>EXP(LN('Données projet'!B114)/'Données projet'!A114)</f>
        <v>1.2721747796233518</v>
      </c>
      <c r="CQ205" s="81">
        <f>EXP(LN('Données projet'!B140)/'Données projet'!A140)</f>
        <v>1.1577536725165907</v>
      </c>
      <c r="DL205" s="81">
        <f>EXP(LN('Données projet'!B166)/'Données projet'!A166)</f>
        <v>1.1966732973638288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2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3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2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4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4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3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2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3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3" t="s">
        <v>271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Mélèze d'Europe</v>
      </c>
      <c r="B6" s="144">
        <f>'Données projet'!D9</f>
        <v>1.3217140000000001</v>
      </c>
      <c r="C6" s="145">
        <f ca="1">IF(OR('Données projet'!B9="",'Données projet'!C9="",'Données projet'!C9=0%),0,Calculateur!S3)</f>
        <v>269.77739619445515</v>
      </c>
      <c r="D6" s="145">
        <f>IF(OR('Données projet'!B9="",'Données projet'!C9="",'Données projet'!C9=0%),0,Calculateur!T3)</f>
        <v>347.56964743629885</v>
      </c>
      <c r="E6" s="145">
        <f ca="1">MIN(C6,D6)</f>
        <v>269.77739619445515</v>
      </c>
      <c r="F6" s="145">
        <f ca="1">E6*B6</f>
        <v>356.56856143375813</v>
      </c>
      <c r="G6" s="145">
        <f ca="1">F6*(100%-'Données projet'!$C$24)*(100%-'Données projet'!$C$25)*(100%-'Données projet'!$C$26)*(100%-'Données projet'!$C$27)</f>
        <v>320.91170529038232</v>
      </c>
      <c r="H6" s="146">
        <f>IF(OR('Données projet'!B9="",'Données projet'!C9="",'Données projet'!C9=0%),0,AVERAGE(Calculateur!$AC$3:$AC$33)*B6)</f>
        <v>32.875729745565906</v>
      </c>
      <c r="I6" s="147">
        <f>H6*(100%-'Données projet'!$C$24)*(100%-'Données projet'!$C$25)*(100%-'Données projet'!$C$26)*(100%-'Données projet'!$C$27)</f>
        <v>29.588156771009317</v>
      </c>
      <c r="J6" s="148">
        <f>IF(OR('Données projet'!B9="",'Données projet'!C9="",'Données projet'!C9=0%),0,SUM(Calculateur!$V$3:$V$33)*VLOOKUP('Données projet'!$B$9,Paramètres!$A$1:$I$89,9,0)*B6)</f>
        <v>135.605212972</v>
      </c>
      <c r="K6" s="149">
        <f>J6*(100%-'Données projet'!$C$24)*(100%-'Données projet'!$C$25)*(100%-'Données projet'!$C$26)*(100%-'Données projet'!$C$27)</f>
        <v>122.04469167480001</v>
      </c>
      <c r="L6" s="150">
        <f ca="1">G6+I6+K6</f>
        <v>472.54455373619163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Sapin pectiné</v>
      </c>
      <c r="B7" s="152">
        <f>'Données projet'!D10</f>
        <v>0.66085700000000003</v>
      </c>
      <c r="C7" s="145">
        <f ca="1">IF(OR('Données projet'!B10="",'Données projet'!C10="",'Données projet'!C10=0%),0,Calculateur!AN3)</f>
        <v>396.27049617044378</v>
      </c>
      <c r="D7" s="145">
        <f>IF(OR('Données projet'!B10="",'Données projet'!C10="",'Données projet'!C10=0%),0,Calculateur!AO3)</f>
        <v>335.2680289568774</v>
      </c>
      <c r="E7" s="145">
        <f t="shared" ref="E7:E15" ca="1" si="0">MIN(C7,D7)</f>
        <v>335.2680289568774</v>
      </c>
      <c r="F7" s="145">
        <f t="shared" ref="F7:F15" ca="1" si="1">E7*B7</f>
        <v>221.56422381235515</v>
      </c>
      <c r="G7" s="145">
        <f ca="1">F7*(100%-'Données projet'!$C$24)*(100%-'Données projet'!$C$25)*(100%-'Données projet'!$C$26)*(100%-'Données projet'!$C$27)</f>
        <v>199.40780143111965</v>
      </c>
      <c r="H7" s="153">
        <f>IF(OR('Données projet'!B10="",'Données projet'!C10="",'Données projet'!C10=0%),0,AVERAGE(Calculateur!$AX$3:$AX$33)*B7)</f>
        <v>4.4140614274317373</v>
      </c>
      <c r="I7" s="147">
        <f>H7*(100%-'Données projet'!$C$24)*(100%-'Données projet'!$C$25)*(100%-'Données projet'!$C$26)*(100%-'Données projet'!$C$27)</f>
        <v>3.9726552846885639</v>
      </c>
      <c r="J7" s="148">
        <f>IF(OR('Données projet'!B10="",'Données projet'!C10="",'Données projet'!C10=0%),0,SUM(Calculateur!$AQ$3:$AQ$33)*VLOOKUP('Données projet'!$B$10,Paramètres!$A$1:$I$89,9,0)*B7)</f>
        <v>46.035298619999999</v>
      </c>
      <c r="K7" s="149">
        <f>J7*(100%-'Données projet'!$C$24)*(100%-'Données projet'!$C$25)*(100%-'Données projet'!$C$26)*(100%-'Données projet'!$C$27)</f>
        <v>41.431768757999997</v>
      </c>
      <c r="L7" s="150">
        <f t="shared" ref="L7:L15" ca="1" si="2">G7+I7+K7</f>
        <v>244.81222547380821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Hêtre</v>
      </c>
      <c r="B8" s="152">
        <f>'Données projet'!D11</f>
        <v>0.52875300000000003</v>
      </c>
      <c r="C8" s="145">
        <f ca="1">IF(OR('Données projet'!B11="",'Données projet'!C11="",'Données projet'!C11=0%),0,Calculateur!BI3)</f>
        <v>352.61091660077574</v>
      </c>
      <c r="D8" s="145">
        <f>IF(OR('Données projet'!B11="",'Données projet'!C11="",'Données projet'!C11=0%),0,Calculateur!BJ3)</f>
        <v>186.48649111821521</v>
      </c>
      <c r="E8" s="145">
        <f t="shared" ca="1" si="0"/>
        <v>186.48649111821521</v>
      </c>
      <c r="F8" s="145">
        <f t="shared" ca="1" si="1"/>
        <v>98.605291638229659</v>
      </c>
      <c r="G8" s="145">
        <f ca="1">F8*(100%-'Données projet'!$C$24)*(100%-'Données projet'!$C$25)*(100%-'Données projet'!$C$26)*(100%-'Données projet'!$C$27)</f>
        <v>88.744762474406699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4.6265887499999998</v>
      </c>
      <c r="K8" s="149">
        <f>J8*(100%-'Données projet'!$C$24)*(100%-'Données projet'!$C$25)*(100%-'Données projet'!$C$26)*(100%-'Données projet'!$C$27)</f>
        <v>4.163929875</v>
      </c>
      <c r="L8" s="150">
        <f t="shared" ca="1" si="2"/>
        <v>92.908692349406692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Erable sycomore</v>
      </c>
      <c r="B9" s="152">
        <f>'Données projet'!D12</f>
        <v>0.396312</v>
      </c>
      <c r="C9" s="145">
        <f ca="1">IF(OR('Données projet'!B12="",'Données projet'!C12="",'Données projet'!C12=0%),0,Calculateur!CD3)</f>
        <v>225.2323446080772</v>
      </c>
      <c r="D9" s="145">
        <f>IF(OR('Données projet'!B12="",'Données projet'!C12="",'Données projet'!C12=0%),0,Calculateur!CE3)</f>
        <v>222.29030402759292</v>
      </c>
      <c r="E9" s="145">
        <f t="shared" ca="1" si="0"/>
        <v>222.29030402759292</v>
      </c>
      <c r="F9" s="145">
        <f t="shared" ca="1" si="1"/>
        <v>88.096314969783407</v>
      </c>
      <c r="G9" s="145">
        <f ca="1">F9*(100%-'Données projet'!$C$24)*(100%-'Données projet'!$C$25)*(100%-'Données projet'!$C$26)*(100%-'Données projet'!$C$27)</f>
        <v>79.286683472805066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9.8087219999999995</v>
      </c>
      <c r="K9" s="149">
        <f>J9*(100%-'Données projet'!$C$24)*(100%-'Données projet'!$C$25)*(100%-'Données projet'!$C$26)*(100%-'Données projet'!$C$27)</f>
        <v>8.8278497999999992</v>
      </c>
      <c r="L9" s="150">
        <f t="shared" ca="1" si="2"/>
        <v>88.114533272805062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>Alisier torminal</v>
      </c>
      <c r="B10" s="152">
        <f>'Données projet'!D13</f>
        <v>0.231182</v>
      </c>
      <c r="C10" s="145">
        <f ca="1">IF(OR('Données projet'!B13="",'Données projet'!C13="",'Données projet'!C13=0%),0,Calculateur!CY3)</f>
        <v>212.32823943192528</v>
      </c>
      <c r="D10" s="145">
        <f>IF(OR('Données projet'!B13="",'Données projet'!C13="",'Données projet'!C13=0%),0,Calculateur!CZ3)</f>
        <v>209.60834138503003</v>
      </c>
      <c r="E10" s="145">
        <f t="shared" ca="1" si="0"/>
        <v>209.60834138503003</v>
      </c>
      <c r="F10" s="145">
        <f t="shared" ca="1" si="1"/>
        <v>48.45767557807401</v>
      </c>
      <c r="G10" s="145">
        <f ca="1">F10*(100%-'Données projet'!$C$24)*(100%-'Données projet'!$C$25)*(100%-'Données projet'!$C$26)*(100%-'Données projet'!$C$27)</f>
        <v>43.611908020266611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3.6411164999999999</v>
      </c>
      <c r="K10" s="149">
        <f>J10*(100%-'Données projet'!$C$24)*(100%-'Données projet'!$C$25)*(100%-'Données projet'!$C$26)*(100%-'Données projet'!$C$27)</f>
        <v>3.27700485</v>
      </c>
      <c r="L10" s="150">
        <f t="shared" ca="1" si="2"/>
        <v>46.888912870266608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>Merisier</v>
      </c>
      <c r="B11" s="152">
        <f>'Données projet'!D14</f>
        <v>0.231182</v>
      </c>
      <c r="C11" s="145">
        <f ca="1">IF(OR('Données projet'!B14="",'Données projet'!C14="",'Données projet'!C14=0%),0,Calculateur!DT3)</f>
        <v>215.84581110302656</v>
      </c>
      <c r="D11" s="145">
        <f>IF(OR('Données projet'!B14="",'Données projet'!C14="",'Données projet'!C14=0%),0,Calculateur!DU3)</f>
        <v>193.88588526156104</v>
      </c>
      <c r="E11" s="145">
        <f t="shared" ca="1" si="0"/>
        <v>193.88588526156104</v>
      </c>
      <c r="F11" s="145">
        <f t="shared" ca="1" si="1"/>
        <v>44.822926726538206</v>
      </c>
      <c r="G11" s="145">
        <f ca="1">F11*(100%-'Données projet'!$C$24)*(100%-'Données projet'!$C$25)*(100%-'Données projet'!$C$26)*(100%-'Données projet'!$C$27)</f>
        <v>40.340634053884386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3.005366</v>
      </c>
      <c r="K11" s="149">
        <f>J11*(100%-'Données projet'!$C$24)*(100%-'Données projet'!$C$25)*(100%-'Données projet'!$C$26)*(100%-'Données projet'!$C$27)</f>
        <v>2.7048293999999999</v>
      </c>
      <c r="L11" s="150">
        <f t="shared" ca="1" si="2"/>
        <v>43.045463453884388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858.11499415873857</v>
      </c>
      <c r="G16" s="164">
        <f t="shared" ca="1" si="3"/>
        <v>772.3034947428647</v>
      </c>
      <c r="H16" s="165">
        <f t="shared" si="3"/>
        <v>37.289791172997646</v>
      </c>
      <c r="I16" s="165">
        <f t="shared" si="3"/>
        <v>33.56081205569788</v>
      </c>
      <c r="J16" s="166">
        <f t="shared" si="3"/>
        <v>202.722304842</v>
      </c>
      <c r="K16" s="166">
        <f t="shared" si="3"/>
        <v>182.45007435779999</v>
      </c>
      <c r="L16" s="167">
        <f t="shared" ca="1" si="3"/>
        <v>988.31438115636251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5" t="s">
        <v>246</v>
      </c>
      <c r="G17" s="296"/>
      <c r="H17" s="296"/>
      <c r="I17" s="296"/>
      <c r="J17" s="296"/>
      <c r="K17" s="296"/>
      <c r="L17" s="29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2"/>
      <c r="G18" s="282"/>
      <c r="H18" s="282"/>
      <c r="I18" s="282"/>
      <c r="J18" s="282"/>
      <c r="K18" s="282"/>
      <c r="L18" s="28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Mélèze d'Europe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Sapin pectiné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Hêtre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Erable sycomore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>Alisier torminal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>Merisier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04" zoomScale="80" zoomScaleNormal="80" workbookViewId="0">
      <selection activeCell="C152" sqref="C152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3" t="s">
        <v>272</v>
      </c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3" t="s">
        <v>315</v>
      </c>
      <c r="I4" s="273"/>
      <c r="K4" s="297" t="s">
        <v>253</v>
      </c>
      <c r="L4" s="298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7" t="s">
        <v>310</v>
      </c>
      <c r="S7" s="308"/>
      <c r="T7" s="308"/>
      <c r="U7" s="308"/>
      <c r="V7" s="30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Mélèze d'Europe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-1936.8803236882488</v>
      </c>
      <c r="U10" s="176">
        <f>'Données projet'!D9</f>
        <v>1.3217140000000001</v>
      </c>
      <c r="V10" s="175">
        <f>U10*T10</f>
        <v>-2560.0018401432903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Sapin pectiné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-2478.258571470546</v>
      </c>
      <c r="U11" s="176">
        <f>'Données projet'!D10</f>
        <v>0.66085700000000003</v>
      </c>
      <c r="V11" s="175">
        <f t="shared" ref="V11" si="0">U11*T11</f>
        <v>-1637.7745247663106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Hêtre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-3100.5832808358755</v>
      </c>
      <c r="U12" s="176">
        <f>'Données projet'!D11</f>
        <v>0.52875300000000003</v>
      </c>
      <c r="V12" s="175">
        <f t="shared" ref="V12:V19" si="1">U12*T12</f>
        <v>-1639.4427114918117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Erable sycomore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-3021.651042293754</v>
      </c>
      <c r="U13" s="176">
        <f>'Données projet'!D12</f>
        <v>0.396312</v>
      </c>
      <c r="V13" s="175">
        <f t="shared" si="1"/>
        <v>-1197.5165678735223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Mélèze d'Europe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Alisier torminal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-6157.622356361102</v>
      </c>
      <c r="U14" s="176">
        <f>'Données projet'!D13</f>
        <v>0.231182</v>
      </c>
      <c r="V14" s="175">
        <f t="shared" si="1"/>
        <v>-1423.5314515882724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00" t="s">
        <v>318</v>
      </c>
      <c r="H15" s="188">
        <v>0</v>
      </c>
      <c r="I15" s="189">
        <v>2215.4299999999998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Merisier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-4027.253143812748</v>
      </c>
      <c r="U15" s="176">
        <f>'Données projet'!D14</f>
        <v>0.231182</v>
      </c>
      <c r="V15" s="175">
        <f t="shared" si="1"/>
        <v>-931.02843629291874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00"/>
      <c r="H16" s="188"/>
      <c r="I16" s="189"/>
      <c r="J16" s="200"/>
      <c r="K16" s="206"/>
      <c r="L16" s="297" t="s">
        <v>254</v>
      </c>
      <c r="M16" s="298"/>
      <c r="N16" s="2">
        <v>40</v>
      </c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2848.13</v>
      </c>
      <c r="F17" s="228"/>
      <c r="G17" s="300"/>
      <c r="J17" s="200"/>
      <c r="K17" s="206"/>
      <c r="L17" s="270" t="s">
        <v>289</v>
      </c>
      <c r="M17" s="272"/>
      <c r="N17" s="173">
        <f>VLOOKUP(N16,Calculateur!$A$2:$H$153,3,0)/VLOOKUP('Scénario référence'!$G$15,Paramètres!A1:I89,3,0)/VLOOKUP('Scénario référence'!$G$15,Paramètres!A1:I89,5,0)</f>
        <v>40.000000000000021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00"/>
      <c r="J18" s="200"/>
      <c r="K18" s="206"/>
      <c r="L18" s="270" t="s">
        <v>255</v>
      </c>
      <c r="M18" s="272"/>
      <c r="N18" s="190">
        <v>10</v>
      </c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00"/>
      <c r="H19" s="210" t="s">
        <v>178</v>
      </c>
      <c r="I19" s="210" t="s">
        <v>287</v>
      </c>
      <c r="J19" s="91"/>
      <c r="K19" s="171"/>
      <c r="L19" s="297" t="s">
        <v>288</v>
      </c>
      <c r="M19" s="298"/>
      <c r="N19" s="177">
        <f>N17*N18</f>
        <v>400.00000000000023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00"/>
      <c r="H20" s="188">
        <v>0</v>
      </c>
      <c r="I20" s="189">
        <v>4339.2299999999996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708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>
        <v>708</v>
      </c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12</v>
      </c>
      <c r="B23" s="179">
        <f>'Données projet'!D36</f>
        <v>18</v>
      </c>
      <c r="C23" s="191">
        <v>10</v>
      </c>
      <c r="D23" s="180">
        <f>B23*C23</f>
        <v>180</v>
      </c>
      <c r="E23" s="191"/>
      <c r="F23" s="228"/>
      <c r="H23" s="188">
        <v>3</v>
      </c>
      <c r="I23" s="189">
        <v>708</v>
      </c>
      <c r="K23" s="206"/>
      <c r="L23" s="299" t="s">
        <v>260</v>
      </c>
      <c r="M23" s="299"/>
      <c r="N23" s="299"/>
      <c r="O23" s="23"/>
      <c r="P23" s="23"/>
      <c r="Q23" s="232"/>
      <c r="R23" s="23"/>
      <c r="S23" s="36" t="s">
        <v>264</v>
      </c>
      <c r="T23" s="31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-27020.810445294537</v>
      </c>
      <c r="U23" s="312"/>
      <c r="V23" s="31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18</v>
      </c>
      <c r="B24" s="179">
        <f>'Données projet'!D37</f>
        <v>84.3</v>
      </c>
      <c r="C24" s="191">
        <v>10</v>
      </c>
      <c r="D24" s="180">
        <f t="shared" ref="D24:D42" si="2">B24*C24</f>
        <v>843</v>
      </c>
      <c r="E24" s="191"/>
      <c r="F24" s="231"/>
      <c r="H24" s="188">
        <v>4</v>
      </c>
      <c r="I24" s="189">
        <v>708</v>
      </c>
      <c r="K24" s="206"/>
      <c r="O24" s="23"/>
      <c r="P24" s="23"/>
      <c r="Q24" s="232"/>
      <c r="R24" s="23"/>
      <c r="S24" s="36" t="s">
        <v>261</v>
      </c>
      <c r="T24" s="313">
        <f ca="1">'Scénario référence'!$B$8*$M$30*'Données projet'!$C$5+('Scénario référence'!B9+'Scénario référence'!B10+'Scénario référence'!F8+'Scénario référence'!F9)*$N$19/(1+M4)^N16*'Données projet'!$C$5</f>
        <v>231.7598890658289</v>
      </c>
      <c r="U24" s="313"/>
      <c r="V24" s="31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24</v>
      </c>
      <c r="B25" s="179">
        <f>'Données projet'!D38</f>
        <v>73.7</v>
      </c>
      <c r="C25" s="191">
        <v>10</v>
      </c>
      <c r="D25" s="180">
        <f t="shared" si="2"/>
        <v>737</v>
      </c>
      <c r="E25" s="191"/>
      <c r="F25" s="231"/>
      <c r="H25" s="188">
        <v>5</v>
      </c>
      <c r="I25" s="189">
        <v>708</v>
      </c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14">
        <f ca="1">T23-T24</f>
        <v>-27252.570334360367</v>
      </c>
      <c r="U25" s="314"/>
      <c r="V25" s="31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30</v>
      </c>
      <c r="B26" s="179">
        <f>'Données projet'!D39</f>
        <v>62.6</v>
      </c>
      <c r="C26" s="191">
        <v>10</v>
      </c>
      <c r="D26" s="180">
        <f t="shared" si="2"/>
        <v>626</v>
      </c>
      <c r="E26" s="191"/>
      <c r="F26" s="231"/>
      <c r="G26" s="227"/>
      <c r="H26" s="188"/>
      <c r="I26" s="189"/>
      <c r="K26" s="206"/>
      <c r="L26" s="301" t="s">
        <v>258</v>
      </c>
      <c r="M26" s="302"/>
      <c r="N26" s="302"/>
      <c r="O26" s="302"/>
      <c r="P26" s="303"/>
      <c r="Q26" s="232"/>
      <c r="R26" s="23"/>
      <c r="S26" s="184" t="s">
        <v>265</v>
      </c>
      <c r="T26" s="311" t="str">
        <f ca="1">IF(T25&lt;0,"Votre projet est additionnel","Votre projet n'est pas additionnel")</f>
        <v>Votre projet est additionnel</v>
      </c>
      <c r="U26" s="311"/>
      <c r="V26" s="31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36</v>
      </c>
      <c r="B27" s="179">
        <f>'Données projet'!D40</f>
        <v>58.4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4"/>
      <c r="M27" s="305"/>
      <c r="N27" s="305"/>
      <c r="O27" s="305"/>
      <c r="P27" s="306"/>
      <c r="Q27" s="232"/>
      <c r="R27" s="23"/>
      <c r="S27" s="310" t="s">
        <v>267</v>
      </c>
      <c r="T27" s="310"/>
      <c r="U27" s="310"/>
      <c r="V27" s="31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42</v>
      </c>
      <c r="B28" s="179">
        <f>'Données projet'!D41</f>
        <v>54.6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48</v>
      </c>
      <c r="B29" s="179">
        <f>'Données projet'!D42</f>
        <v>48.2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54</v>
      </c>
      <c r="B30" s="179">
        <f>'Données projet'!D43</f>
        <v>46.9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60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0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0</v>
      </c>
      <c r="B34" s="179">
        <f>'Données projet'!D47</f>
        <v>0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0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0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Sapin pectiné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2898.07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15</v>
      </c>
      <c r="B54" s="179">
        <f>'Données projet'!D62</f>
        <v>0</v>
      </c>
      <c r="C54" s="189">
        <v>10</v>
      </c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20</v>
      </c>
      <c r="B55" s="179">
        <f>'Données projet'!D63</f>
        <v>22</v>
      </c>
      <c r="C55" s="189">
        <v>10</v>
      </c>
      <c r="D55" s="177">
        <f t="shared" ref="D55:D73" si="4">B55*C55</f>
        <v>220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25</v>
      </c>
      <c r="B56" s="179">
        <f>'Données projet'!D64</f>
        <v>70</v>
      </c>
      <c r="C56" s="189">
        <v>10</v>
      </c>
      <c r="D56" s="177">
        <f t="shared" si="4"/>
        <v>700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30</v>
      </c>
      <c r="B57" s="179">
        <f>'Données projet'!D65</f>
        <v>70</v>
      </c>
      <c r="C57" s="189">
        <v>10</v>
      </c>
      <c r="D57" s="177">
        <f t="shared" si="4"/>
        <v>700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35</v>
      </c>
      <c r="B58" s="179">
        <f>'Données projet'!D66</f>
        <v>70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40</v>
      </c>
      <c r="B59" s="179">
        <f>'Données projet'!D67</f>
        <v>70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45</v>
      </c>
      <c r="B60" s="179">
        <f>'Données projet'!D68</f>
        <v>70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50</v>
      </c>
      <c r="B61" s="179">
        <f>'Données projet'!D69</f>
        <v>70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55</v>
      </c>
      <c r="B62" s="179">
        <f>'Données projet'!D70</f>
        <v>68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60</v>
      </c>
      <c r="B63" s="179">
        <f>'Données projet'!D71</f>
        <v>60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65</v>
      </c>
      <c r="B64" s="179">
        <f>'Données projet'!D72</f>
        <v>56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70</v>
      </c>
      <c r="B65" s="179">
        <f>'Données projet'!D73</f>
        <v>54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75</v>
      </c>
      <c r="B66" s="179">
        <f>'Données projet'!D74</f>
        <v>52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80</v>
      </c>
      <c r="B67" s="179">
        <f>'Données projet'!D75</f>
        <v>51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Hêtre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3247.66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0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20</v>
      </c>
      <c r="B85" s="179">
        <f>'Données projet'!D88</f>
        <v>0</v>
      </c>
      <c r="C85" s="189">
        <v>15</v>
      </c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0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25</v>
      </c>
      <c r="B86" s="179">
        <f>'Données projet'!D89</f>
        <v>7</v>
      </c>
      <c r="C86" s="189">
        <v>15</v>
      </c>
      <c r="D86" s="177">
        <f t="shared" ref="D86:D104" si="6">B86*C86</f>
        <v>105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0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30</v>
      </c>
      <c r="B87" s="179">
        <f>'Données projet'!D90</f>
        <v>28</v>
      </c>
      <c r="C87" s="189">
        <v>15</v>
      </c>
      <c r="D87" s="177">
        <f t="shared" si="6"/>
        <v>420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0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35</v>
      </c>
      <c r="B88" s="179">
        <f>'Données projet'!D91</f>
        <v>28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0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40</v>
      </c>
      <c r="B89" s="179">
        <f>'Données projet'!D92</f>
        <v>28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0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45</v>
      </c>
      <c r="B90" s="179">
        <f>'Données projet'!D93</f>
        <v>28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0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50</v>
      </c>
      <c r="B91" s="179">
        <f>'Données projet'!D94</f>
        <v>28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0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55</v>
      </c>
      <c r="B92" s="179">
        <f>'Données projet'!D95</f>
        <v>28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0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60</v>
      </c>
      <c r="B93" s="179">
        <f>'Données projet'!D96</f>
        <v>28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0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65</v>
      </c>
      <c r="B94" s="179">
        <f>'Données projet'!D97</f>
        <v>28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str">
        <f>IF(O93+1&lt;=MIN('Données projet'!$E$9:$E$18),O93+1,"STOP")</f>
        <v>STOP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70</v>
      </c>
      <c r="B95" s="179">
        <f>'Données projet'!D98</f>
        <v>28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75</v>
      </c>
      <c r="B96" s="179">
        <f>'Données projet'!D99</f>
        <v>28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80</v>
      </c>
      <c r="B97" s="179">
        <f>'Données projet'!D100</f>
        <v>28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85</v>
      </c>
      <c r="B98" s="179">
        <f>'Données projet'!D101</f>
        <v>27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90</v>
      </c>
      <c r="B99" s="179">
        <f>'Données projet'!D102</f>
        <v>26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95</v>
      </c>
      <c r="B100" s="179">
        <f>'Données projet'!D103</f>
        <v>25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100</v>
      </c>
      <c r="B101" s="179">
        <f>'Données projet'!D104</f>
        <v>24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105</v>
      </c>
      <c r="B102" s="179">
        <f>'Données projet'!D105</f>
        <v>23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110</v>
      </c>
      <c r="B103" s="179">
        <f>'Données projet'!D106</f>
        <v>22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115</v>
      </c>
      <c r="B104" s="179">
        <f>'Données projet'!D107</f>
        <v>22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Erable sycomore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3563.95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15</v>
      </c>
      <c r="B116" s="179">
        <f>'Données projet'!D114</f>
        <v>15</v>
      </c>
      <c r="C116" s="189">
        <v>15</v>
      </c>
      <c r="D116" s="177">
        <f>B116*C116</f>
        <v>225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20</v>
      </c>
      <c r="B117" s="179">
        <f>'Données projet'!D115</f>
        <v>28</v>
      </c>
      <c r="C117" s="189">
        <v>15</v>
      </c>
      <c r="D117" s="177">
        <f t="shared" ref="D117:D135" si="8">B117*C117</f>
        <v>420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25</v>
      </c>
      <c r="B118" s="179">
        <f>'Données projet'!D116</f>
        <v>28</v>
      </c>
      <c r="C118" s="189">
        <v>15</v>
      </c>
      <c r="D118" s="177">
        <f t="shared" si="8"/>
        <v>420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30</v>
      </c>
      <c r="B119" s="179">
        <f>'Données projet'!D117</f>
        <v>28</v>
      </c>
      <c r="C119" s="189">
        <v>15</v>
      </c>
      <c r="D119" s="177">
        <f t="shared" si="8"/>
        <v>420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35</v>
      </c>
      <c r="B120" s="179">
        <f>'Données projet'!D118</f>
        <v>28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40</v>
      </c>
      <c r="B121" s="179">
        <f>'Données projet'!D119</f>
        <v>28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45</v>
      </c>
      <c r="B122" s="179">
        <f>'Données projet'!D120</f>
        <v>22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50</v>
      </c>
      <c r="B123" s="179">
        <f>'Données projet'!D121</f>
        <v>17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55</v>
      </c>
      <c r="B124" s="179">
        <f>'Données projet'!D122</f>
        <v>13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60</v>
      </c>
      <c r="B125" s="179">
        <f>'Données projet'!D123</f>
        <v>12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65</v>
      </c>
      <c r="B126" s="179">
        <f>'Données projet'!D124</f>
        <v>11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70</v>
      </c>
      <c r="B127" s="179">
        <f>'Données projet'!D125</f>
        <v>10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75</v>
      </c>
      <c r="B128" s="179">
        <f>'Données projet'!D126</f>
        <v>9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80</v>
      </c>
      <c r="B129" s="179">
        <f>'Données projet'!D127</f>
        <v>8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>Alisier torminal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6477.15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15</v>
      </c>
      <c r="B147" s="173">
        <f>'Données projet'!D140</f>
        <v>0</v>
      </c>
      <c r="C147" s="189">
        <v>15</v>
      </c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20</v>
      </c>
      <c r="B148" s="173">
        <f>'Données projet'!D141</f>
        <v>21</v>
      </c>
      <c r="C148" s="189">
        <v>15</v>
      </c>
      <c r="D148" s="180">
        <f t="shared" ref="D148:D166" si="10">B148*C148</f>
        <v>315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25</v>
      </c>
      <c r="B149" s="173">
        <f>'Données projet'!D142</f>
        <v>21</v>
      </c>
      <c r="C149" s="189">
        <v>15</v>
      </c>
      <c r="D149" s="180">
        <f t="shared" si="10"/>
        <v>315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30</v>
      </c>
      <c r="B150" s="173">
        <f>'Données projet'!D143</f>
        <v>21</v>
      </c>
      <c r="C150" s="189">
        <v>15</v>
      </c>
      <c r="D150" s="180">
        <f t="shared" si="10"/>
        <v>315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35</v>
      </c>
      <c r="B151" s="173">
        <f>'Données projet'!D144</f>
        <v>21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40</v>
      </c>
      <c r="B152" s="173">
        <f>'Données projet'!D145</f>
        <v>21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45</v>
      </c>
      <c r="B153" s="173">
        <f>'Données projet'!D146</f>
        <v>18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50</v>
      </c>
      <c r="B154" s="173">
        <f>'Données projet'!D147</f>
        <v>13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55</v>
      </c>
      <c r="B155" s="173">
        <f>'Données projet'!D148</f>
        <v>11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60</v>
      </c>
      <c r="B156" s="173">
        <f>'Données projet'!D149</f>
        <v>9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65</v>
      </c>
      <c r="B157" s="173">
        <f>'Données projet'!D150</f>
        <v>8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70</v>
      </c>
      <c r="B158" s="173">
        <f>'Données projet'!D151</f>
        <v>8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75</v>
      </c>
      <c r="B159" s="173">
        <f>'Données projet'!D152</f>
        <v>7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80</v>
      </c>
      <c r="B160" s="173">
        <f>'Données projet'!D153</f>
        <v>6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>Merisier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>
        <v>4263.12</v>
      </c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25</v>
      </c>
      <c r="B178" s="179">
        <f>'Données projet'!D166</f>
        <v>28</v>
      </c>
      <c r="C178" s="191">
        <v>15</v>
      </c>
      <c r="D178" s="177">
        <f>B178*C178</f>
        <v>420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30</v>
      </c>
      <c r="B179" s="179">
        <f>'Données projet'!D167</f>
        <v>24</v>
      </c>
      <c r="C179" s="191">
        <v>15</v>
      </c>
      <c r="D179" s="177">
        <f t="shared" ref="D179:D197" si="11">B179*C179</f>
        <v>360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35</v>
      </c>
      <c r="B180" s="179">
        <f>'Données projet'!D168</f>
        <v>27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40</v>
      </c>
      <c r="B181" s="179">
        <f>'Données projet'!D169</f>
        <v>32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45</v>
      </c>
      <c r="B182" s="179">
        <f>'Données projet'!D170</f>
        <v>31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50</v>
      </c>
      <c r="B183" s="179">
        <f>'Données projet'!D171</f>
        <v>30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55</v>
      </c>
      <c r="B184" s="179">
        <f>'Données projet'!D172</f>
        <v>30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60</v>
      </c>
      <c r="B185" s="179">
        <f>'Données projet'!D173</f>
        <v>27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65</v>
      </c>
      <c r="B186" s="179">
        <f>'Données projet'!D174</f>
        <v>26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70</v>
      </c>
      <c r="B187" s="179">
        <f>'Données projet'!D175</f>
        <v>20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75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Carbonapp</cp:lastModifiedBy>
  <dcterms:created xsi:type="dcterms:W3CDTF">2021-02-01T08:22:39Z</dcterms:created>
  <dcterms:modified xsi:type="dcterms:W3CDTF">2023-07-17T13:41:06Z</dcterms:modified>
</cp:coreProperties>
</file>