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5_Bordeaux\Nezer\SF²x4C_Nezer_R1\Avril 2023\"/>
    </mc:Choice>
  </mc:AlternateContent>
  <xr:revisionPtr revIDLastSave="0" documentId="14_{25FFCB9B-2DAA-4EC0-B419-B549B2F2BEA7}" xr6:coauthVersionLast="47" xr6:coauthVersionMax="47" xr10:uidLastSave="{00000000-0000-0000-0000-000000000000}"/>
  <bookViews>
    <workbookView xWindow="-120" yWindow="-120" windowWidth="23280" windowHeight="1275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4" i="1" l="1"/>
  <c r="D94" i="1" s="1"/>
  <c r="B124" i="1"/>
  <c r="D124" i="1" s="1"/>
  <c r="B123" i="1" l="1"/>
  <c r="B122" i="1"/>
  <c r="B121" i="1"/>
  <c r="B120" i="1"/>
  <c r="B119" i="1"/>
  <c r="B118" i="1"/>
  <c r="B117" i="1"/>
  <c r="B116" i="1"/>
  <c r="B115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HH144" i="2" s="1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H156" i="2" l="1"/>
  <c r="HG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HH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FS175" i="2"/>
  <c r="HI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HG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HG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EW197" i="2"/>
  <c r="EC197" i="2"/>
  <c r="HH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47" i="2" l="1" a="1"/>
  <c r="BC47" i="2" s="1"/>
  <c r="BC68" i="2" a="1"/>
  <c r="BC68" i="2" s="1"/>
  <c r="BC58" i="2" a="1"/>
  <c r="BC58" i="2" s="1"/>
  <c r="BC34" i="2" a="1"/>
  <c r="BC34" i="2" s="1"/>
  <c r="BC65" i="2" a="1"/>
  <c r="BC65" i="2" s="1"/>
  <c r="BC114" i="2" a="1"/>
  <c r="BC114" i="2" s="1"/>
  <c r="BC32" i="2" a="1"/>
  <c r="BC32" i="2" s="1"/>
  <c r="BC126" i="2" a="1"/>
  <c r="BC12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125" i="2" l="1"/>
  <c r="CD100" i="2"/>
  <c r="CD60" i="2"/>
  <c r="CD199" i="2"/>
  <c r="CD46" i="2"/>
  <c r="CD123" i="2"/>
  <c r="CD17" i="2"/>
  <c r="CD168" i="2"/>
  <c r="CD52" i="2"/>
  <c r="CD75" i="2"/>
  <c r="CD120" i="2"/>
  <c r="CD142" i="2"/>
  <c r="CD131" i="2"/>
  <c r="CD92" i="2"/>
  <c r="CD5" i="2"/>
  <c r="CD8" i="2"/>
  <c r="CD128" i="2"/>
  <c r="CD157" i="2"/>
  <c r="CD22" i="2"/>
  <c r="CD37" i="2"/>
  <c r="CD145" i="2"/>
  <c r="CD152" i="2"/>
  <c r="CD44" i="2"/>
  <c r="CD105" i="2"/>
  <c r="CD178" i="2"/>
  <c r="CD106" i="2"/>
  <c r="CD14" i="2"/>
  <c r="CD203" i="2"/>
  <c r="CD73" i="2"/>
  <c r="CD135" i="2"/>
  <c r="CD85" i="2"/>
  <c r="CD155" i="2"/>
  <c r="CD184" i="2"/>
  <c r="CD193" i="2"/>
  <c r="CD126" i="2"/>
  <c r="CD158" i="2"/>
  <c r="CD201" i="2"/>
  <c r="CD47" i="2"/>
  <c r="CD50" i="2"/>
  <c r="CD177" i="2"/>
  <c r="CD172" i="2"/>
  <c r="CD68" i="2"/>
  <c r="CD156" i="2"/>
  <c r="CD27" i="2"/>
  <c r="CD171" i="2"/>
  <c r="CD30" i="2"/>
  <c r="CD180" i="2"/>
  <c r="CD181" i="2"/>
  <c r="CD79" i="2"/>
  <c r="CD83" i="2"/>
  <c r="CD141" i="2"/>
  <c r="CD88" i="2"/>
  <c r="CD114" i="2"/>
  <c r="CD179" i="2"/>
  <c r="CD112" i="2"/>
  <c r="CD40" i="2"/>
  <c r="CD62" i="2"/>
  <c r="CD124" i="2"/>
  <c r="CD160" i="2"/>
  <c r="CD195" i="2"/>
  <c r="CD127" i="2"/>
  <c r="CD9" i="2"/>
  <c r="CD166" i="2"/>
  <c r="CD96" i="2"/>
  <c r="CD151" i="2"/>
  <c r="CD38" i="2"/>
  <c r="CD26" i="2"/>
  <c r="CD81" i="2"/>
  <c r="CD164" i="2"/>
  <c r="CD29" i="2"/>
  <c r="CD31" i="2"/>
  <c r="CD161" i="2"/>
  <c r="CD190" i="2"/>
  <c r="CD87" i="2"/>
  <c r="CD7" i="2"/>
  <c r="CD76" i="2"/>
  <c r="CD136" i="2"/>
  <c r="CD34" i="2"/>
  <c r="CD175" i="2"/>
  <c r="CD66" i="2"/>
  <c r="CD134" i="2"/>
  <c r="CD58" i="2"/>
  <c r="CD56" i="2"/>
  <c r="CD185" i="2"/>
  <c r="CD198" i="2"/>
  <c r="CD49" i="2"/>
  <c r="CD78" i="2"/>
  <c r="CD94" i="2"/>
  <c r="CD69" i="2"/>
  <c r="CD99" i="2"/>
  <c r="CD108" i="2"/>
  <c r="CD51" i="2"/>
  <c r="CD82" i="2"/>
  <c r="CD84" i="2"/>
  <c r="CD95" i="2"/>
  <c r="CD53" i="2"/>
  <c r="CD24" i="2"/>
  <c r="CD137" i="2"/>
  <c r="CD119" i="2"/>
  <c r="CD4" i="2"/>
  <c r="CD72" i="2"/>
  <c r="CD173" i="2"/>
  <c r="CD13" i="2"/>
  <c r="CD102" i="2"/>
  <c r="CD11" i="2"/>
  <c r="CD39" i="2"/>
  <c r="CD3" i="2"/>
  <c r="C9" i="4" s="1"/>
  <c r="E9" i="4" s="1"/>
  <c r="F9" i="4" s="1"/>
  <c r="G9" i="4" s="1"/>
  <c r="L9" i="4" s="1"/>
  <c r="CD176" i="2"/>
  <c r="CD194" i="2"/>
  <c r="CD77" i="2"/>
  <c r="CD169" i="2"/>
  <c r="CD153" i="2"/>
  <c r="CD159" i="2"/>
  <c r="CD200" i="2"/>
  <c r="CD170" i="2"/>
  <c r="CD188" i="2"/>
  <c r="CD163" i="2"/>
  <c r="CD41" i="2"/>
  <c r="CD59" i="2"/>
  <c r="CD118" i="2"/>
  <c r="CD97" i="2"/>
  <c r="CD57" i="2"/>
  <c r="CD154" i="2"/>
  <c r="CD103" i="2"/>
  <c r="CD20" i="2"/>
  <c r="CD165" i="2"/>
  <c r="CD129" i="2"/>
  <c r="CD115" i="2"/>
  <c r="CD147" i="2"/>
  <c r="CD70" i="2"/>
  <c r="CD132" i="2"/>
  <c r="CD186" i="2"/>
  <c r="CD101" i="2"/>
  <c r="CD93" i="2"/>
  <c r="CD54" i="2"/>
  <c r="CD71" i="2"/>
  <c r="CD202" i="2"/>
  <c r="CD189" i="2"/>
  <c r="CD16" i="2"/>
  <c r="CD116" i="2"/>
  <c r="CD139" i="2"/>
  <c r="CD117" i="2"/>
  <c r="CD63" i="2"/>
  <c r="CD25" i="2"/>
  <c r="CD67" i="2"/>
  <c r="CD150" i="2"/>
  <c r="CD6" i="2"/>
  <c r="CD104" i="2"/>
  <c r="CD191" i="2"/>
  <c r="CD43" i="2"/>
  <c r="CD109" i="2"/>
  <c r="CD130" i="2"/>
  <c r="CD61" i="2"/>
  <c r="CD140" i="2"/>
  <c r="CD148" i="2"/>
  <c r="CD138" i="2"/>
  <c r="CD45" i="2"/>
  <c r="CD12" i="2"/>
  <c r="CD98" i="2"/>
  <c r="CD149" i="2"/>
  <c r="CD162" i="2"/>
  <c r="CD80" i="2"/>
  <c r="CD35" i="2"/>
  <c r="CD196" i="2"/>
  <c r="CD110" i="2"/>
  <c r="CD48" i="2"/>
  <c r="CD144" i="2"/>
  <c r="CD121" i="2"/>
  <c r="CD146" i="2"/>
  <c r="CD192" i="2"/>
  <c r="CD113" i="2"/>
  <c r="CD86" i="2"/>
  <c r="CD18" i="2"/>
  <c r="CD122" i="2"/>
  <c r="CD28" i="2"/>
  <c r="CD19" i="2"/>
  <c r="CD21" i="2"/>
  <c r="CD65" i="2"/>
  <c r="CD64" i="2"/>
  <c r="CD32" i="2"/>
  <c r="CD74" i="2"/>
  <c r="CD42" i="2"/>
  <c r="CD89" i="2"/>
  <c r="CD23" i="2"/>
  <c r="CD107" i="2"/>
  <c r="CD187" i="2"/>
  <c r="CD111" i="2"/>
  <c r="CD197" i="2"/>
  <c r="CD90" i="2"/>
  <c r="CD182" i="2"/>
  <c r="CD55" i="2"/>
  <c r="CD167" i="2"/>
  <c r="CD36" i="2"/>
  <c r="CD10" i="2"/>
  <c r="CD174" i="2"/>
  <c r="CD133" i="2"/>
  <c r="CD183" i="2"/>
  <c r="CD33" i="2"/>
  <c r="CD143" i="2"/>
  <c r="CD91" i="2"/>
  <c r="CD15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<sst xmlns="http://schemas.openxmlformats.org/spreadsheetml/2006/main" count="1173" uniqueCount="324">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</sst>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2.5269872033657084</c:v>
                </c:pt>
                <c:pt idx="2">
                  <c:v>3.0704150117724631</c:v>
                </c:pt>
                <c:pt idx="3">
                  <c:v>3.7311491175114622</c:v>
                </c:pt>
                <c:pt idx="4">
                  <c:v>4.5346018008977769</c:v>
                </c:pt>
                <c:pt idx="5">
                  <c:v>5.5117087428808444</c:v>
                </c:pt>
                <c:pt idx="6">
                  <c:v>6.700133244646068</c:v>
                </c:pt>
                <c:pt idx="7">
                  <c:v>8.1457337386166611</c:v>
                </c:pt>
                <c:pt idx="8">
                  <c:v>9.9043523069348272</c:v>
                </c:pt>
                <c:pt idx="9">
                  <c:v>12.043994605469051</c:v>
                </c:pt>
                <c:pt idx="10">
                  <c:v>14.647487065976454</c:v>
                </c:pt>
                <c:pt idx="11">
                  <c:v>17.815716132386203</c:v>
                </c:pt>
                <c:pt idx="12">
                  <c:v>21.671577331581219</c:v>
                </c:pt>
                <c:pt idx="13">
                  <c:v>26.364790103183779</c:v>
                </c:pt>
                <c:pt idx="14">
                  <c:v>32.077768638490888</c:v>
                </c:pt>
                <c:pt idx="15">
                  <c:v>39.03278087579735</c:v>
                </c:pt>
                <c:pt idx="16">
                  <c:v>47.500678940945996</c:v>
                </c:pt>
                <c:pt idx="17">
                  <c:v>57.811546751396016</c:v>
                </c:pt>
                <c:pt idx="18">
                  <c:v>70.367686715095942</c:v>
                </c:pt>
                <c:pt idx="19">
                  <c:v>85.659460500313287</c:v>
                </c:pt>
                <c:pt idx="20">
                  <c:v>104.28461245280988</c:v>
                </c:pt>
                <c:pt idx="21">
                  <c:v>84.464894871217268</c:v>
                </c:pt>
                <c:pt idx="22">
                  <c:v>102.14680795061109</c:v>
                </c:pt>
                <c:pt idx="23">
                  <c:v>119.7527795193747</c:v>
                </c:pt>
                <c:pt idx="24">
                  <c:v>137.29557860666611</c:v>
                </c:pt>
                <c:pt idx="25">
                  <c:v>154.78442729853825</c:v>
                </c:pt>
                <c:pt idx="26">
                  <c:v>172.22628590712233</c:v>
                </c:pt>
                <c:pt idx="27">
                  <c:v>189.62658619699673</c:v>
                </c:pt>
                <c:pt idx="28">
                  <c:v>206.98967982954628</c:v>
                </c:pt>
                <c:pt idx="29">
                  <c:v>224.31912779503833</c:v>
                </c:pt>
                <c:pt idx="30">
                  <c:v>241.61789541835174</c:v>
                </c:pt>
                <c:pt idx="31">
                  <c:v>182.24941629080749</c:v>
                </c:pt>
                <c:pt idx="32">
                  <c:v>196.47082163446908</c:v>
                </c:pt>
                <c:pt idx="33">
                  <c:v>210.66832681499406</c:v>
                </c:pt>
                <c:pt idx="34">
                  <c:v>224.84376997057768</c:v>
                </c:pt>
                <c:pt idx="35">
                  <c:v>238.99873834931921</c:v>
                </c:pt>
                <c:pt idx="36">
                  <c:v>253.13461570632361</c:v>
                </c:pt>
                <c:pt idx="37">
                  <c:v>267.25261854381961</c:v>
                </c:pt>
                <c:pt idx="38">
                  <c:v>281.35382428342695</c:v>
                </c:pt>
                <c:pt idx="39">
                  <c:v>295.43919348931161</c:v>
                </c:pt>
                <c:pt idx="40">
                  <c:v>309.50958762804532</c:v>
                </c:pt>
                <c:pt idx="41">
                  <c:v>246.85427908940071</c:v>
                </c:pt>
                <c:pt idx="42">
                  <c:v>257.31954013248077</c:v>
                </c:pt>
                <c:pt idx="43">
                  <c:v>267.77517870928619</c:v>
                </c:pt>
                <c:pt idx="44">
                  <c:v>278.22162375497288</c:v>
                </c:pt>
                <c:pt idx="45">
                  <c:v>288.6592693411352</c:v>
                </c:pt>
                <c:pt idx="46">
                  <c:v>299.08847869495401</c:v>
                </c:pt>
                <c:pt idx="47">
                  <c:v>309.50958762804532</c:v>
                </c:pt>
                <c:pt idx="48">
                  <c:v>319.92290747907697</c:v>
                </c:pt>
                <c:pt idx="49">
                  <c:v>330.32872765301573</c:v>
                </c:pt>
                <c:pt idx="50">
                  <c:v>340.72731782352457</c:v>
                </c:pt>
                <c:pt idx="51">
                  <c:v>294.57016829909111</c:v>
                </c:pt>
                <c:pt idx="52">
                  <c:v>302.21564730396659</c:v>
                </c:pt>
                <c:pt idx="53">
                  <c:v>309.85682211726339</c:v>
                </c:pt>
                <c:pt idx="54">
                  <c:v>317.493813958099</c:v>
                </c:pt>
                <c:pt idx="55">
                  <c:v>325.1267377323847</c:v>
                </c:pt>
                <c:pt idx="56">
                  <c:v>332.75570250539596</c:v>
                </c:pt>
                <c:pt idx="57">
                  <c:v>340.38081192870806</c:v>
                </c:pt>
                <c:pt idx="58">
                  <c:v>348.00216462685376</c:v>
                </c:pt>
                <c:pt idx="59">
                  <c:v>355.61985454831506</c:v>
                </c:pt>
                <c:pt idx="60">
                  <c:v>363.2339712848547</c:v>
                </c:pt>
                <c:pt idx="61">
                  <c:v>334.14236984380835</c:v>
                </c:pt>
                <c:pt idx="62">
                  <c:v>339.68777684695186</c:v>
                </c:pt>
                <c:pt idx="63">
                  <c:v>345.23119228214608</c:v>
                </c:pt>
                <c:pt idx="64">
                  <c:v>350.77265267907933</c:v>
                </c:pt>
                <c:pt idx="65">
                  <c:v>356.31219331771285</c:v>
                </c:pt>
                <c:pt idx="66">
                  <c:v>361.84984829023819</c:v>
                </c:pt>
                <c:pt idx="67">
                  <c:v>367.38565055904047</c:v>
                </c:pt>
                <c:pt idx="68">
                  <c:v>372.91963201098366</c:v>
                </c:pt>
                <c:pt idx="69">
                  <c:v>378.45182350830129</c:v>
                </c:pt>
                <c:pt idx="70">
                  <c:v>383.98225493635567</c:v>
                </c:pt>
                <c:pt idx="71">
                  <c:v>360.6386457043447</c:v>
                </c:pt>
                <c:pt idx="72">
                  <c:v>364.96396296815789</c:v>
                </c:pt>
                <c:pt idx="73">
                  <c:v>369.28816047831486</c:v>
                </c:pt>
                <c:pt idx="74">
                  <c:v>373.61125321420656</c:v>
                </c:pt>
                <c:pt idx="75">
                  <c:v>377.93325577983632</c:v>
                </c:pt>
                <c:pt idx="76">
                  <c:v>382.25418241750964</c:v>
                </c:pt>
                <c:pt idx="77">
                  <c:v>386.57404702087359</c:v>
                </c:pt>
                <c:pt idx="78">
                  <c:v>390.89286314734119</c:v>
                </c:pt>
                <c:pt idx="79">
                  <c:v>395.21064402993801</c:v>
                </c:pt>
                <c:pt idx="80">
                  <c:v>399.52740258860331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2.5822836422111366</c:v>
                </c:pt>
                <c:pt idx="2">
                  <c:v>3.0918035815284672</c:v>
                </c:pt>
                <c:pt idx="3">
                  <c:v>3.7022337622707653</c:v>
                </c:pt>
                <c:pt idx="4">
                  <c:v>4.4336295362791462</c:v>
                </c:pt>
                <c:pt idx="5">
                  <c:v>5.3100452071463202</c:v>
                </c:pt>
                <c:pt idx="6">
                  <c:v>6.3603338288932347</c:v>
                </c:pt>
                <c:pt idx="7">
                  <c:v>7.6191074146970825</c:v>
                </c:pt>
                <c:pt idx="8">
                  <c:v>9.127889810760573</c:v>
                </c:pt>
                <c:pt idx="9">
                  <c:v>10.93650099145758</c:v>
                </c:pt>
                <c:pt idx="10">
                  <c:v>13.104719346021051</c:v>
                </c:pt>
                <c:pt idx="11">
                  <c:v>15.70427791998471</c:v>
                </c:pt>
                <c:pt idx="12">
                  <c:v>18.82126186594877</c:v>
                </c:pt>
                <c:pt idx="13">
                  <c:v>22.558987932416557</c:v>
                </c:pt>
                <c:pt idx="14">
                  <c:v>27.041463138816312</c:v>
                </c:pt>
                <c:pt idx="15">
                  <c:v>32.417539405558351</c:v>
                </c:pt>
                <c:pt idx="16">
                  <c:v>38.865904499125939</c:v>
                </c:pt>
                <c:pt idx="17">
                  <c:v>46.601078018602493</c:v>
                </c:pt>
                <c:pt idx="18">
                  <c:v>55.880615259949991</c:v>
                </c:pt>
                <c:pt idx="19">
                  <c:v>67.013762812651535</c:v>
                </c:pt>
                <c:pt idx="20">
                  <c:v>80.371859071508723</c:v>
                </c:pt>
                <c:pt idx="21">
                  <c:v>92.079685303063741</c:v>
                </c:pt>
                <c:pt idx="22">
                  <c:v>103.75026384253761</c:v>
                </c:pt>
                <c:pt idx="23">
                  <c:v>115.38838327810811</c:v>
                </c:pt>
                <c:pt idx="24">
                  <c:v>126.99778389938218</c:v>
                </c:pt>
                <c:pt idx="25">
                  <c:v>138.5814643645906</c:v>
                </c:pt>
                <c:pt idx="26">
                  <c:v>150.14187991349721</c:v>
                </c:pt>
                <c:pt idx="27">
                  <c:v>161.68107607004245</c:v>
                </c:pt>
                <c:pt idx="28">
                  <c:v>173.2007820387752</c:v>
                </c:pt>
                <c:pt idx="29">
                  <c:v>184.70247787730145</c:v>
                </c:pt>
                <c:pt idx="30">
                  <c:v>196.18744401776067</c:v>
                </c:pt>
                <c:pt idx="31">
                  <c:v>158.20312733333307</c:v>
                </c:pt>
                <c:pt idx="32">
                  <c:v>173.2007820387752</c:v>
                </c:pt>
                <c:pt idx="33">
                  <c:v>188.16790577922811</c:v>
                </c:pt>
                <c:pt idx="34">
                  <c:v>203.1072700915098</c:v>
                </c:pt>
                <c:pt idx="35">
                  <c:v>218.02120503058447</c:v>
                </c:pt>
                <c:pt idx="36">
                  <c:v>232.91169554767978</c:v>
                </c:pt>
                <c:pt idx="37">
                  <c:v>247.78045187906761</c:v>
                </c:pt>
                <c:pt idx="38">
                  <c:v>262.62896212559764</c:v>
                </c:pt>
                <c:pt idx="39">
                  <c:v>277.4585323020433</c:v>
                </c:pt>
                <c:pt idx="40">
                  <c:v>292.27031736625901</c:v>
                </c:pt>
                <c:pt idx="41">
                  <c:v>231.27846408448477</c:v>
                </c:pt>
                <c:pt idx="42">
                  <c:v>246.33075522558087</c:v>
                </c:pt>
                <c:pt idx="43">
                  <c:v>261.36216312685815</c:v>
                </c:pt>
                <c:pt idx="44">
                  <c:v>276.37405808267027</c:v>
                </c:pt>
                <c:pt idx="45">
                  <c:v>291.36764931760484</c:v>
                </c:pt>
                <c:pt idx="46">
                  <c:v>306.34401140957999</c:v>
                </c:pt>
                <c:pt idx="47">
                  <c:v>321.30410527157443</c:v>
                </c:pt>
                <c:pt idx="48">
                  <c:v>336.24879501887335</c:v>
                </c:pt>
                <c:pt idx="49">
                  <c:v>351.17886167939031</c:v>
                </c:pt>
                <c:pt idx="50">
                  <c:v>366.0950144497308</c:v>
                </c:pt>
                <c:pt idx="51">
                  <c:v>304.54051042997588</c:v>
                </c:pt>
                <c:pt idx="52">
                  <c:v>318.60163823832028</c:v>
                </c:pt>
                <c:pt idx="53">
                  <c:v>332.64903051637594</c:v>
                </c:pt>
                <c:pt idx="54">
                  <c:v>346.68334903435334</c:v>
                </c:pt>
                <c:pt idx="55">
                  <c:v>360.70519760433928</c:v>
                </c:pt>
                <c:pt idx="56">
                  <c:v>374.71512925947081</c:v>
                </c:pt>
                <c:pt idx="57">
                  <c:v>388.71365230312949</c:v>
                </c:pt>
                <c:pt idx="58">
                  <c:v>402.70123544112147</c:v>
                </c:pt>
                <c:pt idx="59">
                  <c:v>416.67831216352187</c:v>
                </c:pt>
                <c:pt idx="60">
                  <c:v>430.64528450788265</c:v>
                </c:pt>
                <c:pt idx="61">
                  <c:v>367.89123357271313</c:v>
                </c:pt>
                <c:pt idx="62">
                  <c:v>380.45946570848565</c:v>
                </c:pt>
                <c:pt idx="63">
                  <c:v>393.01866845402577</c:v>
                </c:pt>
                <c:pt idx="64">
                  <c:v>405.56917103469505</c:v>
                </c:pt>
                <c:pt idx="65">
                  <c:v>418.11128063558346</c:v>
                </c:pt>
                <c:pt idx="66">
                  <c:v>430.64528450788265</c:v>
                </c:pt>
                <c:pt idx="67">
                  <c:v>443.17145181723487</c:v>
                </c:pt>
                <c:pt idx="68">
                  <c:v>455.69003527221383</c:v>
                </c:pt>
                <c:pt idx="69">
                  <c:v>468.2012725645348</c:v>
                </c:pt>
                <c:pt idx="70">
                  <c:v>480.70538764731236</c:v>
                </c:pt>
                <c:pt idx="71">
                  <c:v>416.49918364114723</c:v>
                </c:pt>
                <c:pt idx="72">
                  <c:v>427.42301388626561</c:v>
                </c:pt>
                <c:pt idx="73">
                  <c:v>438.34084207795399</c:v>
                </c:pt>
                <c:pt idx="74">
                  <c:v>449.25283880789584</c:v>
                </c:pt>
                <c:pt idx="75">
                  <c:v>460.15916570344893</c:v>
                </c:pt>
                <c:pt idx="76">
                  <c:v>471.05997610454256</c:v>
                </c:pt>
                <c:pt idx="77">
                  <c:v>481.95541567464835</c:v>
                </c:pt>
                <c:pt idx="78">
                  <c:v>492.84562295362895</c:v>
                </c:pt>
                <c:pt idx="79">
                  <c:v>503.73072985917673</c:v>
                </c:pt>
                <c:pt idx="80">
                  <c:v>514.61086214265617</c:v>
                </c:pt>
                <c:pt idx="81">
                  <c:v>449.61051233833058</c:v>
                </c:pt>
                <c:pt idx="82">
                  <c:v>459.62291917328093</c:v>
                </c:pt>
                <c:pt idx="83">
                  <c:v>469.63067067845628</c:v>
                </c:pt>
                <c:pt idx="84">
                  <c:v>479.63388006306371</c:v>
                </c:pt>
                <c:pt idx="85">
                  <c:v>489.63265542816293</c:v>
                </c:pt>
                <c:pt idx="86">
                  <c:v>499.62710009899524</c:v>
                </c:pt>
                <c:pt idx="87">
                  <c:v>509.61731292933717</c:v>
                </c:pt>
                <c:pt idx="88">
                  <c:v>519.60338858074385</c:v>
                </c:pt>
                <c:pt idx="89">
                  <c:v>529.58541777921175</c:v>
                </c:pt>
                <c:pt idx="90">
                  <c:v>539.56348755148258</c:v>
                </c:pt>
                <c:pt idx="91">
                  <c:v>473.38240056334757</c:v>
                </c:pt>
                <c:pt idx="92">
                  <c:v>482.13398547834157</c:v>
                </c:pt>
                <c:pt idx="93">
                  <c:v>490.88219577778835</c:v>
                </c:pt>
                <c:pt idx="94">
                  <c:v>499.62710009899524</c:v>
                </c:pt>
                <c:pt idx="95">
                  <c:v>508.36876447997906</c:v>
                </c:pt>
                <c:pt idx="96">
                  <c:v>517.10725250186999</c:v>
                </c:pt>
                <c:pt idx="97">
                  <c:v>525.84262542118893</c:v>
                </c:pt>
                <c:pt idx="98">
                  <c:v>534.5749422928759</c:v>
                </c:pt>
                <c:pt idx="99">
                  <c:v>543.30426008486347</c:v>
                </c:pt>
                <c:pt idx="100">
                  <c:v>552.03063378490026</c:v>
                </c:pt>
                <c:pt idx="101">
                  <c:v>484.99091160498875</c:v>
                </c:pt>
                <c:pt idx="102">
                  <c:v>492.84562295362889</c:v>
                </c:pt>
                <c:pt idx="103">
                  <c:v>500.69768075588422</c:v>
                </c:pt>
                <c:pt idx="104">
                  <c:v>508.54713250848937</c:v>
                </c:pt>
                <c:pt idx="105">
                  <c:v>516.3940241218703</c:v>
                </c:pt>
                <c:pt idx="106">
                  <c:v>524.23839999694667</c:v>
                </c:pt>
                <c:pt idx="107">
                  <c:v>532.08030309710091</c:v>
                </c:pt>
                <c:pt idx="108">
                  <c:v>539.91977501567965</c:v>
                </c:pt>
                <c:pt idx="109">
                  <c:v>547.7568560393737</c:v>
                </c:pt>
                <c:pt idx="110">
                  <c:v>555.59158520777862</c:v>
                </c:pt>
                <c:pt idx="111">
                  <c:v>492.66713643818213</c:v>
                </c:pt>
                <c:pt idx="112">
                  <c:v>499.2702290912755</c:v>
                </c:pt>
                <c:pt idx="113">
                  <c:v>505.87147293953808</c:v>
                </c:pt>
                <c:pt idx="114">
                  <c:v>512.47089552301202</c:v>
                </c:pt>
                <c:pt idx="115">
                  <c:v>519.06852361425251</c:v>
                </c:pt>
                <c:pt idx="116">
                  <c:v>525.66438324941225</c:v>
                </c:pt>
                <c:pt idx="117">
                  <c:v>532.25849975768642</c:v>
                </c:pt>
                <c:pt idx="118">
                  <c:v>538.85089778922168</c:v>
                </c:pt>
                <c:pt idx="119">
                  <c:v>545.4416013415871</c:v>
                </c:pt>
                <c:pt idx="120">
                  <c:v>552.03063378489958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0" zoomScale="80" zoomScaleNormal="80" workbookViewId="0">
      <selection activeCell="A88" sqref="A88:H94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43.5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36</v>
      </c>
      <c r="C9" s="32">
        <v>0.96840000000000004</v>
      </c>
      <c r="D9" s="33">
        <f t="shared" ref="D9:D18" si="0">C9*$C$5</f>
        <v>42.125399999999999</v>
      </c>
      <c r="E9" s="34">
        <v>30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10</v>
      </c>
      <c r="C10" s="32">
        <v>1.0460000000000001E-2</v>
      </c>
      <c r="D10" s="33">
        <f t="shared" si="0"/>
        <v>0.45501000000000003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5</v>
      </c>
      <c r="C11" s="32">
        <v>1.06E-2</v>
      </c>
      <c r="D11" s="33">
        <f t="shared" si="0"/>
        <v>0.46110000000000001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11</v>
      </c>
      <c r="C12" s="32">
        <v>1.06E-2</v>
      </c>
      <c r="D12" s="33">
        <f t="shared" si="0"/>
        <v>0.46110000000000001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1.0000600000000002</v>
      </c>
      <c r="D19" s="38">
        <f>SUM(D9:D18)</f>
        <v>43.502610000000004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Erreur : corrigez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12</v>
      </c>
      <c r="B36" s="60">
        <v>106</v>
      </c>
      <c r="C36" s="60">
        <v>1</v>
      </c>
      <c r="D36" s="60">
        <v>34</v>
      </c>
      <c r="E36" s="51"/>
      <c r="F36" s="51">
        <v>0.5</v>
      </c>
      <c r="G36" s="51">
        <v>0.5</v>
      </c>
      <c r="H36" s="51"/>
      <c r="I36" s="49">
        <f>IFERROR(B36/A36,"")</f>
        <v>8.8333333333333339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17</v>
      </c>
      <c r="B37" s="60">
        <v>176</v>
      </c>
      <c r="C37" s="60">
        <v>2</v>
      </c>
      <c r="D37" s="60">
        <v>43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20.8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22</v>
      </c>
      <c r="B38" s="60">
        <v>232</v>
      </c>
      <c r="C38" s="60">
        <v>3</v>
      </c>
      <c r="D38" s="60">
        <v>56</v>
      </c>
      <c r="E38" s="51">
        <v>0.3</v>
      </c>
      <c r="F38" s="51">
        <v>0.35</v>
      </c>
      <c r="G38" s="51">
        <v>0.35</v>
      </c>
      <c r="H38" s="51"/>
      <c r="I38" s="53">
        <f t="shared" si="1"/>
        <v>19.8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30</v>
      </c>
      <c r="B39" s="60">
        <v>309</v>
      </c>
      <c r="C39" s="60">
        <v>4</v>
      </c>
      <c r="D39" s="60">
        <v>309</v>
      </c>
      <c r="E39" s="51">
        <v>0.5</v>
      </c>
      <c r="F39" s="51">
        <v>0.25</v>
      </c>
      <c r="G39" s="51">
        <v>0.25</v>
      </c>
      <c r="H39" s="51"/>
      <c r="I39" s="49">
        <f t="shared" si="1"/>
        <v>16.625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Chêne-liège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Bouleau verruqueux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57</v>
      </c>
      <c r="C88" s="60">
        <v>1</v>
      </c>
      <c r="D88" s="60">
        <v>21</v>
      </c>
      <c r="E88" s="51"/>
      <c r="F88" s="51">
        <v>0.25</v>
      </c>
      <c r="G88" s="51">
        <v>0.25</v>
      </c>
      <c r="H88" s="87">
        <v>0.5</v>
      </c>
      <c r="I88" s="53">
        <f>IFERROR(B88/A88,"")</f>
        <v>2.85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135</v>
      </c>
      <c r="C89" s="60">
        <v>2</v>
      </c>
      <c r="D89" s="60">
        <v>42</v>
      </c>
      <c r="E89" s="51"/>
      <c r="F89" s="51">
        <v>0.25</v>
      </c>
      <c r="G89" s="51">
        <v>0.25</v>
      </c>
      <c r="H89" s="87">
        <v>0.5</v>
      </c>
      <c r="I89" s="53">
        <f t="shared" ref="I89:I107" si="3">IF(A89&lt;&gt;0,(B89-(B88-D88))/(A89-A88),"")</f>
        <v>9.9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v>174</v>
      </c>
      <c r="C90" s="60">
        <v>3</v>
      </c>
      <c r="D90" s="60">
        <v>42</v>
      </c>
      <c r="E90" s="87"/>
      <c r="F90" s="87"/>
      <c r="G90" s="87"/>
      <c r="H90" s="87"/>
      <c r="I90" s="53">
        <f t="shared" si="3"/>
        <v>8.1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v>192</v>
      </c>
      <c r="C91" s="60">
        <v>4</v>
      </c>
      <c r="D91" s="60">
        <v>31</v>
      </c>
      <c r="E91" s="87"/>
      <c r="F91" s="87"/>
      <c r="G91" s="87"/>
      <c r="H91" s="87"/>
      <c r="I91" s="53">
        <f t="shared" si="3"/>
        <v>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v>205</v>
      </c>
      <c r="C92" s="60">
        <v>5</v>
      </c>
      <c r="D92" s="60">
        <v>20</v>
      </c>
      <c r="E92" s="87"/>
      <c r="F92" s="87"/>
      <c r="G92" s="87"/>
      <c r="H92" s="87"/>
      <c r="I92" s="53">
        <f t="shared" si="3"/>
        <v>4.4000000000000004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v>217</v>
      </c>
      <c r="C93" s="60">
        <v>6</v>
      </c>
      <c r="D93" s="60">
        <v>16</v>
      </c>
      <c r="E93" s="87"/>
      <c r="F93" s="87"/>
      <c r="G93" s="87"/>
      <c r="H93" s="87"/>
      <c r="I93" s="53">
        <f t="shared" si="3"/>
        <v>3.2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f>213+13</f>
        <v>226</v>
      </c>
      <c r="C94" s="60">
        <v>7</v>
      </c>
      <c r="D94" s="60">
        <f>B94</f>
        <v>226</v>
      </c>
      <c r="E94" s="87"/>
      <c r="F94" s="87"/>
      <c r="G94" s="87"/>
      <c r="H94" s="87"/>
      <c r="I94" s="53">
        <f t="shared" si="3"/>
        <v>2.5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Chêne pédonculé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v>42</v>
      </c>
      <c r="C114" s="50">
        <v>1</v>
      </c>
      <c r="D114" s="60">
        <v>0</v>
      </c>
      <c r="E114" s="51"/>
      <c r="F114" s="51"/>
      <c r="G114" s="51"/>
      <c r="H114" s="51"/>
      <c r="I114" s="53">
        <f>IFERROR(B114/A114,"")</f>
        <v>2.1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f>76+D115</f>
        <v>105</v>
      </c>
      <c r="C115" s="50">
        <v>2</v>
      </c>
      <c r="D115" s="60">
        <v>29</v>
      </c>
      <c r="E115" s="51"/>
      <c r="F115" s="51"/>
      <c r="G115" s="51"/>
      <c r="H115" s="51">
        <v>1</v>
      </c>
      <c r="I115" s="53">
        <f t="shared" ref="I115:I133" si="4">IF(A115&lt;&gt;0,(B115-(B114-D114))/(A115-A114),"")</f>
        <v>6.3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f>116+D116</f>
        <v>158</v>
      </c>
      <c r="C116" s="50">
        <v>3</v>
      </c>
      <c r="D116" s="60">
        <v>42</v>
      </c>
      <c r="E116" s="51"/>
      <c r="F116" s="51">
        <v>0.5</v>
      </c>
      <c r="G116" s="51">
        <v>0.5</v>
      </c>
      <c r="H116" s="51"/>
      <c r="I116" s="53">
        <f t="shared" si="4"/>
        <v>8.1999999999999993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f>157+D117</f>
        <v>199</v>
      </c>
      <c r="C117" s="50">
        <v>4</v>
      </c>
      <c r="D117" s="60">
        <v>42</v>
      </c>
      <c r="E117" s="51"/>
      <c r="F117" s="51">
        <v>0.5</v>
      </c>
      <c r="G117" s="51">
        <v>0.5</v>
      </c>
      <c r="H117" s="51"/>
      <c r="I117" s="53">
        <f t="shared" si="4"/>
        <v>8.3000000000000007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f>193+D118</f>
        <v>235</v>
      </c>
      <c r="C118" s="50">
        <v>5</v>
      </c>
      <c r="D118" s="60">
        <v>42</v>
      </c>
      <c r="E118" s="51">
        <v>0.3</v>
      </c>
      <c r="F118" s="51">
        <v>0.7</v>
      </c>
      <c r="G118" s="51"/>
      <c r="H118" s="51"/>
      <c r="I118" s="53">
        <f t="shared" si="4"/>
        <v>7.8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f>221+D119</f>
        <v>263</v>
      </c>
      <c r="C119" s="50">
        <v>6</v>
      </c>
      <c r="D119" s="60">
        <v>42</v>
      </c>
      <c r="E119" s="51">
        <v>0.35</v>
      </c>
      <c r="F119" s="51">
        <v>0.65</v>
      </c>
      <c r="G119" s="51"/>
      <c r="H119" s="51"/>
      <c r="I119" s="53">
        <f t="shared" si="4"/>
        <v>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f>240+D120</f>
        <v>282</v>
      </c>
      <c r="C120" s="60">
        <v>7</v>
      </c>
      <c r="D120" s="60">
        <v>42</v>
      </c>
      <c r="E120" s="87">
        <v>0.4</v>
      </c>
      <c r="F120" s="87">
        <v>0.6</v>
      </c>
      <c r="G120" s="87"/>
      <c r="H120" s="87"/>
      <c r="I120" s="53">
        <f t="shared" si="4"/>
        <v>6.1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90</v>
      </c>
      <c r="B121" s="60">
        <f>254+D121</f>
        <v>296</v>
      </c>
      <c r="C121" s="60">
        <v>8</v>
      </c>
      <c r="D121" s="60">
        <v>42</v>
      </c>
      <c r="E121" s="87">
        <v>0.45</v>
      </c>
      <c r="F121" s="87">
        <v>0.55000000000000004</v>
      </c>
      <c r="G121" s="87"/>
      <c r="H121" s="87"/>
      <c r="I121" s="53">
        <f t="shared" si="4"/>
        <v>5.6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100</v>
      </c>
      <c r="B122" s="60">
        <f>261+D122</f>
        <v>303</v>
      </c>
      <c r="C122" s="60">
        <v>9</v>
      </c>
      <c r="D122" s="60">
        <v>42</v>
      </c>
      <c r="E122" s="87">
        <v>0.5</v>
      </c>
      <c r="F122" s="87">
        <v>0.5</v>
      </c>
      <c r="G122" s="87"/>
      <c r="H122" s="87"/>
      <c r="I122" s="53">
        <f t="shared" si="4"/>
        <v>4.9000000000000004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110</v>
      </c>
      <c r="B123" s="60">
        <f>266+D123</f>
        <v>305</v>
      </c>
      <c r="C123" s="60">
        <v>10</v>
      </c>
      <c r="D123" s="60">
        <v>39</v>
      </c>
      <c r="E123" s="87">
        <v>0.55000000000000004</v>
      </c>
      <c r="F123" s="87">
        <v>0.45</v>
      </c>
      <c r="G123" s="87"/>
      <c r="H123" s="87"/>
      <c r="I123" s="53">
        <f t="shared" si="4"/>
        <v>4.4000000000000004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120</v>
      </c>
      <c r="B124" s="60">
        <f>268+17+18</f>
        <v>303</v>
      </c>
      <c r="C124" s="60">
        <v>10</v>
      </c>
      <c r="D124" s="60">
        <f>B124</f>
        <v>303</v>
      </c>
      <c r="E124" s="87">
        <v>0.6</v>
      </c>
      <c r="F124" s="87">
        <v>0.4</v>
      </c>
      <c r="G124" s="87"/>
      <c r="H124" s="87"/>
      <c r="I124" s="53">
        <f t="shared" si="4"/>
        <v>3.7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Normal="100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Chêne-liège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Bouleau verruqueux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pédonculé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149.5086927376081</v>
      </c>
      <c r="T3" s="59">
        <f>IF('Données projet'!E9&gt;30,$R$33-$H$33,LOOKUP('Données projet'!$E$9,$A$3:$A$203,R3:R203)-LOOKUP('Données projet'!$E$9,$A$3:$A$203,$H$3:$H$203))</f>
        <v>364.59164590134498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0</v>
      </c>
      <c r="AO3" s="59">
        <f>IF('Données projet'!E10&gt;30,$AM$33-$H$33,LOOKUP('Données projet'!$E$10,$A$3:$A$203,AM3:AM203)-LOOKUP('Données projet'!$E$10,$A$3:$A$203,$H$3:$H$203))</f>
        <v>0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175.73034516698141</v>
      </c>
      <c r="BJ3" s="59">
        <f>IF('Données projet'!E11&gt;30,$BH$33-$H$33,LOOKUP('Données projet'!$E$11,$A$3:$A$203,BH3:BH203)-LOOKUP('Données projet'!$E$11,$A$3:$A$203,$H$3:$H$203))</f>
        <v>203.59461632821052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258.28817640749349</v>
      </c>
      <c r="CE3" s="59">
        <f>IF('Données projet'!E12&gt;30,$CC$33-$H$33,LOOKUP('Données projet'!$E$12,$A$3:$A$203,CC3:CC203)-LOOKUP('Données projet'!$E$12,$A$3:$A$203,$H$3:$H$203))</f>
        <v>158.16416492761954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8.8333333333333339</v>
      </c>
      <c r="N4" s="13">
        <f>IF('Données projet'!$A$36&gt;35,N3+M4-V3,IF(A4&lt;'Données projet'!$A$36,$K$205^A4,IF(A4='Données projet'!$A$36,'Données projet'!$B$36,N3+M4-V3)))</f>
        <v>1.4749438547769935</v>
      </c>
      <c r="O4" s="13">
        <f>N4*VLOOKUP('Données projet'!$B$9,Paramètres!$A$1:$I$89,3,0)*VLOOKUP('Données projet'!$B$9,Paramètres!$A$1:$I$89,5,0)</f>
        <v>0.88201642515664225</v>
      </c>
      <c r="P4" s="13">
        <f>EXP(-1.0587+0.8836*LN(O4)+0.284)</f>
        <v>0.4124537465701128</v>
      </c>
      <c r="Q4" s="20">
        <f t="shared" ref="Q4:Q34" si="2">(O4+P4)*0.475*44/12</f>
        <v>2.254535549090765</v>
      </c>
      <c r="R4" s="59">
        <f t="shared" si="0"/>
        <v>295.58786888242406</v>
      </c>
      <c r="S4" s="59">
        <f ca="1">AVERAGE(OFFSET($R$3,0,0,'Données projet'!$E$9+1,1))-AVERAGE(OFFSET($H$3,0,0,'Données projet'!$E$9+1,1))</f>
        <v>149.5086927376081</v>
      </c>
      <c r="T4" s="59">
        <f>$T$3</f>
        <v>364.59164590134498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>
        <f>AI4*VLOOKUP('Données projet'!$B$10,Paramètres!$A$1:$I$89,3,0)*VLOOKUP('Données projet'!$B$10,Paramètres!$A$1:$I$89,5,0)</f>
        <v>0</v>
      </c>
      <c r="AK4" s="13" t="e">
        <f>EXP(-1.0587+0.8836*LN(AJ4)+0.284)</f>
        <v>#NUM!</v>
      </c>
      <c r="AL4" s="20" t="e">
        <f t="shared" ref="AL4:AL67" si="4">(AJ4+AK4)*0.475*44/12</f>
        <v>#NUM!</v>
      </c>
      <c r="AM4" s="59" t="e">
        <f t="shared" ref="AM4:AM67" si="5">AL4+(AD4+AE4)*44/12</f>
        <v>#NUM!</v>
      </c>
      <c r="AN4" s="59">
        <f ca="1">AVERAGE(OFFSET($AM$3,0,0,'Données projet'!$E$10+1,1))-AVERAGE(OFFSET($H$3,0,0,'Données projet'!$E$10+1,1))</f>
        <v>0</v>
      </c>
      <c r="AO4" s="59">
        <f>$AO$3</f>
        <v>0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2.85</v>
      </c>
      <c r="BD4" s="12">
        <f>IF('Données projet'!$A$88&gt;35,BD3+BC4-BL3,IF(A4&lt;'Données projet'!$A$88,$BA$205^A4,IF(A4='Données projet'!$A$88,'Données projet'!$B$88,BD3+BC4-BL3)))</f>
        <v>1.2240347367580502</v>
      </c>
      <c r="BE4" s="13">
        <f>BD4*VLOOKUP('Données projet'!$B$11,Paramètres!$A$1:$I$89,3,0)*VLOOKUP('Données projet'!$B$11,Paramètres!$A$1:$I$89,5,0)</f>
        <v>0.99293697845813034</v>
      </c>
      <c r="BF4" s="13">
        <f>EXP(-1.0587+0.8836*LN(BE4)+0.284)</f>
        <v>0.45796476510112799</v>
      </c>
      <c r="BG4" s="20">
        <f t="shared" ref="BG4:BG67" si="7">(BE4+BF4)*0.475*44/12</f>
        <v>2.5269872033657084</v>
      </c>
      <c r="BH4" s="59">
        <f t="shared" ref="BH4:BH67" si="8">BG4+(AY4+AZ4)*44/12</f>
        <v>295.86032053669902</v>
      </c>
      <c r="BI4" s="59">
        <f ca="1">AVERAGE(OFFSET($BH$3,0,0,'Données projet'!$E$11+1,1))-AVERAGE(OFFSET($H$3,0,0,'Données projet'!$E$11+1,1))</f>
        <v>175.73034516698141</v>
      </c>
      <c r="BJ4" s="59">
        <f>$BJ$3</f>
        <v>203.59461632821052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2.1</v>
      </c>
      <c r="BY4" s="12">
        <f>IF('Données projet'!$A$114&gt;35,BY3+BX4-CG3,IF(A4&lt;'Données projet'!$A$114,$BV$205^A4,IF(A4='Données projet'!$A$114,'Données projet'!$B$114,BY3+BX4-CG3)))</f>
        <v>1.2054868146447177</v>
      </c>
      <c r="BZ4" s="13">
        <f>BY4*VLOOKUP('Données projet'!$B$12,Paramètres!$A$1:$I$89,3,0)*VLOOKUP('Données projet'!$B$12,Paramètres!$A$1:$I$89,5,0)</f>
        <v>1.0155020926567102</v>
      </c>
      <c r="CA4" s="13">
        <f>EXP(-1.0587+0.8836*LN(BZ4)+0.284)</f>
        <v>0.46714880239274614</v>
      </c>
      <c r="CB4" s="20">
        <f t="shared" ref="CB4:CB67" si="10">(BZ4+CA4)*0.475*44/12</f>
        <v>2.5822836422111366</v>
      </c>
      <c r="CC4" s="59">
        <f t="shared" ref="CC4:CC67" si="11">CB4+(BT4+BU4)*44/12</f>
        <v>295.91561697554442</v>
      </c>
      <c r="CD4" s="59">
        <f ca="1">AVERAGE(OFFSET($CC$3,0,0,'Données projet'!$E$12+1,1))-AVERAGE(OFFSET($H$3,0,0,'Données projet'!$E$12+1,1))</f>
        <v>258.28817640749349</v>
      </c>
      <c r="CE4" s="59">
        <f>$CE$3</f>
        <v>158.16416492761954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8.8333333333333339</v>
      </c>
      <c r="N5" s="13">
        <f>IF('Données projet'!$A$36&gt;35,N4+M5-V4,IF(A5&lt;'Données projet'!$A$36,$K$205^A5,IF(A5='Données projet'!$A$36,'Données projet'!$B$36,N4+M5-V4)))</f>
        <v>2.1754593747444169</v>
      </c>
      <c r="O5" s="13">
        <f>N5*VLOOKUP('Données projet'!$B$9,Paramètres!$A$1:$I$89,3,0)*VLOOKUP('Données projet'!$B$9,Paramètres!$A$1:$I$89,5,0)</f>
        <v>1.3009247060971614</v>
      </c>
      <c r="P5" s="13">
        <f t="shared" ref="P5:P68" si="33">EXP(-1.0587+0.8836*LN(O5)+0.284)</f>
        <v>0.58144049425293109</v>
      </c>
      <c r="Q5" s="20">
        <f t="shared" si="2"/>
        <v>3.2784527239430776</v>
      </c>
      <c r="R5" s="59">
        <f t="shared" si="0"/>
        <v>296.61178605727639</v>
      </c>
      <c r="S5" s="59">
        <f ca="1">AVERAGE(OFFSET($R$3,0,0,'Données projet'!$E$9+1,1))-AVERAGE(OFFSET($H$3,0,0,'Données projet'!$E$9+1,1))</f>
        <v>149.5086927376081</v>
      </c>
      <c r="T5" s="59">
        <f t="shared" ref="T5:T68" si="34">$T$3</f>
        <v>364.59164590134498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>
        <f>AI5*VLOOKUP('Données projet'!$B$10,Paramètres!$A$1:$I$89,3,0)*VLOOKUP('Données projet'!$B$10,Paramètres!$A$1:$I$89,5,0)</f>
        <v>0</v>
      </c>
      <c r="AK5" s="13" t="e">
        <f t="shared" ref="AK5:AK68" si="35">EXP(-1.0587+0.8836*LN(AJ5)+0.284)</f>
        <v>#NUM!</v>
      </c>
      <c r="AL5" s="20" t="e">
        <f t="shared" si="4"/>
        <v>#NUM!</v>
      </c>
      <c r="AM5" s="59" t="e">
        <f t="shared" si="5"/>
        <v>#NUM!</v>
      </c>
      <c r="AN5" s="59">
        <f ca="1">AVERAGE(OFFSET($AM$3,0,0,'Données projet'!$E$10+1,1))-AVERAGE(OFFSET($H$3,0,0,'Données projet'!$E$10+1,1))</f>
        <v>0</v>
      </c>
      <c r="AO5" s="59">
        <f t="shared" ref="AO5:AO68" si="36">$AO$3</f>
        <v>0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2.85</v>
      </c>
      <c r="BD5" s="12">
        <f>IF('Données projet'!$A$88&gt;35,BD4+BC5-BL4,IF(A5&lt;'Données projet'!$A$88,$BA$205^A5,IF(A5='Données projet'!$A$88,'Données projet'!$B$88,BD4+BC5-BL4)))</f>
        <v>1.4982610367903493</v>
      </c>
      <c r="BE5" s="13">
        <f>BD5*VLOOKUP('Données projet'!$B$11,Paramètres!$A$1:$I$89,3,0)*VLOOKUP('Données projet'!$B$11,Paramètres!$A$1:$I$89,5,0)</f>
        <v>1.2153893530443314</v>
      </c>
      <c r="BF5" s="13">
        <f t="shared" ref="BF5:BF68" si="37">EXP(-1.0587+0.8836*LN(BE5)+0.284)</f>
        <v>0.54752835706426006</v>
      </c>
      <c r="BG5" s="20">
        <f t="shared" si="7"/>
        <v>3.0704150117724631</v>
      </c>
      <c r="BH5" s="59">
        <f t="shared" si="8"/>
        <v>296.40374834510578</v>
      </c>
      <c r="BI5" s="59">
        <f ca="1">AVERAGE(OFFSET($BH$3,0,0,'Données projet'!$E$11+1,1))-AVERAGE(OFFSET($H$3,0,0,'Données projet'!$E$11+1,1))</f>
        <v>175.73034516698141</v>
      </c>
      <c r="BJ5" s="59">
        <f t="shared" ref="BJ5:BJ68" si="38">$BJ$3</f>
        <v>203.59461632821052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2.1</v>
      </c>
      <c r="BY5" s="12">
        <f>IF('Données projet'!$A$114&gt;35,BY4+BX5-CG4,IF(A5&lt;'Données projet'!$A$114,$BV$205^A5,IF(A5='Données projet'!$A$114,'Données projet'!$B$114,BY4+BX5-CG4)))</f>
        <v>1.4531984602822681</v>
      </c>
      <c r="BZ5" s="13">
        <f>BY5*VLOOKUP('Données projet'!$B$12,Paramètres!$A$1:$I$89,3,0)*VLOOKUP('Données projet'!$B$12,Paramètres!$A$1:$I$89,5,0)</f>
        <v>1.2241743829417828</v>
      </c>
      <c r="CA5" s="13">
        <f t="shared" ref="CA5:CA68" si="39">EXP(-1.0587+0.8836*LN(BZ5)+0.284)</f>
        <v>0.55102384568700224</v>
      </c>
      <c r="CB5" s="20">
        <f t="shared" si="10"/>
        <v>3.0918035815284672</v>
      </c>
      <c r="CC5" s="59">
        <f t="shared" si="11"/>
        <v>296.42513691486181</v>
      </c>
      <c r="CD5" s="59">
        <f ca="1">AVERAGE(OFFSET($CC$3,0,0,'Données projet'!$E$12+1,1))-AVERAGE(OFFSET($H$3,0,0,'Données projet'!$E$12+1,1))</f>
        <v>258.28817640749349</v>
      </c>
      <c r="CE5" s="59">
        <f t="shared" ref="CE5:CE68" si="40">$CE$3</f>
        <v>158.16416492761954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8.8333333333333339</v>
      </c>
      <c r="N6" s="13">
        <f>IF('Données projet'!$A$36&gt;35,N5+M6-V5,IF(A6&lt;'Données projet'!$A$36,$K$205^A6,IF(A6='Données projet'!$A$36,'Données projet'!$B$36,N5+M6-V5)))</f>
        <v>3.2086804360962784</v>
      </c>
      <c r="O6" s="13">
        <f>N6*VLOOKUP('Données projet'!$B$9,Paramètres!$A$1:$I$89,3,0)*VLOOKUP('Données projet'!$B$9,Paramètres!$A$1:$I$89,5,0)</f>
        <v>1.9187909007855746</v>
      </c>
      <c r="P6" s="13">
        <f t="shared" si="33"/>
        <v>0.81966293473739615</v>
      </c>
      <c r="Q6" s="20">
        <f t="shared" si="2"/>
        <v>4.7694737635358404</v>
      </c>
      <c r="R6" s="59">
        <f t="shared" si="0"/>
        <v>298.10280709686913</v>
      </c>
      <c r="S6" s="59">
        <f ca="1">AVERAGE(OFFSET($R$3,0,0,'Données projet'!$E$9+1,1))-AVERAGE(OFFSET($H$3,0,0,'Données projet'!$E$9+1,1))</f>
        <v>149.5086927376081</v>
      </c>
      <c r="T6" s="59">
        <f t="shared" si="34"/>
        <v>364.59164590134498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>
        <f>AI6*VLOOKUP('Données projet'!$B$10,Paramètres!$A$1:$I$89,3,0)*VLOOKUP('Données projet'!$B$10,Paramètres!$A$1:$I$89,5,0)</f>
        <v>0</v>
      </c>
      <c r="AK6" s="13" t="e">
        <f t="shared" si="35"/>
        <v>#NUM!</v>
      </c>
      <c r="AL6" s="20" t="e">
        <f t="shared" si="4"/>
        <v>#NUM!</v>
      </c>
      <c r="AM6" s="59" t="e">
        <f t="shared" si="5"/>
        <v>#NUM!</v>
      </c>
      <c r="AN6" s="59">
        <f ca="1">AVERAGE(OFFSET($AM$3,0,0,'Données projet'!$E$10+1,1))-AVERAGE(OFFSET($H$3,0,0,'Données projet'!$E$10+1,1))</f>
        <v>0</v>
      </c>
      <c r="AO6" s="59">
        <f t="shared" si="36"/>
        <v>0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2.85</v>
      </c>
      <c r="BD6" s="12">
        <f>IF('Données projet'!$A$88&gt;35,BD5+BC6-BL5,IF(A6&lt;'Données projet'!$A$88,$BA$205^A6,IF(A6='Données projet'!$A$88,'Données projet'!$B$88,BD5+BC6-BL5)))</f>
        <v>1.8339235537625185</v>
      </c>
      <c r="BE6" s="13">
        <f>BD6*VLOOKUP('Données projet'!$B$11,Paramètres!$A$1:$I$89,3,0)*VLOOKUP('Données projet'!$B$11,Paramètres!$A$1:$I$89,5,0)</f>
        <v>1.487678786812155</v>
      </c>
      <c r="BF6" s="13">
        <f t="shared" si="37"/>
        <v>0.65460778783557427</v>
      </c>
      <c r="BG6" s="20">
        <f t="shared" si="7"/>
        <v>3.7311491175114622</v>
      </c>
      <c r="BH6" s="59">
        <f t="shared" si="8"/>
        <v>297.06448245084476</v>
      </c>
      <c r="BI6" s="59">
        <f ca="1">AVERAGE(OFFSET($BH$3,0,0,'Données projet'!$E$11+1,1))-AVERAGE(OFFSET($H$3,0,0,'Données projet'!$E$11+1,1))</f>
        <v>175.73034516698141</v>
      </c>
      <c r="BJ6" s="59">
        <f t="shared" si="38"/>
        <v>203.59461632821052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2.1</v>
      </c>
      <c r="BY6" s="12">
        <f>IF('Données projet'!$A$114&gt;35,BY5+BX6-CG5,IF(A6&lt;'Données projet'!$A$114,$BV$205^A6,IF(A6='Données projet'!$A$114,'Données projet'!$B$114,BY5+BX6-CG5)))</f>
        <v>1.7518115829322798</v>
      </c>
      <c r="BZ6" s="13">
        <f>BY6*VLOOKUP('Données projet'!$B$12,Paramètres!$A$1:$I$89,3,0)*VLOOKUP('Données projet'!$B$12,Paramètres!$A$1:$I$89,5,0)</f>
        <v>1.4757260774621526</v>
      </c>
      <c r="CA6" s="13">
        <f t="shared" si="39"/>
        <v>0.64995837934402878</v>
      </c>
      <c r="CB6" s="20">
        <f t="shared" si="10"/>
        <v>3.7022337622707653</v>
      </c>
      <c r="CC6" s="59">
        <f t="shared" si="11"/>
        <v>297.03556709560405</v>
      </c>
      <c r="CD6" s="59">
        <f ca="1">AVERAGE(OFFSET($CC$3,0,0,'Données projet'!$E$12+1,1))-AVERAGE(OFFSET($H$3,0,0,'Données projet'!$E$12+1,1))</f>
        <v>258.28817640749349</v>
      </c>
      <c r="CE6" s="59">
        <f t="shared" si="40"/>
        <v>158.16416492761954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8.8333333333333339</v>
      </c>
      <c r="N7" s="13">
        <f>IF('Données projet'!$A$36&gt;35,N6+M7-V6,IF(A7&lt;'Données projet'!$A$36,$K$205^A7,IF(A7='Données projet'!$A$36,'Données projet'!$B$36,N6+M7-V6)))</f>
        <v>4.7326234911633689</v>
      </c>
      <c r="O7" s="13">
        <f>N7*VLOOKUP('Données projet'!$B$9,Paramètres!$A$1:$I$89,3,0)*VLOOKUP('Données projet'!$B$9,Paramètres!$A$1:$I$89,5,0)</f>
        <v>2.8301088477156946</v>
      </c>
      <c r="P7" s="13">
        <f t="shared" si="33"/>
        <v>1.1554876779704684</v>
      </c>
      <c r="Q7" s="20">
        <f t="shared" si="2"/>
        <v>6.9415806155700679</v>
      </c>
      <c r="R7" s="59">
        <f t="shared" si="0"/>
        <v>300.27491394890336</v>
      </c>
      <c r="S7" s="59">
        <f ca="1">AVERAGE(OFFSET($R$3,0,0,'Données projet'!$E$9+1,1))-AVERAGE(OFFSET($H$3,0,0,'Données projet'!$E$9+1,1))</f>
        <v>149.5086927376081</v>
      </c>
      <c r="T7" s="59">
        <f t="shared" si="34"/>
        <v>364.59164590134498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>
        <f>AI7*VLOOKUP('Données projet'!$B$10,Paramètres!$A$1:$I$89,3,0)*VLOOKUP('Données projet'!$B$10,Paramètres!$A$1:$I$89,5,0)</f>
        <v>0</v>
      </c>
      <c r="AK7" s="13" t="e">
        <f t="shared" si="35"/>
        <v>#NUM!</v>
      </c>
      <c r="AL7" s="20" t="e">
        <f t="shared" si="4"/>
        <v>#NUM!</v>
      </c>
      <c r="AM7" s="59" t="e">
        <f t="shared" si="5"/>
        <v>#NUM!</v>
      </c>
      <c r="AN7" s="59">
        <f ca="1">AVERAGE(OFFSET($AM$3,0,0,'Données projet'!$E$10+1,1))-AVERAGE(OFFSET($H$3,0,0,'Données projet'!$E$10+1,1))</f>
        <v>0</v>
      </c>
      <c r="AO7" s="59">
        <f t="shared" si="36"/>
        <v>0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2.85</v>
      </c>
      <c r="BD7" s="12">
        <f>IF('Données projet'!$A$88&gt;35,BD6+BC7-BL6,IF(A7&lt;'Données projet'!$A$88,$BA$205^A7,IF(A7='Données projet'!$A$88,'Données projet'!$B$88,BD6+BC7-BL6)))</f>
        <v>2.2447861343640922</v>
      </c>
      <c r="BE7" s="13">
        <f>BD7*VLOOKUP('Données projet'!$B$11,Paramètres!$A$1:$I$89,3,0)*VLOOKUP('Données projet'!$B$11,Paramètres!$A$1:$I$89,5,0)</f>
        <v>1.8209705121961519</v>
      </c>
      <c r="BF7" s="13">
        <f t="shared" si="37"/>
        <v>0.7826286079365431</v>
      </c>
      <c r="BG7" s="20">
        <f t="shared" si="7"/>
        <v>4.5346018008977769</v>
      </c>
      <c r="BH7" s="59">
        <f t="shared" si="8"/>
        <v>297.86793513423112</v>
      </c>
      <c r="BI7" s="59">
        <f ca="1">AVERAGE(OFFSET($BH$3,0,0,'Données projet'!$E$11+1,1))-AVERAGE(OFFSET($H$3,0,0,'Données projet'!$E$11+1,1))</f>
        <v>175.73034516698141</v>
      </c>
      <c r="BJ7" s="59">
        <f t="shared" si="38"/>
        <v>203.59461632821052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2.1</v>
      </c>
      <c r="BY7" s="12">
        <f>IF('Données projet'!$A$114&gt;35,BY6+BX7-CG6,IF(A7&lt;'Données projet'!$A$114,$BV$205^A7,IF(A7='Données projet'!$A$114,'Données projet'!$B$114,BY6+BX7-CG6)))</f>
        <v>2.1117857649667546</v>
      </c>
      <c r="BZ7" s="13">
        <f>BY7*VLOOKUP('Données projet'!$B$12,Paramètres!$A$1:$I$89,3,0)*VLOOKUP('Données projet'!$B$12,Paramètres!$A$1:$I$89,5,0)</f>
        <v>1.7789683284079942</v>
      </c>
      <c r="CA7" s="13">
        <f t="shared" si="39"/>
        <v>0.76665628572357314</v>
      </c>
      <c r="CB7" s="20">
        <f t="shared" si="10"/>
        <v>4.4336295362791462</v>
      </c>
      <c r="CC7" s="59">
        <f t="shared" si="11"/>
        <v>297.76696286961248</v>
      </c>
      <c r="CD7" s="59">
        <f ca="1">AVERAGE(OFFSET($CC$3,0,0,'Données projet'!$E$12+1,1))-AVERAGE(OFFSET($H$3,0,0,'Données projet'!$E$12+1,1))</f>
        <v>258.28817640749349</v>
      </c>
      <c r="CE7" s="59">
        <f t="shared" si="40"/>
        <v>158.16416492761954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8.8333333333333339</v>
      </c>
      <c r="N8" s="13">
        <f>IF('Données projet'!$A$36&gt;35,N7+M8-V7,IF(A8&lt;'Données projet'!$A$36,$K$205^A8,IF(A8='Données projet'!$A$36,'Données projet'!$B$36,N7+M8-V7)))</f>
        <v>6.9803539352646524</v>
      </c>
      <c r="O8" s="13">
        <f>N8*VLOOKUP('Données projet'!$B$9,Paramètres!$A$1:$I$89,3,0)*VLOOKUP('Données projet'!$B$9,Paramètres!$A$1:$I$89,5,0)</f>
        <v>4.1742516532882625</v>
      </c>
      <c r="P8" s="13">
        <f t="shared" si="33"/>
        <v>1.6289034398869595</v>
      </c>
      <c r="Q8" s="20">
        <f t="shared" si="2"/>
        <v>10.107161787280178</v>
      </c>
      <c r="R8" s="59">
        <f t="shared" si="0"/>
        <v>303.44049512061349</v>
      </c>
      <c r="S8" s="59">
        <f ca="1">AVERAGE(OFFSET($R$3,0,0,'Données projet'!$E$9+1,1))-AVERAGE(OFFSET($H$3,0,0,'Données projet'!$E$9+1,1))</f>
        <v>149.5086927376081</v>
      </c>
      <c r="T8" s="59">
        <f t="shared" si="34"/>
        <v>364.59164590134498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>
        <f>AI8*VLOOKUP('Données projet'!$B$10,Paramètres!$A$1:$I$89,3,0)*VLOOKUP('Données projet'!$B$10,Paramètres!$A$1:$I$89,5,0)</f>
        <v>0</v>
      </c>
      <c r="AK8" s="13" t="e">
        <f t="shared" si="35"/>
        <v>#NUM!</v>
      </c>
      <c r="AL8" s="20" t="e">
        <f t="shared" si="4"/>
        <v>#NUM!</v>
      </c>
      <c r="AM8" s="59" t="e">
        <f t="shared" si="5"/>
        <v>#NUM!</v>
      </c>
      <c r="AN8" s="59">
        <f ca="1">AVERAGE(OFFSET($AM$3,0,0,'Données projet'!$E$10+1,1))-AVERAGE(OFFSET($H$3,0,0,'Données projet'!$E$10+1,1))</f>
        <v>0</v>
      </c>
      <c r="AO8" s="59">
        <f t="shared" si="36"/>
        <v>0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2.85</v>
      </c>
      <c r="BD8" s="12">
        <f>IF('Données projet'!$A$88&gt;35,BD7+BC8-BL7,IF(A8&lt;'Données projet'!$A$88,$BA$205^A8,IF(A8='Données projet'!$A$88,'Données projet'!$B$88,BD7+BC8-BL7)))</f>
        <v>2.7476962050544729</v>
      </c>
      <c r="BE8" s="13">
        <f>BD8*VLOOKUP('Données projet'!$B$11,Paramètres!$A$1:$I$89,3,0)*VLOOKUP('Données projet'!$B$11,Paramètres!$A$1:$I$89,5,0)</f>
        <v>2.2289311615401886</v>
      </c>
      <c r="BF8" s="13">
        <f t="shared" si="37"/>
        <v>0.9356862984870904</v>
      </c>
      <c r="BG8" s="20">
        <f t="shared" si="7"/>
        <v>5.5117087428808444</v>
      </c>
      <c r="BH8" s="59">
        <f t="shared" si="8"/>
        <v>298.84504207621416</v>
      </c>
      <c r="BI8" s="59">
        <f ca="1">AVERAGE(OFFSET($BH$3,0,0,'Données projet'!$E$11+1,1))-AVERAGE(OFFSET($H$3,0,0,'Données projet'!$E$11+1,1))</f>
        <v>175.73034516698141</v>
      </c>
      <c r="BJ8" s="59">
        <f t="shared" si="38"/>
        <v>203.59461632821052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2.1</v>
      </c>
      <c r="BY8" s="12">
        <f>IF('Données projet'!$A$114&gt;35,BY7+BX8-CG7,IF(A8&lt;'Données projet'!$A$114,$BV$205^A8,IF(A8='Données projet'!$A$114,'Données projet'!$B$114,BY7+BX8-CG7)))</f>
        <v>2.5457298950218314</v>
      </c>
      <c r="BZ8" s="13">
        <f>BY8*VLOOKUP('Données projet'!$B$12,Paramètres!$A$1:$I$89,3,0)*VLOOKUP('Données projet'!$B$12,Paramètres!$A$1:$I$89,5,0)</f>
        <v>2.1445228635663907</v>
      </c>
      <c r="CA8" s="13">
        <f t="shared" si="39"/>
        <v>0.90430692044106609</v>
      </c>
      <c r="CB8" s="20">
        <f t="shared" si="10"/>
        <v>5.3100452071463202</v>
      </c>
      <c r="CC8" s="59">
        <f t="shared" si="11"/>
        <v>298.64337854047966</v>
      </c>
      <c r="CD8" s="59">
        <f ca="1">AVERAGE(OFFSET($CC$3,0,0,'Données projet'!$E$12+1,1))-AVERAGE(OFFSET($H$3,0,0,'Données projet'!$E$12+1,1))</f>
        <v>258.28817640749349</v>
      </c>
      <c r="CE8" s="59">
        <f t="shared" si="40"/>
        <v>158.16416492761954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8.8333333333333339</v>
      </c>
      <c r="N9" s="13">
        <f>IF('Données projet'!$A$36&gt;35,N8+M9-V8,IF(A9&lt;'Données projet'!$A$36,$K$205^A9,IF(A9='Données projet'!$A$36,'Données projet'!$B$36,N8+M9-V8)))</f>
        <v>10.295630140987003</v>
      </c>
      <c r="O9" s="13">
        <f>N9*VLOOKUP('Données projet'!$B$9,Paramètres!$A$1:$I$89,3,0)*VLOOKUP('Données projet'!$B$9,Paramètres!$A$1:$I$89,5,0)</f>
        <v>6.1567868243102275</v>
      </c>
      <c r="P9" s="13">
        <f t="shared" si="33"/>
        <v>2.2962827445602434</v>
      </c>
      <c r="Q9" s="20">
        <f t="shared" si="2"/>
        <v>14.722429499116073</v>
      </c>
      <c r="R9" s="59">
        <f t="shared" si="0"/>
        <v>308.05576283244937</v>
      </c>
      <c r="S9" s="59">
        <f ca="1">AVERAGE(OFFSET($R$3,0,0,'Données projet'!$E$9+1,1))-AVERAGE(OFFSET($H$3,0,0,'Données projet'!$E$9+1,1))</f>
        <v>149.5086927376081</v>
      </c>
      <c r="T9" s="59">
        <f t="shared" si="34"/>
        <v>364.59164590134498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>
        <f>AI9*VLOOKUP('Données projet'!$B$10,Paramètres!$A$1:$I$89,3,0)*VLOOKUP('Données projet'!$B$10,Paramètres!$A$1:$I$89,5,0)</f>
        <v>0</v>
      </c>
      <c r="AK9" s="13" t="e">
        <f t="shared" si="35"/>
        <v>#NUM!</v>
      </c>
      <c r="AL9" s="20" t="e">
        <f t="shared" si="4"/>
        <v>#NUM!</v>
      </c>
      <c r="AM9" s="59" t="e">
        <f t="shared" si="5"/>
        <v>#NUM!</v>
      </c>
      <c r="AN9" s="59">
        <f ca="1">AVERAGE(OFFSET($AM$3,0,0,'Données projet'!$E$10+1,1))-AVERAGE(OFFSET($H$3,0,0,'Données projet'!$E$10+1,1))</f>
        <v>0</v>
      </c>
      <c r="AO9" s="59">
        <f t="shared" si="36"/>
        <v>0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2.85</v>
      </c>
      <c r="BD9" s="12">
        <f>IF('Données projet'!$A$88&gt;35,BD8+BC9-BL8,IF(A9&lt;'Données projet'!$A$88,$BA$205^A9,IF(A9='Données projet'!$A$88,'Données projet'!$B$88,BD8+BC9-BL8)))</f>
        <v>3.3632756010449452</v>
      </c>
      <c r="BE9" s="13">
        <f>BD9*VLOOKUP('Données projet'!$B$11,Paramètres!$A$1:$I$89,3,0)*VLOOKUP('Données projet'!$B$11,Paramètres!$A$1:$I$89,5,0)</f>
        <v>2.7282891675676595</v>
      </c>
      <c r="BF9" s="13">
        <f t="shared" si="37"/>
        <v>1.118677288688456</v>
      </c>
      <c r="BG9" s="20">
        <f t="shared" si="7"/>
        <v>6.700133244646068</v>
      </c>
      <c r="BH9" s="59">
        <f t="shared" si="8"/>
        <v>300.03346657797937</v>
      </c>
      <c r="BI9" s="59">
        <f ca="1">AVERAGE(OFFSET($BH$3,0,0,'Données projet'!$E$11+1,1))-AVERAGE(OFFSET($H$3,0,0,'Données projet'!$E$11+1,1))</f>
        <v>175.73034516698141</v>
      </c>
      <c r="BJ9" s="59">
        <f t="shared" si="38"/>
        <v>203.59461632821052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2.1</v>
      </c>
      <c r="BY9" s="12">
        <f>IF('Données projet'!$A$114&gt;35,BY8+BX9-CG8,IF(A9&lt;'Données projet'!$A$114,$BV$205^A9,IF(A9='Données projet'!$A$114,'Données projet'!$B$114,BY8+BX9-CG8)))</f>
        <v>3.0688438220956993</v>
      </c>
      <c r="BZ9" s="13">
        <f>BY9*VLOOKUP('Données projet'!$B$12,Paramètres!$A$1:$I$89,3,0)*VLOOKUP('Données projet'!$B$12,Paramètres!$A$1:$I$89,5,0)</f>
        <v>2.5851940357334171</v>
      </c>
      <c r="CA9" s="13">
        <f t="shared" si="39"/>
        <v>1.0666722775067177</v>
      </c>
      <c r="CB9" s="20">
        <f t="shared" si="10"/>
        <v>6.3603338288932347</v>
      </c>
      <c r="CC9" s="59">
        <f t="shared" si="11"/>
        <v>299.69366716222657</v>
      </c>
      <c r="CD9" s="59">
        <f ca="1">AVERAGE(OFFSET($CC$3,0,0,'Données projet'!$E$12+1,1))-AVERAGE(OFFSET($H$3,0,0,'Données projet'!$E$12+1,1))</f>
        <v>258.28817640749349</v>
      </c>
      <c r="CE9" s="59">
        <f t="shared" si="40"/>
        <v>158.16416492761954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8.8333333333333339</v>
      </c>
      <c r="N10" s="13">
        <f>IF('Données projet'!$A$36&gt;35,N9+M10-V9,IF(A10&lt;'Données projet'!$A$36,$K$205^A10,IF(A10='Données projet'!$A$36,'Données projet'!$B$36,N9+M10-V9)))</f>
        <v>15.18547640750557</v>
      </c>
      <c r="O10" s="13">
        <f>N10*VLOOKUP('Données projet'!$B$9,Paramètres!$A$1:$I$89,3,0)*VLOOKUP('Données projet'!$B$9,Paramètres!$A$1:$I$89,5,0)</f>
        <v>9.080914891688332</v>
      </c>
      <c r="P10" s="13">
        <f t="shared" si="33"/>
        <v>3.2370945470721373</v>
      </c>
      <c r="Q10" s="20">
        <f t="shared" si="2"/>
        <v>21.45386643917448</v>
      </c>
      <c r="R10" s="59">
        <f t="shared" si="0"/>
        <v>314.78719977250779</v>
      </c>
      <c r="S10" s="59">
        <f ca="1">AVERAGE(OFFSET($R$3,0,0,'Données projet'!$E$9+1,1))-AVERAGE(OFFSET($H$3,0,0,'Données projet'!$E$9+1,1))</f>
        <v>149.5086927376081</v>
      </c>
      <c r="T10" s="59">
        <f t="shared" si="34"/>
        <v>364.59164590134498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>
        <f>AI10*VLOOKUP('Données projet'!$B$10,Paramètres!$A$1:$I$89,3,0)*VLOOKUP('Données projet'!$B$10,Paramètres!$A$1:$I$89,5,0)</f>
        <v>0</v>
      </c>
      <c r="AK10" s="13" t="e">
        <f t="shared" si="35"/>
        <v>#NUM!</v>
      </c>
      <c r="AL10" s="20" t="e">
        <f t="shared" si="4"/>
        <v>#NUM!</v>
      </c>
      <c r="AM10" s="59" t="e">
        <f t="shared" si="5"/>
        <v>#NUM!</v>
      </c>
      <c r="AN10" s="59">
        <f ca="1">AVERAGE(OFFSET($AM$3,0,0,'Données projet'!$E$10+1,1))-AVERAGE(OFFSET($H$3,0,0,'Données projet'!$E$10+1,1))</f>
        <v>0</v>
      </c>
      <c r="AO10" s="59">
        <f t="shared" si="36"/>
        <v>0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2.85</v>
      </c>
      <c r="BD10" s="12">
        <f>IF('Données projet'!$A$88&gt;35,BD9+BC10-BL9,IF(A10&lt;'Données projet'!$A$88,$BA$205^A10,IF(A10='Données projet'!$A$88,'Données projet'!$B$88,BD9+BC10-BL9)))</f>
        <v>4.116766164969822</v>
      </c>
      <c r="BE10" s="13">
        <f>BD10*VLOOKUP('Données projet'!$B$11,Paramètres!$A$1:$I$89,3,0)*VLOOKUP('Données projet'!$B$11,Paramètres!$A$1:$I$89,5,0)</f>
        <v>3.33952071302352</v>
      </c>
      <c r="BF10" s="13">
        <f t="shared" si="37"/>
        <v>1.3374555962300658</v>
      </c>
      <c r="BG10" s="20">
        <f t="shared" si="7"/>
        <v>8.1457337386166611</v>
      </c>
      <c r="BH10" s="59">
        <f t="shared" si="8"/>
        <v>301.47906707195</v>
      </c>
      <c r="BI10" s="59">
        <f ca="1">AVERAGE(OFFSET($BH$3,0,0,'Données projet'!$E$11+1,1))-AVERAGE(OFFSET($H$3,0,0,'Données projet'!$E$11+1,1))</f>
        <v>175.73034516698141</v>
      </c>
      <c r="BJ10" s="59">
        <f t="shared" si="38"/>
        <v>203.59461632821052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2.1</v>
      </c>
      <c r="BY10" s="12">
        <f>IF('Données projet'!$A$114&gt;35,BY9+BX10-CG9,IF(A10&lt;'Données projet'!$A$114,$BV$205^A10,IF(A10='Données projet'!$A$114,'Données projet'!$B$114,BY9+BX10-CG9)))</f>
        <v>3.6994507637402658</v>
      </c>
      <c r="BZ10" s="13">
        <f>BY10*VLOOKUP('Données projet'!$B$12,Paramètres!$A$1:$I$89,3,0)*VLOOKUP('Données projet'!$B$12,Paramètres!$A$1:$I$89,5,0)</f>
        <v>3.1164173233748005</v>
      </c>
      <c r="CA10" s="13">
        <f t="shared" si="39"/>
        <v>1.2581898046809412</v>
      </c>
      <c r="CB10" s="20">
        <f t="shared" si="10"/>
        <v>7.6191074146970825</v>
      </c>
      <c r="CC10" s="59">
        <f t="shared" si="11"/>
        <v>300.95244074803037</v>
      </c>
      <c r="CD10" s="59">
        <f ca="1">AVERAGE(OFFSET($CC$3,0,0,'Données projet'!$E$12+1,1))-AVERAGE(OFFSET($H$3,0,0,'Données projet'!$E$12+1,1))</f>
        <v>258.28817640749349</v>
      </c>
      <c r="CE10" s="59">
        <f t="shared" si="40"/>
        <v>158.16416492761954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8.8333333333333339</v>
      </c>
      <c r="N11" s="13">
        <f>IF('Données projet'!$A$36&gt;35,N10+M11-V10,IF(A11&lt;'Données projet'!$A$36,$K$205^A11,IF(A11='Données projet'!$A$36,'Données projet'!$B$36,N10+M11-V10)))</f>
        <v>22.397725109111352</v>
      </c>
      <c r="O11" s="13">
        <f>N11*VLOOKUP('Données projet'!$B$9,Paramètres!$A$1:$I$89,3,0)*VLOOKUP('Données projet'!$B$9,Paramètres!$A$1:$I$89,5,0)</f>
        <v>13.39383961524859</v>
      </c>
      <c r="P11" s="13">
        <f t="shared" si="33"/>
        <v>4.5633670903584358</v>
      </c>
      <c r="Q11" s="20">
        <f t="shared" si="2"/>
        <v>31.275468345598899</v>
      </c>
      <c r="R11" s="59">
        <f t="shared" si="0"/>
        <v>324.6088016789322</v>
      </c>
      <c r="S11" s="59">
        <f ca="1">AVERAGE(OFFSET($R$3,0,0,'Données projet'!$E$9+1,1))-AVERAGE(OFFSET($H$3,0,0,'Données projet'!$E$9+1,1))</f>
        <v>149.5086927376081</v>
      </c>
      <c r="T11" s="59">
        <f t="shared" si="34"/>
        <v>364.59164590134498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>
        <f>AI11*VLOOKUP('Données projet'!$B$10,Paramètres!$A$1:$I$89,3,0)*VLOOKUP('Données projet'!$B$10,Paramètres!$A$1:$I$89,5,0)</f>
        <v>0</v>
      </c>
      <c r="AK11" s="13" t="e">
        <f t="shared" si="35"/>
        <v>#NUM!</v>
      </c>
      <c r="AL11" s="20" t="e">
        <f t="shared" si="4"/>
        <v>#NUM!</v>
      </c>
      <c r="AM11" s="59" t="e">
        <f t="shared" si="5"/>
        <v>#NUM!</v>
      </c>
      <c r="AN11" s="59">
        <f ca="1">AVERAGE(OFFSET($AM$3,0,0,'Données projet'!$E$10+1,1))-AVERAGE(OFFSET($H$3,0,0,'Données projet'!$E$10+1,1))</f>
        <v>0</v>
      </c>
      <c r="AO11" s="59">
        <f t="shared" si="36"/>
        <v>0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2.85</v>
      </c>
      <c r="BD11" s="12">
        <f>IF('Données projet'!$A$88&gt;35,BD10+BC11-BL10,IF(A11&lt;'Données projet'!$A$88,$BA$205^A11,IF(A11='Données projet'!$A$88,'Données projet'!$B$88,BD10+BC11-BL10)))</f>
        <v>5.0390647890332847</v>
      </c>
      <c r="BE11" s="13">
        <f>BD11*VLOOKUP('Données projet'!$B$11,Paramètres!$A$1:$I$89,3,0)*VLOOKUP('Données projet'!$B$11,Paramètres!$A$1:$I$89,5,0)</f>
        <v>4.0876893568638009</v>
      </c>
      <c r="BF11" s="13">
        <f t="shared" si="37"/>
        <v>1.5990201016633729</v>
      </c>
      <c r="BG11" s="20">
        <f t="shared" si="7"/>
        <v>9.9043523069348272</v>
      </c>
      <c r="BH11" s="59">
        <f t="shared" si="8"/>
        <v>303.23768564026813</v>
      </c>
      <c r="BI11" s="59">
        <f ca="1">AVERAGE(OFFSET($BH$3,0,0,'Données projet'!$E$11+1,1))-AVERAGE(OFFSET($H$3,0,0,'Données projet'!$E$11+1,1))</f>
        <v>175.73034516698141</v>
      </c>
      <c r="BJ11" s="59">
        <f t="shared" si="38"/>
        <v>203.59461632821052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2.1</v>
      </c>
      <c r="BY11" s="12">
        <f>IF('Données projet'!$A$114&gt;35,BY10+BX11-CG10,IF(A11&lt;'Données projet'!$A$114,$BV$205^A11,IF(A11='Données projet'!$A$114,'Données projet'!$B$114,BY10+BX11-CG10)))</f>
        <v>4.4596391171162209</v>
      </c>
      <c r="BZ11" s="13">
        <f>BY11*VLOOKUP('Données projet'!$B$12,Paramètres!$A$1:$I$89,3,0)*VLOOKUP('Données projet'!$B$12,Paramètres!$A$1:$I$89,5,0)</f>
        <v>3.7567999922587045</v>
      </c>
      <c r="CA11" s="13">
        <f t="shared" si="39"/>
        <v>1.4840936789913857</v>
      </c>
      <c r="CB11" s="20">
        <f t="shared" si="10"/>
        <v>9.127889810760573</v>
      </c>
      <c r="CC11" s="59">
        <f t="shared" si="11"/>
        <v>302.46122314409388</v>
      </c>
      <c r="CD11" s="59">
        <f ca="1">AVERAGE(OFFSET($CC$3,0,0,'Données projet'!$E$12+1,1))-AVERAGE(OFFSET($H$3,0,0,'Données projet'!$E$12+1,1))</f>
        <v>258.28817640749349</v>
      </c>
      <c r="CE11" s="59">
        <f t="shared" si="40"/>
        <v>158.16416492761954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8.8333333333333339</v>
      </c>
      <c r="N12" s="13">
        <f>IF('Données projet'!$A$36&gt;35,N11+M12-V11,IF(A12&lt;'Données projet'!$A$36,$K$205^A12,IF(A12='Données projet'!$A$36,'Données projet'!$B$36,N11+M12-V11)))</f>
        <v>33.035387010668153</v>
      </c>
      <c r="O12" s="13">
        <f>N12*VLOOKUP('Données projet'!$B$9,Paramètres!$A$1:$I$89,3,0)*VLOOKUP('Données projet'!$B$9,Paramètres!$A$1:$I$89,5,0)</f>
        <v>19.755161432379555</v>
      </c>
      <c r="P12" s="13">
        <f t="shared" si="33"/>
        <v>6.433027796547198</v>
      </c>
      <c r="Q12" s="20">
        <f t="shared" si="2"/>
        <v>45.61109624038076</v>
      </c>
      <c r="R12" s="59">
        <f t="shared" si="0"/>
        <v>338.94442957371405</v>
      </c>
      <c r="S12" s="59">
        <f ca="1">AVERAGE(OFFSET($R$3,0,0,'Données projet'!$E$9+1,1))-AVERAGE(OFFSET($H$3,0,0,'Données projet'!$E$9+1,1))</f>
        <v>149.5086927376081</v>
      </c>
      <c r="T12" s="59">
        <f t="shared" si="34"/>
        <v>364.59164590134498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>
        <f>AI12*VLOOKUP('Données projet'!$B$10,Paramètres!$A$1:$I$89,3,0)*VLOOKUP('Données projet'!$B$10,Paramètres!$A$1:$I$89,5,0)</f>
        <v>0</v>
      </c>
      <c r="AK12" s="13" t="e">
        <f t="shared" si="35"/>
        <v>#NUM!</v>
      </c>
      <c r="AL12" s="20" t="e">
        <f t="shared" si="4"/>
        <v>#NUM!</v>
      </c>
      <c r="AM12" s="59" t="e">
        <f t="shared" si="5"/>
        <v>#NUM!</v>
      </c>
      <c r="AN12" s="59">
        <f ca="1">AVERAGE(OFFSET($AM$3,0,0,'Données projet'!$E$10+1,1))-AVERAGE(OFFSET($H$3,0,0,'Données projet'!$E$10+1,1))</f>
        <v>0</v>
      </c>
      <c r="AO12" s="59">
        <f t="shared" si="36"/>
        <v>0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2.85</v>
      </c>
      <c r="BD12" s="12">
        <f>IF('Données projet'!$A$88&gt;35,BD11+BC12-BL11,IF(A12&lt;'Données projet'!$A$88,$BA$205^A12,IF(A12='Données projet'!$A$88,'Données projet'!$B$88,BD11+BC12-BL11)))</f>
        <v>6.167990342551116</v>
      </c>
      <c r="BE12" s="13">
        <f>BD12*VLOOKUP('Données projet'!$B$11,Paramètres!$A$1:$I$89,3,0)*VLOOKUP('Données projet'!$B$11,Paramètres!$A$1:$I$89,5,0)</f>
        <v>5.0034737658774651</v>
      </c>
      <c r="BF12" s="13">
        <f t="shared" si="37"/>
        <v>1.9117384477889741</v>
      </c>
      <c r="BG12" s="20">
        <f t="shared" si="7"/>
        <v>12.043994605469051</v>
      </c>
      <c r="BH12" s="59">
        <f t="shared" si="8"/>
        <v>305.37732793880235</v>
      </c>
      <c r="BI12" s="59">
        <f ca="1">AVERAGE(OFFSET($BH$3,0,0,'Données projet'!$E$11+1,1))-AVERAGE(OFFSET($H$3,0,0,'Données projet'!$E$11+1,1))</f>
        <v>175.73034516698141</v>
      </c>
      <c r="BJ12" s="59">
        <f t="shared" si="38"/>
        <v>203.59461632821052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2.1</v>
      </c>
      <c r="BY12" s="12">
        <f>IF('Données projet'!$A$114&gt;35,BY11+BX12-CG11,IF(A12&lt;'Données projet'!$A$114,$BV$205^A12,IF(A12='Données projet'!$A$114,'Données projet'!$B$114,BY11+BX12-CG11)))</f>
        <v>5.3760361537574148</v>
      </c>
      <c r="BZ12" s="13">
        <f>BY12*VLOOKUP('Données projet'!$B$12,Paramètres!$A$1:$I$89,3,0)*VLOOKUP('Données projet'!$B$12,Paramètres!$A$1:$I$89,5,0)</f>
        <v>4.5287728559252471</v>
      </c>
      <c r="CA12" s="13">
        <f t="shared" si="39"/>
        <v>1.7505578568733651</v>
      </c>
      <c r="CB12" s="20">
        <f t="shared" si="10"/>
        <v>10.93650099145758</v>
      </c>
      <c r="CC12" s="59">
        <f t="shared" si="11"/>
        <v>304.26983432479091</v>
      </c>
      <c r="CD12" s="59">
        <f ca="1">AVERAGE(OFFSET($CC$3,0,0,'Données projet'!$E$12+1,1))-AVERAGE(OFFSET($H$3,0,0,'Données projet'!$E$12+1,1))</f>
        <v>258.28817640749349</v>
      </c>
      <c r="CE12" s="59">
        <f t="shared" si="40"/>
        <v>158.16416492761954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8.8333333333333339</v>
      </c>
      <c r="N13" s="13">
        <f>IF('Données projet'!$A$36&gt;35,N12+M13-V12,IF(A13&lt;'Données projet'!$A$36,$K$205^A13,IF(A13='Données projet'!$A$36,'Données projet'!$B$36,N12+M13-V12)))</f>
        <v>48.725341061564706</v>
      </c>
      <c r="O13" s="13">
        <f>N13*VLOOKUP('Données projet'!$B$9,Paramètres!$A$1:$I$89,3,0)*VLOOKUP('Données projet'!$B$9,Paramètres!$A$1:$I$89,5,0)</f>
        <v>29.137753954815693</v>
      </c>
      <c r="P13" s="13">
        <f t="shared" si="33"/>
        <v>9.0687086556296208</v>
      </c>
      <c r="Q13" s="20">
        <f t="shared" si="2"/>
        <v>66.542922379858922</v>
      </c>
      <c r="R13" s="59">
        <f t="shared" si="0"/>
        <v>359.87625571319222</v>
      </c>
      <c r="S13" s="59">
        <f ca="1">AVERAGE(OFFSET($R$3,0,0,'Données projet'!$E$9+1,1))-AVERAGE(OFFSET($H$3,0,0,'Données projet'!$E$9+1,1))</f>
        <v>149.5086927376081</v>
      </c>
      <c r="T13" s="59">
        <f t="shared" si="34"/>
        <v>364.59164590134498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>
        <f>AI13*VLOOKUP('Données projet'!$B$10,Paramètres!$A$1:$I$89,3,0)*VLOOKUP('Données projet'!$B$10,Paramètres!$A$1:$I$89,5,0)</f>
        <v>0</v>
      </c>
      <c r="AK13" s="13" t="e">
        <f t="shared" si="35"/>
        <v>#NUM!</v>
      </c>
      <c r="AL13" s="20" t="e">
        <f t="shared" si="4"/>
        <v>#NUM!</v>
      </c>
      <c r="AM13" s="59" t="e">
        <f t="shared" si="5"/>
        <v>#NUM!</v>
      </c>
      <c r="AN13" s="59">
        <f ca="1">AVERAGE(OFFSET($AM$3,0,0,'Données projet'!$E$10+1,1))-AVERAGE(OFFSET($H$3,0,0,'Données projet'!$E$10+1,1))</f>
        <v>0</v>
      </c>
      <c r="AO13" s="59">
        <f t="shared" si="36"/>
        <v>0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2.85</v>
      </c>
      <c r="BD13" s="12">
        <f>IF('Données projet'!$A$88&gt;35,BD12+BC13-BL12,IF(A13&lt;'Données projet'!$A$88,$BA$205^A13,IF(A13='Données projet'!$A$88,'Données projet'!$B$88,BD12+BC13-BL12)))</f>
        <v>7.5498344352707516</v>
      </c>
      <c r="BE13" s="13">
        <f>BD13*VLOOKUP('Données projet'!$B$11,Paramètres!$A$1:$I$89,3,0)*VLOOKUP('Données projet'!$B$11,Paramètres!$A$1:$I$89,5,0)</f>
        <v>6.1244256938916335</v>
      </c>
      <c r="BF13" s="13">
        <f t="shared" si="37"/>
        <v>2.2856147267647025</v>
      </c>
      <c r="BG13" s="20">
        <f t="shared" si="7"/>
        <v>14.647487065976454</v>
      </c>
      <c r="BH13" s="59">
        <f t="shared" si="8"/>
        <v>307.98082039930978</v>
      </c>
      <c r="BI13" s="59">
        <f ca="1">AVERAGE(OFFSET($BH$3,0,0,'Données projet'!$E$11+1,1))-AVERAGE(OFFSET($H$3,0,0,'Données projet'!$E$11+1,1))</f>
        <v>175.73034516698141</v>
      </c>
      <c r="BJ13" s="59">
        <f t="shared" si="38"/>
        <v>203.59461632821052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2.1</v>
      </c>
      <c r="BY13" s="12">
        <f>IF('Données projet'!$A$114&gt;35,BY12+BX13-CG12,IF(A13&lt;'Données projet'!$A$114,$BV$205^A13,IF(A13='Données projet'!$A$114,'Données projet'!$B$114,BY12+BX13-CG12)))</f>
        <v>6.4807406984078657</v>
      </c>
      <c r="BZ13" s="13">
        <f>BY13*VLOOKUP('Données projet'!$B$12,Paramètres!$A$1:$I$89,3,0)*VLOOKUP('Données projet'!$B$12,Paramètres!$A$1:$I$89,5,0)</f>
        <v>5.4593759643387862</v>
      </c>
      <c r="CA13" s="13">
        <f t="shared" si="39"/>
        <v>2.0648648084962673</v>
      </c>
      <c r="CB13" s="20">
        <f t="shared" si="10"/>
        <v>13.104719346021051</v>
      </c>
      <c r="CC13" s="59">
        <f t="shared" si="11"/>
        <v>306.43805267935437</v>
      </c>
      <c r="CD13" s="59">
        <f ca="1">AVERAGE(OFFSET($CC$3,0,0,'Données projet'!$E$12+1,1))-AVERAGE(OFFSET($H$3,0,0,'Données projet'!$E$12+1,1))</f>
        <v>258.28817640749349</v>
      </c>
      <c r="CE13" s="59">
        <f t="shared" si="40"/>
        <v>158.16416492761954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8.8333333333333339</v>
      </c>
      <c r="N14" s="13">
        <f>IF('Données projet'!$A$36&gt;35,N13+M14-V13,IF(A14&lt;'Données projet'!$A$36,$K$205^A14,IF(A14='Données projet'!$A$36,'Données projet'!$B$36,N13+M14-V13)))</f>
        <v>71.867142370667978</v>
      </c>
      <c r="O14" s="13">
        <f>N14*VLOOKUP('Données projet'!$B$9,Paramètres!$A$1:$I$89,3,0)*VLOOKUP('Données projet'!$B$9,Paramètres!$A$1:$I$89,5,0)</f>
        <v>42.976551137659456</v>
      </c>
      <c r="P14" s="13">
        <f t="shared" si="33"/>
        <v>12.784256384658107</v>
      </c>
      <c r="Q14" s="20">
        <f t="shared" si="2"/>
        <v>97.116739768036425</v>
      </c>
      <c r="R14" s="59">
        <f t="shared" si="0"/>
        <v>390.45007310136975</v>
      </c>
      <c r="S14" s="59">
        <f ca="1">AVERAGE(OFFSET($R$3,0,0,'Données projet'!$E$9+1,1))-AVERAGE(OFFSET($H$3,0,0,'Données projet'!$E$9+1,1))</f>
        <v>149.5086927376081</v>
      </c>
      <c r="T14" s="59">
        <f t="shared" si="34"/>
        <v>364.59164590134498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>
        <f>AI14*VLOOKUP('Données projet'!$B$10,Paramètres!$A$1:$I$89,3,0)*VLOOKUP('Données projet'!$B$10,Paramètres!$A$1:$I$89,5,0)</f>
        <v>0</v>
      </c>
      <c r="AK14" s="13" t="e">
        <f t="shared" si="35"/>
        <v>#NUM!</v>
      </c>
      <c r="AL14" s="20" t="e">
        <f t="shared" si="4"/>
        <v>#NUM!</v>
      </c>
      <c r="AM14" s="59" t="e">
        <f t="shared" si="5"/>
        <v>#NUM!</v>
      </c>
      <c r="AN14" s="59">
        <f ca="1">AVERAGE(OFFSET($AM$3,0,0,'Données projet'!$E$10+1,1))-AVERAGE(OFFSET($H$3,0,0,'Données projet'!$E$10+1,1))</f>
        <v>0</v>
      </c>
      <c r="AO14" s="59">
        <f t="shared" si="36"/>
        <v>0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2.85</v>
      </c>
      <c r="BD14" s="12">
        <f>IF('Données projet'!$A$88&gt;35,BD13+BC14-BL13,IF(A14&lt;'Données projet'!$A$88,$BA$205^A14,IF(A14='Données projet'!$A$88,'Données projet'!$B$88,BD13+BC14-BL13)))</f>
        <v>9.2412596055434975</v>
      </c>
      <c r="BE14" s="13">
        <f>BD14*VLOOKUP('Données projet'!$B$11,Paramètres!$A$1:$I$89,3,0)*VLOOKUP('Données projet'!$B$11,Paramètres!$A$1:$I$89,5,0)</f>
        <v>7.4965097920168864</v>
      </c>
      <c r="BF14" s="13">
        <f t="shared" si="37"/>
        <v>2.7326095184440926</v>
      </c>
      <c r="BG14" s="20">
        <f t="shared" si="7"/>
        <v>17.815716132386203</v>
      </c>
      <c r="BH14" s="59">
        <f t="shared" si="8"/>
        <v>311.14904946571954</v>
      </c>
      <c r="BI14" s="59">
        <f ca="1">AVERAGE(OFFSET($BH$3,0,0,'Données projet'!$E$11+1,1))-AVERAGE(OFFSET($H$3,0,0,'Données projet'!$E$11+1,1))</f>
        <v>175.73034516698141</v>
      </c>
      <c r="BJ14" s="59">
        <f t="shared" si="38"/>
        <v>203.59461632821052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2.1</v>
      </c>
      <c r="BY14" s="12">
        <f>IF('Données projet'!$A$114&gt;35,BY13+BX14-CG13,IF(A14&lt;'Données projet'!$A$114,$BV$205^A14,IF(A14='Données projet'!$A$114,'Données projet'!$B$114,BY13+BX14-CG13)))</f>
        <v>7.8124474610620815</v>
      </c>
      <c r="BZ14" s="13">
        <f>BY14*VLOOKUP('Données projet'!$B$12,Paramètres!$A$1:$I$89,3,0)*VLOOKUP('Données projet'!$B$12,Paramètres!$A$1:$I$89,5,0)</f>
        <v>6.5812057411986977</v>
      </c>
      <c r="CA14" s="13">
        <f t="shared" si="39"/>
        <v>2.4356045477877388</v>
      </c>
      <c r="CB14" s="20">
        <f t="shared" si="10"/>
        <v>15.70427791998471</v>
      </c>
      <c r="CC14" s="59">
        <f t="shared" si="11"/>
        <v>309.037611253318</v>
      </c>
      <c r="CD14" s="59">
        <f ca="1">AVERAGE(OFFSET($CC$3,0,0,'Données projet'!$E$12+1,1))-AVERAGE(OFFSET($H$3,0,0,'Données projet'!$E$12+1,1))</f>
        <v>258.28817640749349</v>
      </c>
      <c r="CE14" s="59">
        <f t="shared" si="40"/>
        <v>158.16416492761954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8.8333333333333339</v>
      </c>
      <c r="M15" s="12">
        <f t="array" ref="M15">INDEX(L:L,MIN(IF(ISNUMBER(L15:L211),ROW(L15:L211),"")))</f>
        <v>8.8333333333333339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149.5086927376081</v>
      </c>
      <c r="T15" s="59">
        <f t="shared" si="34"/>
        <v>364.59164590134498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0.22500000000000001</v>
      </c>
      <c r="Y15" s="16">
        <f>IF(ISNA(VLOOKUP(A15,'Données projet'!$A$35:$I$55,7,0)),0%,VLOOKUP(A15,'Données projet'!$A$35:$I$55,7,0))</f>
        <v>0.5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6.0447398882791736</v>
      </c>
      <c r="AB15" s="21">
        <f>EXP(-LN(2)/2)*AB14+(1-EXP(-LN(2)/2))/(LN(2)/2)*V15*Y15*VLOOKUP('Données projet'!$B$9,Paramètres!$A$1:$I$89,3,0)*0.475*44/12</f>
        <v>11.510273536654053</v>
      </c>
      <c r="AC15" s="22">
        <f t="shared" si="3"/>
        <v>17.555013424933225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>
        <f>AI15*VLOOKUP('Données projet'!$B$10,Paramètres!$A$1:$I$89,3,0)*VLOOKUP('Données projet'!$B$10,Paramètres!$A$1:$I$89,5,0)</f>
        <v>0</v>
      </c>
      <c r="AK15" s="13" t="e">
        <f t="shared" si="35"/>
        <v>#NUM!</v>
      </c>
      <c r="AL15" s="20" t="e">
        <f t="shared" si="4"/>
        <v>#NUM!</v>
      </c>
      <c r="AM15" s="59" t="e">
        <f t="shared" si="5"/>
        <v>#NUM!</v>
      </c>
      <c r="AN15" s="59">
        <f ca="1">AVERAGE(OFFSET($AM$3,0,0,'Données projet'!$E$10+1,1))-AVERAGE(OFFSET($H$3,0,0,'Données projet'!$E$10+1,1))</f>
        <v>0</v>
      </c>
      <c r="AO15" s="59">
        <f t="shared" si="36"/>
        <v>0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2.85</v>
      </c>
      <c r="BD15" s="12">
        <f>IF('Données projet'!$A$88&gt;35,BD14+BC15-BL14,IF(A15&lt;'Données projet'!$A$88,$BA$205^A15,IF(A15='Données projet'!$A$88,'Données projet'!$B$88,BD14+BC15-BL14)))</f>
        <v>11.311622768584238</v>
      </c>
      <c r="BE15" s="13">
        <f>BD15*VLOOKUP('Données projet'!$B$11,Paramètres!$A$1:$I$89,3,0)*VLOOKUP('Données projet'!$B$11,Paramètres!$A$1:$I$89,5,0)</f>
        <v>9.1759883898755348</v>
      </c>
      <c r="BF15" s="13">
        <f t="shared" si="37"/>
        <v>3.2670225182093762</v>
      </c>
      <c r="BG15" s="20">
        <f t="shared" si="7"/>
        <v>21.671577331581219</v>
      </c>
      <c r="BH15" s="59">
        <f t="shared" si="8"/>
        <v>315.00491066491452</v>
      </c>
      <c r="BI15" s="59">
        <f ca="1">AVERAGE(OFFSET($BH$3,0,0,'Données projet'!$E$11+1,1))-AVERAGE(OFFSET($H$3,0,0,'Données projet'!$E$11+1,1))</f>
        <v>175.73034516698141</v>
      </c>
      <c r="BJ15" s="59">
        <f t="shared" si="38"/>
        <v>203.59461632821052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2.1</v>
      </c>
      <c r="BY15" s="12">
        <f>IF('Données projet'!$A$114&gt;35,BY14+BX15-CG14,IF(A15&lt;'Données projet'!$A$114,$BV$205^A15,IF(A15='Données projet'!$A$114,'Données projet'!$B$114,BY14+BX15-CG14)))</f>
        <v>9.4178024044149407</v>
      </c>
      <c r="BZ15" s="13">
        <f>BY15*VLOOKUP('Données projet'!$B$12,Paramètres!$A$1:$I$89,3,0)*VLOOKUP('Données projet'!$B$12,Paramètres!$A$1:$I$89,5,0)</f>
        <v>7.9335567454791462</v>
      </c>
      <c r="CA15" s="13">
        <f t="shared" si="39"/>
        <v>2.8729093976493338</v>
      </c>
      <c r="CB15" s="20">
        <f t="shared" si="10"/>
        <v>18.82126186594877</v>
      </c>
      <c r="CC15" s="59">
        <f t="shared" si="11"/>
        <v>312.15459519928208</v>
      </c>
      <c r="CD15" s="59">
        <f ca="1">AVERAGE(OFFSET($CC$3,0,0,'Données projet'!$E$12+1,1))-AVERAGE(OFFSET($H$3,0,0,'Données projet'!$E$12+1,1))</f>
        <v>258.28817640749349</v>
      </c>
      <c r="CE15" s="59">
        <f t="shared" si="40"/>
        <v>158.16416492761954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20.8</v>
      </c>
      <c r="N16" s="13">
        <f>IF('Données projet'!$A$36&gt;35,N15+M16-V15,IF(A16&lt;'Données projet'!$A$36,$K$205^A16,IF(A16='Données projet'!$A$36,'Données projet'!$B$36,N15+M16-V15)))</f>
        <v>92.8</v>
      </c>
      <c r="O16" s="13">
        <f>N16*VLOOKUP('Données projet'!$B$9,Paramètres!$A$1:$I$89,3,0)*VLOOKUP('Données projet'!$B$9,Paramètres!$A$1:$I$89,5,0)</f>
        <v>55.494400000000006</v>
      </c>
      <c r="P16" s="13">
        <f t="shared" si="33"/>
        <v>16.023988434505792</v>
      </c>
      <c r="Q16" s="20">
        <f t="shared" si="2"/>
        <v>124.5611931900976</v>
      </c>
      <c r="R16" s="59">
        <f t="shared" si="0"/>
        <v>417.8945265234309</v>
      </c>
      <c r="S16" s="59">
        <f ca="1">AVERAGE(OFFSET($R$3,0,0,'Données projet'!$E$9+1,1))-AVERAGE(OFFSET($H$3,0,0,'Données projet'!$E$9+1,1))</f>
        <v>149.5086927376081</v>
      </c>
      <c r="T16" s="59">
        <f t="shared" si="34"/>
        <v>364.59164590134498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5.8794461581551243</v>
      </c>
      <c r="AB16" s="21">
        <f>EXP(-LN(2)/2)*AB15+(1-EXP(-LN(2)/2))/(LN(2)/2)*V16*Y16*VLOOKUP('Données projet'!$B$9,Paramètres!$A$1:$I$89,3,0)*0.475*44/12</f>
        <v>8.1389924710801456</v>
      </c>
      <c r="AC16" s="22">
        <f t="shared" si="3"/>
        <v>14.01843862923527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>
        <f>AI16*VLOOKUP('Données projet'!$B$10,Paramètres!$A$1:$I$89,3,0)*VLOOKUP('Données projet'!$B$10,Paramètres!$A$1:$I$89,5,0)</f>
        <v>0</v>
      </c>
      <c r="AK16" s="13" t="e">
        <f t="shared" si="35"/>
        <v>#NUM!</v>
      </c>
      <c r="AL16" s="20" t="e">
        <f t="shared" si="4"/>
        <v>#NUM!</v>
      </c>
      <c r="AM16" s="59" t="e">
        <f t="shared" si="5"/>
        <v>#NUM!</v>
      </c>
      <c r="AN16" s="59">
        <f ca="1">AVERAGE(OFFSET($AM$3,0,0,'Données projet'!$E$10+1,1))-AVERAGE(OFFSET($H$3,0,0,'Données projet'!$E$10+1,1))</f>
        <v>0</v>
      </c>
      <c r="AO16" s="59">
        <f t="shared" si="36"/>
        <v>0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2.85</v>
      </c>
      <c r="BD16" s="12">
        <f>IF('Données projet'!$A$88&gt;35,BD15+BC16-BL15,IF(A16&lt;'Données projet'!$A$88,$BA$205^A16,IF(A16='Données projet'!$A$88,'Données projet'!$B$88,BD15+BC16-BL15)))</f>
        <v>13.845819197850375</v>
      </c>
      <c r="BE16" s="13">
        <f>BD16*VLOOKUP('Données projet'!$B$11,Paramètres!$A$1:$I$89,3,0)*VLOOKUP('Données projet'!$B$11,Paramètres!$A$1:$I$89,5,0)</f>
        <v>11.231728533296224</v>
      </c>
      <c r="BF16" s="13">
        <f t="shared" si="37"/>
        <v>3.9059499948475738</v>
      </c>
      <c r="BG16" s="20">
        <f t="shared" si="7"/>
        <v>26.364790103183779</v>
      </c>
      <c r="BH16" s="59">
        <f t="shared" si="8"/>
        <v>319.69812343651711</v>
      </c>
      <c r="BI16" s="59">
        <f ca="1">AVERAGE(OFFSET($BH$3,0,0,'Données projet'!$E$11+1,1))-AVERAGE(OFFSET($H$3,0,0,'Données projet'!$E$11+1,1))</f>
        <v>175.73034516698141</v>
      </c>
      <c r="BJ16" s="59">
        <f t="shared" si="38"/>
        <v>203.59461632821052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2.1</v>
      </c>
      <c r="BY16" s="12">
        <f>IF('Données projet'!$A$114&gt;35,BY15+BX16-CG15,IF(A16&lt;'Données projet'!$A$114,$BV$205^A16,IF(A16='Données projet'!$A$114,'Données projet'!$B$114,BY15+BX16-CG15)))</f>
        <v>11.35303662145153</v>
      </c>
      <c r="BZ16" s="13">
        <f>BY16*VLOOKUP('Données projet'!$B$12,Paramètres!$A$1:$I$89,3,0)*VLOOKUP('Données projet'!$B$12,Paramètres!$A$1:$I$89,5,0)</f>
        <v>9.5637980499107691</v>
      </c>
      <c r="CA16" s="13">
        <f t="shared" si="39"/>
        <v>3.3887309065006521</v>
      </c>
      <c r="CB16" s="20">
        <f t="shared" si="10"/>
        <v>22.558987932416557</v>
      </c>
      <c r="CC16" s="59">
        <f t="shared" si="11"/>
        <v>315.89232126574984</v>
      </c>
      <c r="CD16" s="59">
        <f ca="1">AVERAGE(OFFSET($CC$3,0,0,'Données projet'!$E$12+1,1))-AVERAGE(OFFSET($H$3,0,0,'Données projet'!$E$12+1,1))</f>
        <v>258.28817640749349</v>
      </c>
      <c r="CE16" s="59">
        <f t="shared" si="40"/>
        <v>158.16416492761954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20.8</v>
      </c>
      <c r="N17" s="13">
        <f>IF('Données projet'!$A$36&gt;35,N16+M17-V16,IF(A17&lt;'Données projet'!$A$36,$K$205^A17,IF(A17='Données projet'!$A$36,'Données projet'!$B$36,N16+M17-V16)))</f>
        <v>113.6</v>
      </c>
      <c r="O17" s="13">
        <f>N17*VLOOKUP('Données projet'!$B$9,Paramètres!$A$1:$I$89,3,0)*VLOOKUP('Données projet'!$B$9,Paramètres!$A$1:$I$89,5,0)</f>
        <v>67.9328</v>
      </c>
      <c r="P17" s="13">
        <f t="shared" si="33"/>
        <v>19.159206778906245</v>
      </c>
      <c r="Q17" s="20">
        <f t="shared" si="2"/>
        <v>151.68524513992836</v>
      </c>
      <c r="R17" s="59">
        <f t="shared" si="0"/>
        <v>445.01857847326164</v>
      </c>
      <c r="S17" s="59">
        <f ca="1">AVERAGE(OFFSET($R$3,0,0,'Données projet'!$E$9+1,1))-AVERAGE(OFFSET($H$3,0,0,'Données projet'!$E$9+1,1))</f>
        <v>149.5086927376081</v>
      </c>
      <c r="T17" s="59">
        <f t="shared" si="34"/>
        <v>364.59164590134498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5.7186723937737369</v>
      </c>
      <c r="AB17" s="21">
        <f>EXP(-LN(2)/2)*AB16+(1-EXP(-LN(2)/2))/(LN(2)/2)*V17*Y17*VLOOKUP('Données projet'!$B$9,Paramètres!$A$1:$I$89,3,0)*0.475*44/12</f>
        <v>5.7551367683270263</v>
      </c>
      <c r="AC17" s="22">
        <f t="shared" si="3"/>
        <v>11.473809162100764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>
        <f>AI17*VLOOKUP('Données projet'!$B$10,Paramètres!$A$1:$I$89,3,0)*VLOOKUP('Données projet'!$B$10,Paramètres!$A$1:$I$89,5,0)</f>
        <v>0</v>
      </c>
      <c r="AK17" s="13" t="e">
        <f t="shared" si="35"/>
        <v>#NUM!</v>
      </c>
      <c r="AL17" s="20" t="e">
        <f t="shared" si="4"/>
        <v>#NUM!</v>
      </c>
      <c r="AM17" s="59" t="e">
        <f t="shared" si="5"/>
        <v>#NUM!</v>
      </c>
      <c r="AN17" s="59">
        <f ca="1">AVERAGE(OFFSET($AM$3,0,0,'Données projet'!$E$10+1,1))-AVERAGE(OFFSET($H$3,0,0,'Données projet'!$E$10+1,1))</f>
        <v>0</v>
      </c>
      <c r="AO17" s="59">
        <f t="shared" si="36"/>
        <v>0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2.85</v>
      </c>
      <c r="BD17" s="12">
        <f>IF('Données projet'!$A$88&gt;35,BD16+BC17-BL16,IF(A17&lt;'Données projet'!$A$88,$BA$205^A17,IF(A17='Données projet'!$A$88,'Données projet'!$B$88,BD16+BC17-BL16)))</f>
        <v>16.94776365704034</v>
      </c>
      <c r="BE17" s="13">
        <f>BD17*VLOOKUP('Données projet'!$B$11,Paramètres!$A$1:$I$89,3,0)*VLOOKUP('Données projet'!$B$11,Paramètres!$A$1:$I$89,5,0)</f>
        <v>13.748025878591124</v>
      </c>
      <c r="BF17" s="13">
        <f t="shared" si="37"/>
        <v>4.6698317128868991</v>
      </c>
      <c r="BG17" s="20">
        <f t="shared" si="7"/>
        <v>32.077768638490888</v>
      </c>
      <c r="BH17" s="59">
        <f t="shared" si="8"/>
        <v>325.41110197182422</v>
      </c>
      <c r="BI17" s="59">
        <f ca="1">AVERAGE(OFFSET($BH$3,0,0,'Données projet'!$E$11+1,1))-AVERAGE(OFFSET($H$3,0,0,'Données projet'!$E$11+1,1))</f>
        <v>175.73034516698141</v>
      </c>
      <c r="BJ17" s="59">
        <f t="shared" si="38"/>
        <v>203.59461632821052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2.1</v>
      </c>
      <c r="BY17" s="12">
        <f>IF('Données projet'!$A$114&gt;35,BY16+BX17-CG16,IF(A17&lt;'Données projet'!$A$114,$BV$205^A17,IF(A17='Données projet'!$A$114,'Données projet'!$B$114,BY16+BX17-CG16)))</f>
        <v>13.685935953338433</v>
      </c>
      <c r="BZ17" s="13">
        <f>BY17*VLOOKUP('Données projet'!$B$12,Paramètres!$A$1:$I$89,3,0)*VLOOKUP('Données projet'!$B$12,Paramètres!$A$1:$I$89,5,0)</f>
        <v>11.529032447092296</v>
      </c>
      <c r="CA17" s="13">
        <f t="shared" si="39"/>
        <v>3.9971664842854926</v>
      </c>
      <c r="CB17" s="20">
        <f t="shared" si="10"/>
        <v>27.041463138816312</v>
      </c>
      <c r="CC17" s="59">
        <f t="shared" si="11"/>
        <v>320.37479647214963</v>
      </c>
      <c r="CD17" s="59">
        <f ca="1">AVERAGE(OFFSET($CC$3,0,0,'Données projet'!$E$12+1,1))-AVERAGE(OFFSET($H$3,0,0,'Données projet'!$E$12+1,1))</f>
        <v>258.28817640749349</v>
      </c>
      <c r="CE17" s="59">
        <f t="shared" si="40"/>
        <v>158.16416492761954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20.8</v>
      </c>
      <c r="N18" s="13">
        <f>IF('Données projet'!$A$36&gt;35,N17+M18-V17,IF(A18&lt;'Données projet'!$A$36,$K$205^A18,IF(A18='Données projet'!$A$36,'Données projet'!$B$36,N17+M18-V17)))</f>
        <v>134.4</v>
      </c>
      <c r="O18" s="13">
        <f>N18*VLOOKUP('Données projet'!$B$9,Paramètres!$A$1:$I$89,3,0)*VLOOKUP('Données projet'!$B$9,Paramètres!$A$1:$I$89,5,0)</f>
        <v>80.371200000000016</v>
      </c>
      <c r="P18" s="13">
        <f t="shared" si="33"/>
        <v>22.227919990990831</v>
      </c>
      <c r="Q18" s="20">
        <f t="shared" si="2"/>
        <v>178.69346731764236</v>
      </c>
      <c r="R18" s="59">
        <f t="shared" si="0"/>
        <v>472.0268006509757</v>
      </c>
      <c r="S18" s="59">
        <f ca="1">AVERAGE(OFFSET($R$3,0,0,'Données projet'!$E$9+1,1))-AVERAGE(OFFSET($H$3,0,0,'Données projet'!$E$9+1,1))</f>
        <v>149.5086927376081</v>
      </c>
      <c r="T18" s="59">
        <f t="shared" si="34"/>
        <v>364.59164590134498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5.5622949964340833</v>
      </c>
      <c r="AB18" s="21">
        <f>EXP(-LN(2)/2)*AB17+(1-EXP(-LN(2)/2))/(LN(2)/2)*V18*Y18*VLOOKUP('Données projet'!$B$9,Paramètres!$A$1:$I$89,3,0)*0.475*44/12</f>
        <v>4.0694962355400728</v>
      </c>
      <c r="AC18" s="22">
        <f t="shared" si="3"/>
        <v>9.6317912319741552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>
        <f>AI18*VLOOKUP('Données projet'!$B$10,Paramètres!$A$1:$I$89,3,0)*VLOOKUP('Données projet'!$B$10,Paramètres!$A$1:$I$89,5,0)</f>
        <v>0</v>
      </c>
      <c r="AK18" s="13" t="e">
        <f t="shared" si="35"/>
        <v>#NUM!</v>
      </c>
      <c r="AL18" s="20" t="e">
        <f t="shared" si="4"/>
        <v>#NUM!</v>
      </c>
      <c r="AM18" s="59" t="e">
        <f t="shared" si="5"/>
        <v>#NUM!</v>
      </c>
      <c r="AN18" s="59">
        <f ca="1">AVERAGE(OFFSET($AM$3,0,0,'Données projet'!$E$10+1,1))-AVERAGE(OFFSET($H$3,0,0,'Données projet'!$E$10+1,1))</f>
        <v>0</v>
      </c>
      <c r="AO18" s="59">
        <f t="shared" si="36"/>
        <v>0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2.85</v>
      </c>
      <c r="BD18" s="12">
        <f>IF('Données projet'!$A$88&gt;35,BD17+BC18-BL17,IF(A18&lt;'Données projet'!$A$88,$BA$205^A18,IF(A18='Données projet'!$A$88,'Données projet'!$B$88,BD17+BC18-BL17)))</f>
        <v>20.744651426583019</v>
      </c>
      <c r="BE18" s="13">
        <f>BD18*VLOOKUP('Données projet'!$B$11,Paramètres!$A$1:$I$89,3,0)*VLOOKUP('Données projet'!$B$11,Paramètres!$A$1:$I$89,5,0)</f>
        <v>16.828061237244146</v>
      </c>
      <c r="BF18" s="13">
        <f t="shared" si="37"/>
        <v>5.5831048158452417</v>
      </c>
      <c r="BG18" s="20">
        <f t="shared" si="7"/>
        <v>39.03278087579735</v>
      </c>
      <c r="BH18" s="59">
        <f t="shared" si="8"/>
        <v>332.36611420913067</v>
      </c>
      <c r="BI18" s="59">
        <f ca="1">AVERAGE(OFFSET($BH$3,0,0,'Données projet'!$E$11+1,1))-AVERAGE(OFFSET($H$3,0,0,'Données projet'!$E$11+1,1))</f>
        <v>175.73034516698141</v>
      </c>
      <c r="BJ18" s="59">
        <f t="shared" si="38"/>
        <v>203.59461632821052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2.1</v>
      </c>
      <c r="BY18" s="12">
        <f>IF('Données projet'!$A$114&gt;35,BY17+BX18-CG17,IF(A18&lt;'Données projet'!$A$114,$BV$205^A18,IF(A18='Données projet'!$A$114,'Données projet'!$B$114,BY17+BX18-CG17)))</f>
        <v>16.498215337821566</v>
      </c>
      <c r="BZ18" s="13">
        <f>BY18*VLOOKUP('Données projet'!$B$12,Paramètres!$A$1:$I$89,3,0)*VLOOKUP('Données projet'!$B$12,Paramètres!$A$1:$I$89,5,0)</f>
        <v>13.898096600580887</v>
      </c>
      <c r="CA18" s="13">
        <f t="shared" si="39"/>
        <v>4.7148446849071632</v>
      </c>
      <c r="CB18" s="20">
        <f t="shared" si="10"/>
        <v>32.417539405558351</v>
      </c>
      <c r="CC18" s="59">
        <f t="shared" si="11"/>
        <v>325.75087273889164</v>
      </c>
      <c r="CD18" s="59">
        <f ca="1">AVERAGE(OFFSET($CC$3,0,0,'Données projet'!$E$12+1,1))-AVERAGE(OFFSET($H$3,0,0,'Données projet'!$E$12+1,1))</f>
        <v>258.28817640749349</v>
      </c>
      <c r="CE18" s="59">
        <f t="shared" si="40"/>
        <v>158.16416492761954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20.8</v>
      </c>
      <c r="N19" s="13">
        <f>IF('Données projet'!$A$36&gt;35,N18+M19-V18,IF(A19&lt;'Données projet'!$A$36,$K$205^A19,IF(A19='Données projet'!$A$36,'Données projet'!$B$36,N18+M19-V18)))</f>
        <v>155.20000000000002</v>
      </c>
      <c r="O19" s="13">
        <f>N19*VLOOKUP('Données projet'!$B$9,Paramètres!$A$1:$I$89,3,0)*VLOOKUP('Données projet'!$B$9,Paramètres!$A$1:$I$89,5,0)</f>
        <v>92.809600000000017</v>
      </c>
      <c r="P19" s="13">
        <f t="shared" si="33"/>
        <v>25.241615800824192</v>
      </c>
      <c r="Q19" s="20">
        <f t="shared" si="2"/>
        <v>205.60586751976882</v>
      </c>
      <c r="R19" s="59">
        <f t="shared" si="0"/>
        <v>498.93920085310214</v>
      </c>
      <c r="S19" s="59">
        <f ca="1">AVERAGE(OFFSET($R$3,0,0,'Données projet'!$E$9+1,1))-AVERAGE(OFFSET($H$3,0,0,'Données projet'!$E$9+1,1))</f>
        <v>149.5086927376081</v>
      </c>
      <c r="T19" s="59">
        <f t="shared" si="34"/>
        <v>364.59164590134498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5.4101937472482122</v>
      </c>
      <c r="AB19" s="21">
        <f>EXP(-LN(2)/2)*AB18+(1-EXP(-LN(2)/2))/(LN(2)/2)*V19*Y19*VLOOKUP('Données projet'!$B$9,Paramètres!$A$1:$I$89,3,0)*0.475*44/12</f>
        <v>2.8775683841635131</v>
      </c>
      <c r="AC19" s="22">
        <f t="shared" si="3"/>
        <v>8.2877621314117249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>
        <f>AI19*VLOOKUP('Données projet'!$B$10,Paramètres!$A$1:$I$89,3,0)*VLOOKUP('Données projet'!$B$10,Paramètres!$A$1:$I$89,5,0)</f>
        <v>0</v>
      </c>
      <c r="AK19" s="13" t="e">
        <f t="shared" si="35"/>
        <v>#NUM!</v>
      </c>
      <c r="AL19" s="20" t="e">
        <f t="shared" si="4"/>
        <v>#NUM!</v>
      </c>
      <c r="AM19" s="59" t="e">
        <f t="shared" si="5"/>
        <v>#NUM!</v>
      </c>
      <c r="AN19" s="59">
        <f ca="1">AVERAGE(OFFSET($AM$3,0,0,'Données projet'!$E$10+1,1))-AVERAGE(OFFSET($H$3,0,0,'Données projet'!$E$10+1,1))</f>
        <v>0</v>
      </c>
      <c r="AO19" s="59">
        <f t="shared" si="36"/>
        <v>0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2.85</v>
      </c>
      <c r="BD19" s="12">
        <f>IF('Données projet'!$A$88&gt;35,BD18+BC19-BL18,IF(A19&lt;'Données projet'!$A$88,$BA$205^A19,IF(A19='Données projet'!$A$88,'Données projet'!$B$88,BD18+BC19-BL18)))</f>
        <v>25.392173948075062</v>
      </c>
      <c r="BE19" s="13">
        <f>BD19*VLOOKUP('Données projet'!$B$11,Paramètres!$A$1:$I$89,3,0)*VLOOKUP('Données projet'!$B$11,Paramètres!$A$1:$I$89,5,0)</f>
        <v>20.598131506678492</v>
      </c>
      <c r="BF19" s="13">
        <f t="shared" si="37"/>
        <v>6.6749855886015084</v>
      </c>
      <c r="BG19" s="20">
        <f t="shared" si="7"/>
        <v>47.500678940945996</v>
      </c>
      <c r="BH19" s="59">
        <f t="shared" si="8"/>
        <v>340.8340122742793</v>
      </c>
      <c r="BI19" s="59">
        <f ca="1">AVERAGE(OFFSET($BH$3,0,0,'Données projet'!$E$11+1,1))-AVERAGE(OFFSET($H$3,0,0,'Données projet'!$E$11+1,1))</f>
        <v>175.73034516698141</v>
      </c>
      <c r="BJ19" s="59">
        <f t="shared" si="38"/>
        <v>203.59461632821052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2.1</v>
      </c>
      <c r="BY19" s="12">
        <f>IF('Données projet'!$A$114&gt;35,BY18+BX19-CG18,IF(A19&lt;'Données projet'!$A$114,$BV$205^A19,IF(A19='Données projet'!$A$114,'Données projet'!$B$114,BY18+BX19-CG18)))</f>
        <v>19.888381054913147</v>
      </c>
      <c r="BZ19" s="13">
        <f>BY19*VLOOKUP('Données projet'!$B$12,Paramètres!$A$1:$I$89,3,0)*VLOOKUP('Données projet'!$B$12,Paramètres!$A$1:$I$89,5,0)</f>
        <v>16.753972200658836</v>
      </c>
      <c r="CA19" s="13">
        <f t="shared" si="39"/>
        <v>5.5613796648680189</v>
      </c>
      <c r="CB19" s="20">
        <f t="shared" si="10"/>
        <v>38.865904499125939</v>
      </c>
      <c r="CC19" s="59">
        <f t="shared" si="11"/>
        <v>332.19923783245923</v>
      </c>
      <c r="CD19" s="59">
        <f ca="1">AVERAGE(OFFSET($CC$3,0,0,'Données projet'!$E$12+1,1))-AVERAGE(OFFSET($H$3,0,0,'Données projet'!$E$12+1,1))</f>
        <v>258.28817640749349</v>
      </c>
      <c r="CE19" s="59">
        <f t="shared" si="40"/>
        <v>158.16416492761954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20.8</v>
      </c>
      <c r="M20" s="12">
        <f t="array" ref="M20">INDEX(L:L,MIN(IF(ISNUMBER(L20:L216),ROW(L20:L216),"")))</f>
        <v>20.8</v>
      </c>
      <c r="N20" s="13">
        <f>IF('Données projet'!$A$36&gt;35,N19+M20-V19,IF(A20&lt;'Données projet'!$A$36,$K$205^A20,IF(A20='Données projet'!$A$36,'Données projet'!$B$36,N19+M20-V19)))</f>
        <v>176.00000000000003</v>
      </c>
      <c r="O20" s="13">
        <f>N20*VLOOKUP('Données projet'!$B$9,Paramètres!$A$1:$I$89,3,0)*VLOOKUP('Données projet'!$B$9,Paramètres!$A$1:$I$89,5,0)</f>
        <v>105.24800000000003</v>
      </c>
      <c r="P20" s="13">
        <f t="shared" si="33"/>
        <v>28.208515027560551</v>
      </c>
      <c r="Q20" s="20">
        <f t="shared" si="2"/>
        <v>232.43676367300134</v>
      </c>
      <c r="R20" s="59">
        <f t="shared" si="0"/>
        <v>525.77009700633471</v>
      </c>
      <c r="S20" s="59">
        <f ca="1">AVERAGE(OFFSET($R$3,0,0,'Données projet'!$E$9+1,1))-AVERAGE(OFFSET($H$3,0,0,'Données projet'!$E$9+1,1))</f>
        <v>149.5086927376081</v>
      </c>
      <c r="T20" s="59">
        <f t="shared" si="34"/>
        <v>364.59164590134498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0.22500000000000001</v>
      </c>
      <c r="Y20" s="16">
        <f>IF(ISNA(VLOOKUP(A20,'Données projet'!$A$35:$I$55,7,0)),0%,VLOOKUP(A20,'Données projet'!$A$35:$I$55,7,0))</f>
        <v>0.5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12.907069808720115</v>
      </c>
      <c r="AB20" s="21">
        <f>EXP(-LN(2)/2)*AB19+(1-EXP(-LN(2)/2))/(LN(2)/2)*V20*Y20*VLOOKUP('Données projet'!$B$9,Paramètres!$A$1:$I$89,3,0)*0.475*44/12</f>
        <v>16.591858767067809</v>
      </c>
      <c r="AC20" s="22">
        <f t="shared" si="3"/>
        <v>29.498928575787922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>
        <f>AI20*VLOOKUP('Données projet'!$B$10,Paramètres!$A$1:$I$89,3,0)*VLOOKUP('Données projet'!$B$10,Paramètres!$A$1:$I$89,5,0)</f>
        <v>0</v>
      </c>
      <c r="AK20" s="13" t="e">
        <f t="shared" si="35"/>
        <v>#NUM!</v>
      </c>
      <c r="AL20" s="20" t="e">
        <f t="shared" si="4"/>
        <v>#NUM!</v>
      </c>
      <c r="AM20" s="59" t="e">
        <f t="shared" si="5"/>
        <v>#NUM!</v>
      </c>
      <c r="AN20" s="59">
        <f ca="1">AVERAGE(OFFSET($AM$3,0,0,'Données projet'!$E$10+1,1))-AVERAGE(OFFSET($H$3,0,0,'Données projet'!$E$10+1,1))</f>
        <v>0</v>
      </c>
      <c r="AO20" s="59">
        <f t="shared" si="36"/>
        <v>0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2.85</v>
      </c>
      <c r="BD20" s="12">
        <f>IF('Données projet'!$A$88&gt;35,BD19+BC20-BL19,IF(A20&lt;'Données projet'!$A$88,$BA$205^A20,IF(A20='Données projet'!$A$88,'Données projet'!$B$88,BD19+BC20-BL19)))</f>
        <v>31.080902954246678</v>
      </c>
      <c r="BE20" s="13">
        <f>BD20*VLOOKUP('Données projet'!$B$11,Paramètres!$A$1:$I$89,3,0)*VLOOKUP('Données projet'!$B$11,Paramètres!$A$1:$I$89,5,0)</f>
        <v>25.212828476484908</v>
      </c>
      <c r="BF20" s="13">
        <f t="shared" si="37"/>
        <v>7.9804041080486945</v>
      </c>
      <c r="BG20" s="20">
        <f t="shared" si="7"/>
        <v>57.811546751396016</v>
      </c>
      <c r="BH20" s="59">
        <f t="shared" si="8"/>
        <v>351.14488008472932</v>
      </c>
      <c r="BI20" s="59">
        <f ca="1">AVERAGE(OFFSET($BH$3,0,0,'Données projet'!$E$11+1,1))-AVERAGE(OFFSET($H$3,0,0,'Données projet'!$E$11+1,1))</f>
        <v>175.73034516698141</v>
      </c>
      <c r="BJ20" s="59">
        <f t="shared" si="38"/>
        <v>203.59461632821052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2.1</v>
      </c>
      <c r="BY20" s="12">
        <f>IF('Données projet'!$A$114&gt;35,BY19+BX20-CG19,IF(A20&lt;'Données projet'!$A$114,$BV$205^A20,IF(A20='Données projet'!$A$114,'Données projet'!$B$114,BY19+BX20-CG19)))</f>
        <v>23.975181126327602</v>
      </c>
      <c r="BZ20" s="13">
        <f>BY20*VLOOKUP('Données projet'!$B$12,Paramètres!$A$1:$I$89,3,0)*VLOOKUP('Données projet'!$B$12,Paramètres!$A$1:$I$89,5,0)</f>
        <v>20.196692580818372</v>
      </c>
      <c r="CA20" s="13">
        <f t="shared" si="39"/>
        <v>6.5599072384749233</v>
      </c>
      <c r="CB20" s="20">
        <f t="shared" si="10"/>
        <v>46.601078018602493</v>
      </c>
      <c r="CC20" s="59">
        <f t="shared" si="11"/>
        <v>339.93441135193581</v>
      </c>
      <c r="CD20" s="59">
        <f ca="1">AVERAGE(OFFSET($CC$3,0,0,'Données projet'!$E$12+1,1))-AVERAGE(OFFSET($H$3,0,0,'Données projet'!$E$12+1,1))</f>
        <v>258.28817640749349</v>
      </c>
      <c r="CE20" s="59">
        <f t="shared" si="40"/>
        <v>158.16416492761954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19.8</v>
      </c>
      <c r="N21" s="13">
        <f>IF('Données projet'!$A$36&gt;35,N20+M21-V20,IF(A21&lt;'Données projet'!$A$36,$K$205^A21,IF(A21='Données projet'!$A$36,'Données projet'!$B$36,N20+M21-V20)))</f>
        <v>152.80000000000004</v>
      </c>
      <c r="O21" s="13">
        <f>N21*VLOOKUP('Données projet'!$B$9,Paramètres!$A$1:$I$89,3,0)*VLOOKUP('Données projet'!$B$9,Paramètres!$A$1:$I$89,5,0)</f>
        <v>91.374400000000037</v>
      </c>
      <c r="P21" s="13">
        <f t="shared" si="33"/>
        <v>24.89640423383166</v>
      </c>
      <c r="Q21" s="20">
        <f t="shared" si="2"/>
        <v>202.50498404059022</v>
      </c>
      <c r="R21" s="59">
        <f t="shared" si="0"/>
        <v>495.83831737392353</v>
      </c>
      <c r="S21" s="59">
        <f ca="1">AVERAGE(OFFSET($R$3,0,0,'Données projet'!$E$9+1,1))-AVERAGE(OFFSET($H$3,0,0,'Données projet'!$E$9+1,1))</f>
        <v>149.5086927376081</v>
      </c>
      <c r="T21" s="59">
        <f t="shared" si="34"/>
        <v>364.59164590134498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12.554125306047361</v>
      </c>
      <c r="AB21" s="21">
        <f>EXP(-LN(2)/2)*AB20+(1-EXP(-LN(2)/2))/(LN(2)/2)*V21*Y21*VLOOKUP('Données projet'!$B$9,Paramètres!$A$1:$I$89,3,0)*0.475*44/12</f>
        <v>11.732215846683118</v>
      </c>
      <c r="AC21" s="22">
        <f t="shared" si="3"/>
        <v>24.286341152730479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>
        <f>AI21*VLOOKUP('Données projet'!$B$10,Paramètres!$A$1:$I$89,3,0)*VLOOKUP('Données projet'!$B$10,Paramètres!$A$1:$I$89,5,0)</f>
        <v>0</v>
      </c>
      <c r="AK21" s="13" t="e">
        <f t="shared" si="35"/>
        <v>#NUM!</v>
      </c>
      <c r="AL21" s="20" t="e">
        <f t="shared" si="4"/>
        <v>#NUM!</v>
      </c>
      <c r="AM21" s="59" t="e">
        <f t="shared" si="5"/>
        <v>#NUM!</v>
      </c>
      <c r="AN21" s="59">
        <f ca="1">AVERAGE(OFFSET($AM$3,0,0,'Données projet'!$E$10+1,1))-AVERAGE(OFFSET($H$3,0,0,'Données projet'!$E$10+1,1))</f>
        <v>0</v>
      </c>
      <c r="AO21" s="59">
        <f t="shared" si="36"/>
        <v>0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2.85</v>
      </c>
      <c r="BD21" s="12">
        <f>IF('Données projet'!$A$88&gt;35,BD20+BC21-BL20,IF(A21&lt;'Données projet'!$A$88,$BA$205^A21,IF(A21='Données projet'!$A$88,'Données projet'!$B$88,BD20+BC21-BL20)))</f>
        <v>38.044104865803838</v>
      </c>
      <c r="BE21" s="13">
        <f>BD21*VLOOKUP('Données projet'!$B$11,Paramètres!$A$1:$I$89,3,0)*VLOOKUP('Données projet'!$B$11,Paramètres!$A$1:$I$89,5,0)</f>
        <v>30.861377867140074</v>
      </c>
      <c r="BF21" s="13">
        <f t="shared" si="37"/>
        <v>9.5411216821973106</v>
      </c>
      <c r="BG21" s="20">
        <f t="shared" si="7"/>
        <v>70.367686715095942</v>
      </c>
      <c r="BH21" s="59">
        <f t="shared" si="8"/>
        <v>363.70102004842926</v>
      </c>
      <c r="BI21" s="59">
        <f ca="1">AVERAGE(OFFSET($BH$3,0,0,'Données projet'!$E$11+1,1))-AVERAGE(OFFSET($H$3,0,0,'Données projet'!$E$11+1,1))</f>
        <v>175.73034516698141</v>
      </c>
      <c r="BJ21" s="59">
        <f t="shared" si="38"/>
        <v>203.59461632821052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2.1</v>
      </c>
      <c r="BY21" s="12">
        <f>IF('Données projet'!$A$114&gt;35,BY20+BX21-CG20,IF(A21&lt;'Données projet'!$A$114,$BV$205^A21,IF(A21='Données projet'!$A$114,'Données projet'!$B$114,BY20+BX21-CG20)))</f>
        <v>28.901764726506816</v>
      </c>
      <c r="BZ21" s="13">
        <f>BY21*VLOOKUP('Données projet'!$B$12,Paramètres!$A$1:$I$89,3,0)*VLOOKUP('Données projet'!$B$12,Paramètres!$A$1:$I$89,5,0)</f>
        <v>24.346846605609343</v>
      </c>
      <c r="CA21" s="13">
        <f t="shared" si="39"/>
        <v>7.7377171800078735</v>
      </c>
      <c r="CB21" s="20">
        <f t="shared" si="10"/>
        <v>55.880615259949991</v>
      </c>
      <c r="CC21" s="59">
        <f t="shared" si="11"/>
        <v>349.21394859328331</v>
      </c>
      <c r="CD21" s="59">
        <f ca="1">AVERAGE(OFFSET($CC$3,0,0,'Données projet'!$E$12+1,1))-AVERAGE(OFFSET($H$3,0,0,'Données projet'!$E$12+1,1))</f>
        <v>258.28817640749349</v>
      </c>
      <c r="CE21" s="59">
        <f t="shared" si="40"/>
        <v>158.16416492761954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19.8</v>
      </c>
      <c r="N22" s="13">
        <f>IF('Données projet'!$A$36&gt;35,N21+M22-V21,IF(A22&lt;'Données projet'!$A$36,$K$205^A22,IF(A22='Données projet'!$A$36,'Données projet'!$B$36,N21+M22-V21)))</f>
        <v>172.60000000000005</v>
      </c>
      <c r="O22" s="13">
        <f>N22*VLOOKUP('Données projet'!$B$9,Paramètres!$A$1:$I$89,3,0)*VLOOKUP('Données projet'!$B$9,Paramètres!$A$1:$I$89,5,0)</f>
        <v>103.21480000000004</v>
      </c>
      <c r="P22" s="13">
        <f t="shared" si="33"/>
        <v>27.726463199430338</v>
      </c>
      <c r="Q22" s="20">
        <f t="shared" si="2"/>
        <v>228.05603340567458</v>
      </c>
      <c r="R22" s="59">
        <f t="shared" si="0"/>
        <v>521.38936673900787</v>
      </c>
      <c r="S22" s="59">
        <f ca="1">AVERAGE(OFFSET($R$3,0,0,'Données projet'!$E$9+1,1))-AVERAGE(OFFSET($H$3,0,0,'Données projet'!$E$9+1,1))</f>
        <v>149.5086927376081</v>
      </c>
      <c r="T22" s="59">
        <f t="shared" si="34"/>
        <v>364.59164590134498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12.210832089360739</v>
      </c>
      <c r="AB22" s="21">
        <f>EXP(-LN(2)/2)*AB21+(1-EXP(-LN(2)/2))/(LN(2)/2)*V22*Y22*VLOOKUP('Données projet'!$B$9,Paramètres!$A$1:$I$89,3,0)*0.475*44/12</f>
        <v>8.2959293835339061</v>
      </c>
      <c r="AC22" s="22">
        <f t="shared" si="3"/>
        <v>20.506761472894645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>
        <f>AI22*VLOOKUP('Données projet'!$B$10,Paramètres!$A$1:$I$89,3,0)*VLOOKUP('Données projet'!$B$10,Paramètres!$A$1:$I$89,5,0)</f>
        <v>0</v>
      </c>
      <c r="AK22" s="13" t="e">
        <f t="shared" si="35"/>
        <v>#NUM!</v>
      </c>
      <c r="AL22" s="20" t="e">
        <f t="shared" si="4"/>
        <v>#NUM!</v>
      </c>
      <c r="AM22" s="59" t="e">
        <f t="shared" si="5"/>
        <v>#NUM!</v>
      </c>
      <c r="AN22" s="59">
        <f ca="1">AVERAGE(OFFSET($AM$3,0,0,'Données projet'!$E$10+1,1))-AVERAGE(OFFSET($H$3,0,0,'Données projet'!$E$10+1,1))</f>
        <v>0</v>
      </c>
      <c r="AO22" s="59">
        <f t="shared" si="36"/>
        <v>0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2.85</v>
      </c>
      <c r="BD22" s="12">
        <f>IF('Données projet'!$A$88&gt;35,BD21+BC22-BL21,IF(A22&lt;'Données projet'!$A$88,$BA$205^A22,IF(A22='Données projet'!$A$88,'Données projet'!$B$88,BD21+BC22-BL21)))</f>
        <v>46.567305884609858</v>
      </c>
      <c r="BE22" s="13">
        <f>BD22*VLOOKUP('Données projet'!$B$11,Paramètres!$A$1:$I$89,3,0)*VLOOKUP('Données projet'!$B$11,Paramètres!$A$1:$I$89,5,0)</f>
        <v>37.775398533595521</v>
      </c>
      <c r="BF22" s="13">
        <f t="shared" si="37"/>
        <v>11.407066825436033</v>
      </c>
      <c r="BG22" s="20">
        <f t="shared" si="7"/>
        <v>85.659460500313287</v>
      </c>
      <c r="BH22" s="59">
        <f t="shared" si="8"/>
        <v>378.9927938336466</v>
      </c>
      <c r="BI22" s="59">
        <f ca="1">AVERAGE(OFFSET($BH$3,0,0,'Données projet'!$E$11+1,1))-AVERAGE(OFFSET($H$3,0,0,'Données projet'!$E$11+1,1))</f>
        <v>175.73034516698141</v>
      </c>
      <c r="BJ22" s="59">
        <f t="shared" si="38"/>
        <v>203.59461632821052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2.1</v>
      </c>
      <c r="BY22" s="12">
        <f>IF('Données projet'!$A$114&gt;35,BY21+BX22-CG21,IF(A22&lt;'Données projet'!$A$114,$BV$205^A22,IF(A22='Données projet'!$A$114,'Données projet'!$B$114,BY21+BX22-CG21)))</f>
        <v>34.840696297767764</v>
      </c>
      <c r="BZ22" s="13">
        <f>BY22*VLOOKUP('Données projet'!$B$12,Paramètres!$A$1:$I$89,3,0)*VLOOKUP('Données projet'!$B$12,Paramètres!$A$1:$I$89,5,0)</f>
        <v>29.349802561239567</v>
      </c>
      <c r="CA22" s="13">
        <f t="shared" si="39"/>
        <v>9.1269990536799668</v>
      </c>
      <c r="CB22" s="20">
        <f t="shared" si="10"/>
        <v>67.013762812651535</v>
      </c>
      <c r="CC22" s="59">
        <f t="shared" si="11"/>
        <v>360.34709614598484</v>
      </c>
      <c r="CD22" s="59">
        <f ca="1">AVERAGE(OFFSET($CC$3,0,0,'Données projet'!$E$12+1,1))-AVERAGE(OFFSET($H$3,0,0,'Données projet'!$E$12+1,1))</f>
        <v>258.28817640749349</v>
      </c>
      <c r="CE22" s="59">
        <f t="shared" si="40"/>
        <v>158.16416492761954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19.8</v>
      </c>
      <c r="N23" s="13">
        <f>IF('Données projet'!$A$36&gt;35,N22+M23-V22,IF(A23&lt;'Données projet'!$A$36,$K$205^A23,IF(A23='Données projet'!$A$36,'Données projet'!$B$36,N22+M23-V22)))</f>
        <v>192.40000000000006</v>
      </c>
      <c r="O23" s="13">
        <f>N23*VLOOKUP('Données projet'!$B$9,Paramètres!$A$1:$I$89,3,0)*VLOOKUP('Données projet'!$B$9,Paramètres!$A$1:$I$89,5,0)</f>
        <v>115.05520000000004</v>
      </c>
      <c r="P23" s="13">
        <f t="shared" si="33"/>
        <v>30.5188966745568</v>
      </c>
      <c r="Q23" s="20">
        <f t="shared" si="2"/>
        <v>253.54155170818649</v>
      </c>
      <c r="R23" s="59">
        <f t="shared" si="0"/>
        <v>546.87488504151975</v>
      </c>
      <c r="S23" s="59">
        <f ca="1">AVERAGE(OFFSET($R$3,0,0,'Données projet'!$E$9+1,1))-AVERAGE(OFFSET($H$3,0,0,'Données projet'!$E$9+1,1))</f>
        <v>149.5086927376081</v>
      </c>
      <c r="T23" s="59">
        <f t="shared" si="34"/>
        <v>364.59164590134498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11.876926243737419</v>
      </c>
      <c r="AB23" s="21">
        <f>EXP(-LN(2)/2)*AB22+(1-EXP(-LN(2)/2))/(LN(2)/2)*V23*Y23*VLOOKUP('Données projet'!$B$9,Paramètres!$A$1:$I$89,3,0)*0.475*44/12</f>
        <v>5.8661079233415601</v>
      </c>
      <c r="AC23" s="22">
        <f t="shared" si="3"/>
        <v>17.743034167078978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>
        <f>AI23*VLOOKUP('Données projet'!$B$10,Paramètres!$A$1:$I$89,3,0)*VLOOKUP('Données projet'!$B$10,Paramètres!$A$1:$I$89,5,0)</f>
        <v>0</v>
      </c>
      <c r="AK23" s="13" t="e">
        <f t="shared" si="35"/>
        <v>#NUM!</v>
      </c>
      <c r="AL23" s="20" t="e">
        <f t="shared" si="4"/>
        <v>#NUM!</v>
      </c>
      <c r="AM23" s="59" t="e">
        <f t="shared" si="5"/>
        <v>#NUM!</v>
      </c>
      <c r="AN23" s="59">
        <f ca="1">AVERAGE(OFFSET($AM$3,0,0,'Données projet'!$E$10+1,1))-AVERAGE(OFFSET($H$3,0,0,'Données projet'!$E$10+1,1))</f>
        <v>0</v>
      </c>
      <c r="AO23" s="59">
        <f t="shared" si="36"/>
        <v>0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57</v>
      </c>
      <c r="BB23" s="12">
        <f>VLOOKUP(A23,'Données projet'!$A$87:$I$107,9,0)</f>
        <v>2.85</v>
      </c>
      <c r="BC23" s="12">
        <f t="array" ref="BC23">INDEX(BB:BB,MIN(IF(ISNUMBER(BB23:BB219),ROW(BB23:BB219),"")))</f>
        <v>2.85</v>
      </c>
      <c r="BD23" s="12">
        <f>IF('Données projet'!$A$88&gt;35,BD22+BC23-BL22,IF(A23&lt;'Données projet'!$A$88,$BA$205^A23,IF(A23='Données projet'!$A$88,'Données projet'!$B$88,BD22+BC23-BL22)))</f>
        <v>57</v>
      </c>
      <c r="BE23" s="13">
        <f>BD23*VLOOKUP('Données projet'!$B$11,Paramètres!$A$1:$I$89,3,0)*VLOOKUP('Données projet'!$B$11,Paramètres!$A$1:$I$89,5,0)</f>
        <v>46.238400000000006</v>
      </c>
      <c r="BF23" s="13">
        <f t="shared" si="37"/>
        <v>13.637932508790355</v>
      </c>
      <c r="BG23" s="20">
        <f t="shared" si="7"/>
        <v>104.28461245280988</v>
      </c>
      <c r="BH23" s="59">
        <f t="shared" si="8"/>
        <v>397.6179457861432</v>
      </c>
      <c r="BI23" s="59">
        <f ca="1">AVERAGE(OFFSET($BH$3,0,0,'Données projet'!$E$11+1,1))-AVERAGE(OFFSET($H$3,0,0,'Données projet'!$E$11+1,1))</f>
        <v>175.73034516698141</v>
      </c>
      <c r="BJ23" s="59">
        <f t="shared" si="38"/>
        <v>203.59461632821052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21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0.1075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2.0164592653739475</v>
      </c>
      <c r="BR23" s="21">
        <f>EXP(-LN(2)/2)*BR22+(1-EXP(-LN(2)/2))/(LN(2)/2)*BL23*BO23*VLOOKUP('Données projet'!$B$11,Paramètres!$A$1:$I$89,3,0)*0.475*44/12</f>
        <v>4.0182924239214275</v>
      </c>
      <c r="BS23" s="22">
        <f t="shared" si="9"/>
        <v>6.0347516892953745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42</v>
      </c>
      <c r="BW23" s="12">
        <f>VLOOKUP(A23,'Données projet'!$A$113:$I$133,9,0)</f>
        <v>2.1</v>
      </c>
      <c r="BX23" s="12">
        <f t="array" ref="BX23">INDEX(BW:BW,MIN(IF(ISNUMBER(BW23:BW219),ROW(BW23:BW219),"")))</f>
        <v>2.1</v>
      </c>
      <c r="BY23" s="12">
        <f>IF('Données projet'!$A$114&gt;35,BY22+BX23-CG22,IF(A23&lt;'Données projet'!$A$114,$BV$205^A23,IF(A23='Données projet'!$A$114,'Données projet'!$B$114,BY22+BX23-CG22)))</f>
        <v>42</v>
      </c>
      <c r="BZ23" s="13">
        <f>BY23*VLOOKUP('Données projet'!$B$12,Paramètres!$A$1:$I$89,3,0)*VLOOKUP('Données projet'!$B$12,Paramètres!$A$1:$I$89,5,0)</f>
        <v>35.380800000000001</v>
      </c>
      <c r="CA23" s="13">
        <f t="shared" si="39"/>
        <v>10.765721954933243</v>
      </c>
      <c r="CB23" s="20">
        <f t="shared" si="10"/>
        <v>80.371859071508723</v>
      </c>
      <c r="CC23" s="59">
        <f t="shared" si="11"/>
        <v>373.70519240484202</v>
      </c>
      <c r="CD23" s="59">
        <f ca="1">AVERAGE(OFFSET($CC$3,0,0,'Données projet'!$E$12+1,1))-AVERAGE(OFFSET($H$3,0,0,'Données projet'!$E$12+1,1))</f>
        <v>258.28817640749349</v>
      </c>
      <c r="CE23" s="59">
        <f t="shared" si="40"/>
        <v>158.16416492761954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</v>
      </c>
      <c r="N24" s="13">
        <f>IF('Données projet'!$A$36&gt;35,N23+M24-V23,IF(A24&lt;'Données projet'!$A$36,$K$205^A24,IF(A24='Données projet'!$A$36,'Données projet'!$B$36,N23+M24-V23)))</f>
        <v>212.20000000000007</v>
      </c>
      <c r="O24" s="13">
        <f>N24*VLOOKUP('Données projet'!$B$9,Paramètres!$A$1:$I$89,3,0)*VLOOKUP('Données projet'!$B$9,Paramètres!$A$1:$I$89,5,0)</f>
        <v>126.89560000000006</v>
      </c>
      <c r="P24" s="13">
        <f t="shared" si="33"/>
        <v>33.278017701950326</v>
      </c>
      <c r="Q24" s="20">
        <f t="shared" si="2"/>
        <v>278.96905083089689</v>
      </c>
      <c r="R24" s="59">
        <f t="shared" si="0"/>
        <v>572.30238416423026</v>
      </c>
      <c r="S24" s="59">
        <f ca="1">AVERAGE(OFFSET($R$3,0,0,'Données projet'!$E$9+1,1))-AVERAGE(OFFSET($H$3,0,0,'Données projet'!$E$9+1,1))</f>
        <v>149.5086927376081</v>
      </c>
      <c r="T24" s="59">
        <f t="shared" si="34"/>
        <v>364.59164590134498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11.552151071022013</v>
      </c>
      <c r="AB24" s="21">
        <f>EXP(-LN(2)/2)*AB23+(1-EXP(-LN(2)/2))/(LN(2)/2)*V24*Y24*VLOOKUP('Données projet'!$B$9,Paramètres!$A$1:$I$89,3,0)*0.475*44/12</f>
        <v>4.1479646917669539</v>
      </c>
      <c r="AC24" s="22">
        <f t="shared" si="3"/>
        <v>15.700115762788968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>
        <f>AI24*VLOOKUP('Données projet'!$B$10,Paramètres!$A$1:$I$89,3,0)*VLOOKUP('Données projet'!$B$10,Paramètres!$A$1:$I$89,5,0)</f>
        <v>0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0</v>
      </c>
      <c r="AO24" s="59">
        <f t="shared" si="36"/>
        <v>0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9.9</v>
      </c>
      <c r="BD24" s="12">
        <f>IF('Données projet'!$A$88&gt;35,BD23+BC24-BL23,IF(A24&lt;'Données projet'!$A$88,$BA$205^A24,IF(A24='Données projet'!$A$88,'Données projet'!$B$88,BD23+BC24-BL23)))</f>
        <v>45.900000000000006</v>
      </c>
      <c r="BE24" s="13">
        <f>BD24*VLOOKUP('Données projet'!$B$11,Paramètres!$A$1:$I$89,3,0)*VLOOKUP('Données projet'!$B$11,Paramètres!$A$1:$I$89,5,0)</f>
        <v>37.234080000000006</v>
      </c>
      <c r="BF24" s="13">
        <f t="shared" si="37"/>
        <v>11.262510356679771</v>
      </c>
      <c r="BG24" s="20">
        <f t="shared" si="7"/>
        <v>84.464894871217268</v>
      </c>
      <c r="BH24" s="59">
        <f t="shared" si="8"/>
        <v>377.79822820455058</v>
      </c>
      <c r="BI24" s="59">
        <f ca="1">AVERAGE(OFFSET($BH$3,0,0,'Données projet'!$E$11+1,1))-AVERAGE(OFFSET($H$3,0,0,'Données projet'!$E$11+1,1))</f>
        <v>175.73034516698141</v>
      </c>
      <c r="BJ24" s="59">
        <f t="shared" si="38"/>
        <v>203.59461632821052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1.9613190807213128</v>
      </c>
      <c r="BR24" s="21">
        <f>EXP(-LN(2)/2)*BR23+(1-EXP(-LN(2)/2))/(LN(2)/2)*BL24*BO24*VLOOKUP('Données projet'!$B$11,Paramètres!$A$1:$I$89,3,0)*0.475*44/12</f>
        <v>2.8413618217453709</v>
      </c>
      <c r="BS24" s="22">
        <f t="shared" si="9"/>
        <v>4.8026809024666832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6.3</v>
      </c>
      <c r="BY24" s="12">
        <f>IF('Données projet'!$A$114&gt;35,BY23+BX24-CG23,IF(A24&lt;'Données projet'!$A$114,$BV$205^A24,IF(A24='Données projet'!$A$114,'Données projet'!$B$114,BY23+BX24-CG23)))</f>
        <v>48.3</v>
      </c>
      <c r="BZ24" s="13">
        <f>BY24*VLOOKUP('Données projet'!$B$12,Paramètres!$A$1:$I$89,3,0)*VLOOKUP('Données projet'!$B$12,Paramètres!$A$1:$I$89,5,0)</f>
        <v>40.687920000000005</v>
      </c>
      <c r="CA24" s="13">
        <f t="shared" si="39"/>
        <v>12.180798834294963</v>
      </c>
      <c r="CB24" s="20">
        <f t="shared" si="10"/>
        <v>92.079685303063741</v>
      </c>
      <c r="CC24" s="59">
        <f t="shared" si="11"/>
        <v>385.41301863639706</v>
      </c>
      <c r="CD24" s="59">
        <f ca="1">AVERAGE(OFFSET($CC$3,0,0,'Données projet'!$E$12+1,1))-AVERAGE(OFFSET($H$3,0,0,'Données projet'!$E$12+1,1))</f>
        <v>258.28817640749349</v>
      </c>
      <c r="CE24" s="59">
        <f t="shared" si="40"/>
        <v>158.16416492761954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19.8</v>
      </c>
      <c r="M25" s="12">
        <f t="array" ref="M25">INDEX(L:L,MIN(IF(ISNUMBER(L25:L221),ROW(L25:L221),"")))</f>
        <v>19.8</v>
      </c>
      <c r="N25" s="13">
        <f>IF('Données projet'!$A$36&gt;35,N24+M25-V24,IF(A25&lt;'Données projet'!$A$36,$K$205^A25,IF(A25='Données projet'!$A$36,'Données projet'!$B$36,N24+M25-V24)))</f>
        <v>232.00000000000009</v>
      </c>
      <c r="O25" s="13">
        <f>N25*VLOOKUP('Données projet'!$B$9,Paramètres!$A$1:$I$89,3,0)*VLOOKUP('Données projet'!$B$9,Paramètres!$A$1:$I$89,5,0)</f>
        <v>138.73600000000005</v>
      </c>
      <c r="P25" s="13">
        <f t="shared" si="33"/>
        <v>36.007288175538072</v>
      </c>
      <c r="Q25" s="20">
        <f t="shared" si="2"/>
        <v>304.34456023906222</v>
      </c>
      <c r="R25" s="59">
        <f t="shared" si="0"/>
        <v>597.67789357239553</v>
      </c>
      <c r="S25" s="59">
        <f ca="1">AVERAGE(OFFSET($R$3,0,0,'Données projet'!$E$9+1,1))-AVERAGE(OFFSET($H$3,0,0,'Données projet'!$E$9+1,1))</f>
        <v>149.5086927376081</v>
      </c>
      <c r="T25" s="59">
        <f t="shared" si="34"/>
        <v>364.59164590134498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0.13500000000000001</v>
      </c>
      <c r="X25" s="16">
        <f>IF(ISNA(VLOOKUP(A25,'Données projet'!$A$35:$I$55,6,0)),0%,VLOOKUP(A25,'Données projet'!$A$35:$I$55,6,0)*VLOOKUP('Données projet'!$B$9,Paramètres!$A$1:$I$89,7,0))</f>
        <v>0.1575</v>
      </c>
      <c r="Y25" s="16">
        <f>IF(ISNA(VLOOKUP(A25,'Données projet'!$A$35:$I$55,7,0)),0%,VLOOKUP(A25,'Données projet'!$A$35:$I$55,7,0))</f>
        <v>0.35</v>
      </c>
      <c r="Z25" s="21">
        <f>EXP(-LN(2)/35)*Z24+(1-EXP(-LN(2)/35))/(LN(2)/35)*V25*W25*VLOOKUP('Données projet'!$B$9,Paramètres!$A$1:$I$89,3,0)*0.475*44/12</f>
        <v>5.9972387153075095</v>
      </c>
      <c r="AA25" s="21">
        <f>EXP(-LN(2)/25)*AA24+(1-EXP(-LN(2)/25))/(LN(2)/25)*Calculateur!V25*Calculateur!X25*VLOOKUP('Données projet'!$B$9,Paramètres!$A$1:$I$89,3,0)*0.475*44/12</f>
        <v>18.205486410734977</v>
      </c>
      <c r="AB25" s="21">
        <f>EXP(-LN(2)/2)*AB24+(1-EXP(-LN(2)/2))/(LN(2)/2)*V25*Y25*VLOOKUP('Données projet'!$B$9,Paramètres!$A$1:$I$89,3,0)*0.475*44/12</f>
        <v>16.203722274518981</v>
      </c>
      <c r="AC25" s="22">
        <f t="shared" si="3"/>
        <v>40.406447400561468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>
        <f>AI25*VLOOKUP('Données projet'!$B$10,Paramètres!$A$1:$I$89,3,0)*VLOOKUP('Données projet'!$B$10,Paramètres!$A$1:$I$89,5,0)</f>
        <v>0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0</v>
      </c>
      <c r="AO25" s="59">
        <f t="shared" si="36"/>
        <v>0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9.9</v>
      </c>
      <c r="BD25" s="12">
        <f>IF('Données projet'!$A$88&gt;35,BD24+BC25-BL24,IF(A25&lt;'Données projet'!$A$88,$BA$205^A25,IF(A25='Données projet'!$A$88,'Données projet'!$B$88,BD24+BC25-BL24)))</f>
        <v>55.800000000000004</v>
      </c>
      <c r="BE25" s="13">
        <f>BD25*VLOOKUP('Données projet'!$B$11,Paramètres!$A$1:$I$89,3,0)*VLOOKUP('Données projet'!$B$11,Paramètres!$A$1:$I$89,5,0)</f>
        <v>45.264960000000002</v>
      </c>
      <c r="BF25" s="13">
        <f t="shared" si="37"/>
        <v>13.383924947719283</v>
      </c>
      <c r="BG25" s="20">
        <f t="shared" si="7"/>
        <v>102.14680795061109</v>
      </c>
      <c r="BH25" s="59">
        <f t="shared" si="8"/>
        <v>395.48014128394442</v>
      </c>
      <c r="BI25" s="59">
        <f ca="1">AVERAGE(OFFSET($BH$3,0,0,'Données projet'!$E$11+1,1))-AVERAGE(OFFSET($H$3,0,0,'Données projet'!$E$11+1,1))</f>
        <v>175.73034516698141</v>
      </c>
      <c r="BJ25" s="59">
        <f t="shared" si="38"/>
        <v>203.59461632821052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1.9076867073177006</v>
      </c>
      <c r="BR25" s="21">
        <f>EXP(-LN(2)/2)*BR24+(1-EXP(-LN(2)/2))/(LN(2)/2)*BL25*BO25*VLOOKUP('Données projet'!$B$11,Paramètres!$A$1:$I$89,3,0)*0.475*44/12</f>
        <v>2.0091462119607142</v>
      </c>
      <c r="BS25" s="22">
        <f t="shared" si="9"/>
        <v>3.9168329192784146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6.3</v>
      </c>
      <c r="BY25" s="12">
        <f>IF('Données projet'!$A$114&gt;35,BY24+BX25-CG24,IF(A25&lt;'Données projet'!$A$114,$BV$205^A25,IF(A25='Données projet'!$A$114,'Données projet'!$B$114,BY24+BX25-CG24)))</f>
        <v>54.599999999999994</v>
      </c>
      <c r="BZ25" s="13">
        <f>BY25*VLOOKUP('Données projet'!$B$12,Paramètres!$A$1:$I$89,3,0)*VLOOKUP('Données projet'!$B$12,Paramètres!$A$1:$I$89,5,0)</f>
        <v>45.995039999999996</v>
      </c>
      <c r="CA25" s="13">
        <f t="shared" si="39"/>
        <v>13.574489478968964</v>
      </c>
      <c r="CB25" s="20">
        <f t="shared" si="10"/>
        <v>103.75026384253761</v>
      </c>
      <c r="CC25" s="59">
        <f t="shared" si="11"/>
        <v>397.08359717587092</v>
      </c>
      <c r="CD25" s="59">
        <f ca="1">AVERAGE(OFFSET($CC$3,0,0,'Données projet'!$E$12+1,1))-AVERAGE(OFFSET($H$3,0,0,'Données projet'!$E$12+1,1))</f>
        <v>258.28817640749349</v>
      </c>
      <c r="CE25" s="59">
        <f t="shared" si="40"/>
        <v>158.16416492761954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16.625</v>
      </c>
      <c r="N26" s="13">
        <f>IF('Données projet'!$A$36&gt;35,N25+M26-V25,IF(A26&lt;'Données projet'!$A$36,$K$205^A26,IF(A26='Données projet'!$A$36,'Données projet'!$B$36,N25+M26-V25)))</f>
        <v>192.62500000000009</v>
      </c>
      <c r="O26" s="13">
        <f>N26*VLOOKUP('Données projet'!$B$9,Paramètres!$A$1:$I$89,3,0)*VLOOKUP('Données projet'!$B$9,Paramètres!$A$1:$I$89,5,0)</f>
        <v>115.18975000000006</v>
      </c>
      <c r="P26" s="13">
        <f t="shared" si="33"/>
        <v>30.550430193620951</v>
      </c>
      <c r="Q26" s="20">
        <f t="shared" si="2"/>
        <v>253.83081383722325</v>
      </c>
      <c r="R26" s="59">
        <f t="shared" si="0"/>
        <v>547.16414717055659</v>
      </c>
      <c r="S26" s="59">
        <f ca="1">AVERAGE(OFFSET($R$3,0,0,'Données projet'!$E$9+1,1))-AVERAGE(OFFSET($H$3,0,0,'Données projet'!$E$9+1,1))</f>
        <v>149.5086927376081</v>
      </c>
      <c r="T26" s="59">
        <f t="shared" si="34"/>
        <v>364.59164590134498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5.8796365220547528</v>
      </c>
      <c r="AA26" s="21">
        <f>EXP(-LN(2)/25)*AA25+(1-EXP(-LN(2)/25))/(LN(2)/25)*Calculateur!V26*Calculateur!X26*VLOOKUP('Données projet'!$B$9,Paramètres!$A$1:$I$89,3,0)*0.475*44/12</f>
        <v>17.707656427448509</v>
      </c>
      <c r="AB26" s="21">
        <f>EXP(-LN(2)/2)*AB25+(1-EXP(-LN(2)/2))/(LN(2)/2)*V26*Y26*VLOOKUP('Données projet'!$B$9,Paramètres!$A$1:$I$89,3,0)*0.475*44/12</f>
        <v>11.45776190077588</v>
      </c>
      <c r="AC26" s="22">
        <f t="shared" si="3"/>
        <v>35.045054850279143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>
        <f>AI26*VLOOKUP('Données projet'!$B$10,Paramètres!$A$1:$I$89,3,0)*VLOOKUP('Données projet'!$B$10,Paramètres!$A$1:$I$89,5,0)</f>
        <v>0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0</v>
      </c>
      <c r="AO26" s="59">
        <f t="shared" si="36"/>
        <v>0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9.9</v>
      </c>
      <c r="BD26" s="12">
        <f>IF('Données projet'!$A$88&gt;35,BD25+BC26-BL25,IF(A26&lt;'Données projet'!$A$88,$BA$205^A26,IF(A26='Données projet'!$A$88,'Données projet'!$B$88,BD25+BC26-BL25)))</f>
        <v>65.7</v>
      </c>
      <c r="BE26" s="13">
        <f>BD26*VLOOKUP('Données projet'!$B$11,Paramètres!$A$1:$I$89,3,0)*VLOOKUP('Données projet'!$B$11,Paramètres!$A$1:$I$89,5,0)</f>
        <v>53.295840000000005</v>
      </c>
      <c r="BF26" s="13">
        <f t="shared" si="37"/>
        <v>15.461736757535716</v>
      </c>
      <c r="BG26" s="20">
        <f t="shared" si="7"/>
        <v>119.7527795193747</v>
      </c>
      <c r="BH26" s="59">
        <f t="shared" si="8"/>
        <v>413.08611285270803</v>
      </c>
      <c r="BI26" s="59">
        <f ca="1">AVERAGE(OFFSET($BH$3,0,0,'Données projet'!$E$11+1,1))-AVERAGE(OFFSET($H$3,0,0,'Données projet'!$E$11+1,1))</f>
        <v>175.73034516698141</v>
      </c>
      <c r="BJ26" s="59">
        <f t="shared" si="38"/>
        <v>203.59461632821052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1.8555209139852142</v>
      </c>
      <c r="BR26" s="21">
        <f>EXP(-LN(2)/2)*BR25+(1-EXP(-LN(2)/2))/(LN(2)/2)*BL26*BO26*VLOOKUP('Données projet'!$B$11,Paramètres!$A$1:$I$89,3,0)*0.475*44/12</f>
        <v>1.4206809108726857</v>
      </c>
      <c r="BS26" s="22">
        <f t="shared" si="9"/>
        <v>3.2762018248578997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6.3</v>
      </c>
      <c r="BY26" s="12">
        <f>IF('Données projet'!$A$114&gt;35,BY25+BX26-CG25,IF(A26&lt;'Données projet'!$A$114,$BV$205^A26,IF(A26='Données projet'!$A$114,'Données projet'!$B$114,BY25+BX26-CG25)))</f>
        <v>60.899999999999991</v>
      </c>
      <c r="BZ26" s="13">
        <f>BY26*VLOOKUP('Données projet'!$B$12,Paramètres!$A$1:$I$89,3,0)*VLOOKUP('Données projet'!$B$12,Paramètres!$A$1:$I$89,5,0)</f>
        <v>51.302159999999994</v>
      </c>
      <c r="CA26" s="13">
        <f t="shared" si="39"/>
        <v>14.949543317574047</v>
      </c>
      <c r="CB26" s="20">
        <f t="shared" si="10"/>
        <v>115.38838327810811</v>
      </c>
      <c r="CC26" s="59">
        <f t="shared" si="11"/>
        <v>408.72171661144142</v>
      </c>
      <c r="CD26" s="59">
        <f ca="1">AVERAGE(OFFSET($CC$3,0,0,'Données projet'!$E$12+1,1))-AVERAGE(OFFSET($H$3,0,0,'Données projet'!$E$12+1,1))</f>
        <v>258.28817640749349</v>
      </c>
      <c r="CE26" s="59">
        <f t="shared" si="40"/>
        <v>158.16416492761954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16.625</v>
      </c>
      <c r="N27" s="13">
        <f>IF('Données projet'!$A$36&gt;35,N26+M27-V26,IF(A27&lt;'Données projet'!$A$36,$K$205^A27,IF(A27='Données projet'!$A$36,'Données projet'!$B$36,N26+M27-V26)))</f>
        <v>209.25000000000009</v>
      </c>
      <c r="O27" s="13">
        <f>N27*VLOOKUP('Données projet'!$B$9,Paramètres!$A$1:$I$89,3,0)*VLOOKUP('Données projet'!$B$9,Paramètres!$A$1:$I$89,5,0)</f>
        <v>125.13150000000006</v>
      </c>
      <c r="P27" s="13">
        <f t="shared" si="33"/>
        <v>32.868905092404546</v>
      </c>
      <c r="Q27" s="20">
        <f t="shared" si="2"/>
        <v>275.18403886927132</v>
      </c>
      <c r="R27" s="59">
        <f t="shared" si="0"/>
        <v>568.51737220260463</v>
      </c>
      <c r="S27" s="59">
        <f ca="1">AVERAGE(OFFSET($R$3,0,0,'Données projet'!$E$9+1,1))-AVERAGE(OFFSET($H$3,0,0,'Données projet'!$E$9+1,1))</f>
        <v>149.5086927376081</v>
      </c>
      <c r="T27" s="59">
        <f t="shared" si="34"/>
        <v>364.59164590134498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5.7643404360814277</v>
      </c>
      <c r="AA27" s="21">
        <f>EXP(-LN(2)/25)*AA26+(1-EXP(-LN(2)/25))/(LN(2)/25)*Calculateur!V27*Calculateur!X27*VLOOKUP('Données projet'!$B$9,Paramètres!$A$1:$I$89,3,0)*0.475*44/12</f>
        <v>17.223439631234751</v>
      </c>
      <c r="AB27" s="21">
        <f>EXP(-LN(2)/2)*AB26+(1-EXP(-LN(2)/2))/(LN(2)/2)*V27*Y27*VLOOKUP('Données projet'!$B$9,Paramètres!$A$1:$I$89,3,0)*0.475*44/12</f>
        <v>8.1018611372594922</v>
      </c>
      <c r="AC27" s="22">
        <f t="shared" si="3"/>
        <v>31.08964120457567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>
        <f>AI27*VLOOKUP('Données projet'!$B$10,Paramètres!$A$1:$I$89,3,0)*VLOOKUP('Données projet'!$B$10,Paramètres!$A$1:$I$89,5,0)</f>
        <v>0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0</v>
      </c>
      <c r="AO27" s="59">
        <f t="shared" si="36"/>
        <v>0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9.9</v>
      </c>
      <c r="BD27" s="12">
        <f>IF('Données projet'!$A$88&gt;35,BD26+BC27-BL26,IF(A27&lt;'Données projet'!$A$88,$BA$205^A27,IF(A27='Données projet'!$A$88,'Données projet'!$B$88,BD26+BC27-BL26)))</f>
        <v>75.600000000000009</v>
      </c>
      <c r="BE27" s="13">
        <f>BD27*VLOOKUP('Données projet'!$B$11,Paramètres!$A$1:$I$89,3,0)*VLOOKUP('Données projet'!$B$11,Paramètres!$A$1:$I$89,5,0)</f>
        <v>61.326720000000009</v>
      </c>
      <c r="BF27" s="13">
        <f t="shared" si="37"/>
        <v>17.503277286124089</v>
      </c>
      <c r="BG27" s="20">
        <f t="shared" si="7"/>
        <v>137.29557860666611</v>
      </c>
      <c r="BH27" s="59">
        <f t="shared" si="8"/>
        <v>430.6289119399994</v>
      </c>
      <c r="BI27" s="59">
        <f ca="1">AVERAGE(OFFSET($BH$3,0,0,'Données projet'!$E$11+1,1))-AVERAGE(OFFSET($H$3,0,0,'Données projet'!$E$11+1,1))</f>
        <v>175.73034516698141</v>
      </c>
      <c r="BJ27" s="59">
        <f t="shared" si="38"/>
        <v>203.59461632821052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1.8047815970146845</v>
      </c>
      <c r="BR27" s="21">
        <f>EXP(-LN(2)/2)*BR26+(1-EXP(-LN(2)/2))/(LN(2)/2)*BL27*BO27*VLOOKUP('Données projet'!$B$11,Paramètres!$A$1:$I$89,3,0)*0.475*44/12</f>
        <v>1.0045731059803573</v>
      </c>
      <c r="BS27" s="22">
        <f t="shared" si="9"/>
        <v>2.8093547029950416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6.3</v>
      </c>
      <c r="BY27" s="12">
        <f>IF('Données projet'!$A$114&gt;35,BY26+BX27-CG26,IF(A27&lt;'Données projet'!$A$114,$BV$205^A27,IF(A27='Données projet'!$A$114,'Données projet'!$B$114,BY26+BX27-CG26)))</f>
        <v>67.199999999999989</v>
      </c>
      <c r="BZ27" s="13">
        <f>BY27*VLOOKUP('Données projet'!$B$12,Paramètres!$A$1:$I$89,3,0)*VLOOKUP('Données projet'!$B$12,Paramètres!$A$1:$I$89,5,0)</f>
        <v>56.609279999999998</v>
      </c>
      <c r="CA27" s="13">
        <f t="shared" si="39"/>
        <v>16.308107884812738</v>
      </c>
      <c r="CB27" s="20">
        <f t="shared" si="10"/>
        <v>126.99778389938218</v>
      </c>
      <c r="CC27" s="59">
        <f t="shared" si="11"/>
        <v>420.33111723271548</v>
      </c>
      <c r="CD27" s="59">
        <f ca="1">AVERAGE(OFFSET($CC$3,0,0,'Données projet'!$E$12+1,1))-AVERAGE(OFFSET($H$3,0,0,'Données projet'!$E$12+1,1))</f>
        <v>258.28817640749349</v>
      </c>
      <c r="CE27" s="59">
        <f t="shared" si="40"/>
        <v>158.16416492761954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16.625</v>
      </c>
      <c r="N28" s="13">
        <f>IF('Données projet'!$A$36&gt;35,N27+M28-V27,IF(A28&lt;'Données projet'!$A$36,$K$205^A28,IF(A28='Données projet'!$A$36,'Données projet'!$B$36,N27+M28-V27)))</f>
        <v>225.87500000000009</v>
      </c>
      <c r="O28" s="13">
        <f>N28*VLOOKUP('Données projet'!$B$9,Paramètres!$A$1:$I$89,3,0)*VLOOKUP('Données projet'!$B$9,Paramètres!$A$1:$I$89,5,0)</f>
        <v>135.07325000000006</v>
      </c>
      <c r="P28" s="13">
        <f t="shared" si="33"/>
        <v>35.166013795582487</v>
      </c>
      <c r="Q28" s="20">
        <f t="shared" si="2"/>
        <v>296.50005111063956</v>
      </c>
      <c r="R28" s="59">
        <f t="shared" si="0"/>
        <v>589.83338444397282</v>
      </c>
      <c r="S28" s="59">
        <f ca="1">AVERAGE(OFFSET($R$3,0,0,'Données projet'!$E$9+1,1))-AVERAGE(OFFSET($H$3,0,0,'Données projet'!$E$9+1,1))</f>
        <v>149.5086927376081</v>
      </c>
      <c r="T28" s="59">
        <f t="shared" si="34"/>
        <v>364.59164590134498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5.6513052360303702</v>
      </c>
      <c r="AA28" s="21">
        <f>EXP(-LN(2)/25)*AA27+(1-EXP(-LN(2)/25))/(LN(2)/25)*Calculateur!V28*Calculateur!X28*VLOOKUP('Données projet'!$B$9,Paramètres!$A$1:$I$89,3,0)*0.475*44/12</f>
        <v>16.752463768777311</v>
      </c>
      <c r="AB28" s="21">
        <f>EXP(-LN(2)/2)*AB27+(1-EXP(-LN(2)/2))/(LN(2)/2)*V28*Y28*VLOOKUP('Données projet'!$B$9,Paramètres!$A$1:$I$89,3,0)*0.475*44/12</f>
        <v>5.728880950387941</v>
      </c>
      <c r="AC28" s="22">
        <f t="shared" si="3"/>
        <v>28.132649955195625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>
        <f>AI28*VLOOKUP('Données projet'!$B$10,Paramètres!$A$1:$I$89,3,0)*VLOOKUP('Données projet'!$B$10,Paramètres!$A$1:$I$89,5,0)</f>
        <v>0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0</v>
      </c>
      <c r="AO28" s="59">
        <f t="shared" si="36"/>
        <v>0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9.9</v>
      </c>
      <c r="BD28" s="12">
        <f>IF('Données projet'!$A$88&gt;35,BD27+BC28-BL27,IF(A28&lt;'Données projet'!$A$88,$BA$205^A28,IF(A28='Données projet'!$A$88,'Données projet'!$B$88,BD27+BC28-BL27)))</f>
        <v>85.500000000000014</v>
      </c>
      <c r="BE28" s="13">
        <f>BD28*VLOOKUP('Données projet'!$B$11,Paramètres!$A$1:$I$89,3,0)*VLOOKUP('Données projet'!$B$11,Paramètres!$A$1:$I$89,5,0)</f>
        <v>69.357600000000019</v>
      </c>
      <c r="BF28" s="13">
        <f t="shared" si="37"/>
        <v>19.513841511122433</v>
      </c>
      <c r="BG28" s="20">
        <f t="shared" si="7"/>
        <v>154.78442729853825</v>
      </c>
      <c r="BH28" s="59">
        <f t="shared" si="8"/>
        <v>448.11776063187153</v>
      </c>
      <c r="BI28" s="59">
        <f ca="1">AVERAGE(OFFSET($BH$3,0,0,'Données projet'!$E$11+1,1))-AVERAGE(OFFSET($H$3,0,0,'Données projet'!$E$11+1,1))</f>
        <v>175.73034516698141</v>
      </c>
      <c r="BJ28" s="59">
        <f t="shared" si="38"/>
        <v>203.59461632821052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1.7554297493349786</v>
      </c>
      <c r="BR28" s="21">
        <f>EXP(-LN(2)/2)*BR27+(1-EXP(-LN(2)/2))/(LN(2)/2)*BL28*BO28*VLOOKUP('Données projet'!$B$11,Paramètres!$A$1:$I$89,3,0)*0.475*44/12</f>
        <v>0.71034045543634294</v>
      </c>
      <c r="BS28" s="22">
        <f t="shared" si="9"/>
        <v>2.4657702047713217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6.3</v>
      </c>
      <c r="BY28" s="12">
        <f>IF('Données projet'!$A$114&gt;35,BY27+BX28-CG27,IF(A28&lt;'Données projet'!$A$114,$BV$205^A28,IF(A28='Données projet'!$A$114,'Données projet'!$B$114,BY27+BX28-CG27)))</f>
        <v>73.499999999999986</v>
      </c>
      <c r="BZ28" s="13">
        <f>BY28*VLOOKUP('Données projet'!$B$12,Paramètres!$A$1:$I$89,3,0)*VLOOKUP('Données projet'!$B$12,Paramètres!$A$1:$I$89,5,0)</f>
        <v>61.916399999999996</v>
      </c>
      <c r="CA28" s="13">
        <f t="shared" si="39"/>
        <v>17.651904898329537</v>
      </c>
      <c r="CB28" s="20">
        <f t="shared" si="10"/>
        <v>138.5814643645906</v>
      </c>
      <c r="CC28" s="59">
        <f t="shared" si="11"/>
        <v>431.91479769792392</v>
      </c>
      <c r="CD28" s="59">
        <f ca="1">AVERAGE(OFFSET($CC$3,0,0,'Données projet'!$E$12+1,1))-AVERAGE(OFFSET($H$3,0,0,'Données projet'!$E$12+1,1))</f>
        <v>258.28817640749349</v>
      </c>
      <c r="CE28" s="59">
        <f t="shared" si="40"/>
        <v>158.16416492761954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16.625</v>
      </c>
      <c r="N29" s="13">
        <f>IF('Données projet'!$A$36&gt;35,N28+M29-V28,IF(A29&lt;'Données projet'!$A$36,$K$205^A29,IF(A29='Données projet'!$A$36,'Données projet'!$B$36,N28+M29-V28)))</f>
        <v>242.50000000000009</v>
      </c>
      <c r="O29" s="13">
        <f>N29*VLOOKUP('Données projet'!$B$9,Paramètres!$A$1:$I$89,3,0)*VLOOKUP('Données projet'!$B$9,Paramètres!$A$1:$I$89,5,0)</f>
        <v>145.01500000000004</v>
      </c>
      <c r="P29" s="13">
        <f t="shared" si="33"/>
        <v>37.443507744276459</v>
      </c>
      <c r="Q29" s="20">
        <f t="shared" si="2"/>
        <v>317.78190098794829</v>
      </c>
      <c r="R29" s="59">
        <f t="shared" si="0"/>
        <v>611.1152343212816</v>
      </c>
      <c r="S29" s="59">
        <f ca="1">AVERAGE(OFFSET($R$3,0,0,'Données projet'!$E$9+1,1))-AVERAGE(OFFSET($H$3,0,0,'Données projet'!$E$9+1,1))</f>
        <v>149.5086927376081</v>
      </c>
      <c r="T29" s="59">
        <f t="shared" si="34"/>
        <v>364.59164590134498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5.5404865873076501</v>
      </c>
      <c r="AA29" s="21">
        <f>EXP(-LN(2)/25)*AA28+(1-EXP(-LN(2)/25))/(LN(2)/25)*Calculateur!V29*Calculateur!X29*VLOOKUP('Données projet'!$B$9,Paramètres!$A$1:$I$89,3,0)*0.475*44/12</f>
        <v>16.294366766046313</v>
      </c>
      <c r="AB29" s="21">
        <f>EXP(-LN(2)/2)*AB28+(1-EXP(-LN(2)/2))/(LN(2)/2)*V29*Y29*VLOOKUP('Données projet'!$B$9,Paramètres!$A$1:$I$89,3,0)*0.475*44/12</f>
        <v>4.0509305686297461</v>
      </c>
      <c r="AC29" s="22">
        <f t="shared" si="3"/>
        <v>25.885783921983709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>
        <f>AI29*VLOOKUP('Données projet'!$B$10,Paramètres!$A$1:$I$89,3,0)*VLOOKUP('Données projet'!$B$10,Paramètres!$A$1:$I$89,5,0)</f>
        <v>0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0</v>
      </c>
      <c r="AO29" s="59">
        <f t="shared" si="36"/>
        <v>0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9.9</v>
      </c>
      <c r="BD29" s="12">
        <f>IF('Données projet'!$A$88&gt;35,BD28+BC29-BL28,IF(A29&lt;'Données projet'!$A$88,$BA$205^A29,IF(A29='Données projet'!$A$88,'Données projet'!$B$88,BD28+BC29-BL28)))</f>
        <v>95.40000000000002</v>
      </c>
      <c r="BE29" s="13">
        <f>BD29*VLOOKUP('Données projet'!$B$11,Paramètres!$A$1:$I$89,3,0)*VLOOKUP('Données projet'!$B$11,Paramètres!$A$1:$I$89,5,0)</f>
        <v>77.388480000000015</v>
      </c>
      <c r="BF29" s="13">
        <f t="shared" si="37"/>
        <v>21.497425783993659</v>
      </c>
      <c r="BG29" s="20">
        <f t="shared" si="7"/>
        <v>172.22628590712233</v>
      </c>
      <c r="BH29" s="59">
        <f t="shared" si="8"/>
        <v>465.55961924045562</v>
      </c>
      <c r="BI29" s="59">
        <f ca="1">AVERAGE(OFFSET($BH$3,0,0,'Données projet'!$E$11+1,1))-AVERAGE(OFFSET($H$3,0,0,'Données projet'!$E$11+1,1))</f>
        <v>175.73034516698141</v>
      </c>
      <c r="BJ29" s="59">
        <f t="shared" si="38"/>
        <v>203.59461632821052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1.7074274305253752</v>
      </c>
      <c r="BR29" s="21">
        <f>EXP(-LN(2)/2)*BR28+(1-EXP(-LN(2)/2))/(LN(2)/2)*BL29*BO29*VLOOKUP('Données projet'!$B$11,Paramètres!$A$1:$I$89,3,0)*0.475*44/12</f>
        <v>0.50228655299017866</v>
      </c>
      <c r="BS29" s="22">
        <f t="shared" si="9"/>
        <v>2.2097139835155537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6.3</v>
      </c>
      <c r="BY29" s="12">
        <f>IF('Données projet'!$A$114&gt;35,BY28+BX29-CG28,IF(A29&lt;'Données projet'!$A$114,$BV$205^A29,IF(A29='Données projet'!$A$114,'Données projet'!$B$114,BY28+BX29-CG28)))</f>
        <v>79.799999999999983</v>
      </c>
      <c r="BZ29" s="13">
        <f>BY29*VLOOKUP('Données projet'!$B$12,Paramètres!$A$1:$I$89,3,0)*VLOOKUP('Données projet'!$B$12,Paramètres!$A$1:$I$89,5,0)</f>
        <v>67.223519999999994</v>
      </c>
      <c r="CA29" s="13">
        <f t="shared" si="39"/>
        <v>18.982344065165869</v>
      </c>
      <c r="CB29" s="20">
        <f t="shared" si="10"/>
        <v>150.14187991349721</v>
      </c>
      <c r="CC29" s="59">
        <f t="shared" si="11"/>
        <v>443.47521324683055</v>
      </c>
      <c r="CD29" s="59">
        <f ca="1">AVERAGE(OFFSET($CC$3,0,0,'Données projet'!$E$12+1,1))-AVERAGE(OFFSET($H$3,0,0,'Données projet'!$E$12+1,1))</f>
        <v>258.28817640749349</v>
      </c>
      <c r="CE29" s="59">
        <f t="shared" si="40"/>
        <v>158.16416492761954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16.625</v>
      </c>
      <c r="N30" s="13">
        <f>IF('Données projet'!$A$36&gt;35,N29+M30-V29,IF(A30&lt;'Données projet'!$A$36,$K$205^A30,IF(A30='Données projet'!$A$36,'Données projet'!$B$36,N29+M30-V29)))</f>
        <v>259.12500000000011</v>
      </c>
      <c r="O30" s="13">
        <f>N30*VLOOKUP('Données projet'!$B$9,Paramètres!$A$1:$I$89,3,0)*VLOOKUP('Données projet'!$B$9,Paramètres!$A$1:$I$89,5,0)</f>
        <v>154.95675000000008</v>
      </c>
      <c r="P30" s="13">
        <f t="shared" si="33"/>
        <v>39.702884639661342</v>
      </c>
      <c r="Q30" s="20">
        <f t="shared" si="2"/>
        <v>339.03219699741027</v>
      </c>
      <c r="R30" s="59">
        <f t="shared" si="0"/>
        <v>632.36553033074358</v>
      </c>
      <c r="S30" s="59">
        <f ca="1">AVERAGE(OFFSET($R$3,0,0,'Données projet'!$E$9+1,1))-AVERAGE(OFFSET($H$3,0,0,'Données projet'!$E$9+1,1))</f>
        <v>149.5086927376081</v>
      </c>
      <c r="T30" s="59">
        <f t="shared" si="34"/>
        <v>364.59164590134498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5.4318410246936812</v>
      </c>
      <c r="AA30" s="21">
        <f>EXP(-LN(2)/25)*AA29+(1-EXP(-LN(2)/25))/(LN(2)/25)*Calculateur!V30*Calculateur!X30*VLOOKUP('Données projet'!$B$9,Paramètres!$A$1:$I$89,3,0)*0.475*44/12</f>
        <v>15.848796449945269</v>
      </c>
      <c r="AB30" s="21">
        <f>EXP(-LN(2)/2)*AB29+(1-EXP(-LN(2)/2))/(LN(2)/2)*V30*Y30*VLOOKUP('Données projet'!$B$9,Paramètres!$A$1:$I$89,3,0)*0.475*44/12</f>
        <v>2.8644404751939705</v>
      </c>
      <c r="AC30" s="22">
        <f t="shared" si="3"/>
        <v>24.14507794983292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0</v>
      </c>
      <c r="AO30" s="59">
        <f t="shared" si="36"/>
        <v>0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9.9</v>
      </c>
      <c r="BD30" s="12">
        <f>IF('Données projet'!$A$88&gt;35,BD29+BC30-BL29,IF(A30&lt;'Données projet'!$A$88,$BA$205^A30,IF(A30='Données projet'!$A$88,'Données projet'!$B$88,BD29+BC30-BL29)))</f>
        <v>105.30000000000003</v>
      </c>
      <c r="BE30" s="13">
        <f>BD30*VLOOKUP('Données projet'!$B$11,Paramètres!$A$1:$I$89,3,0)*VLOOKUP('Données projet'!$B$11,Paramètres!$A$1:$I$89,5,0)</f>
        <v>85.419360000000026</v>
      </c>
      <c r="BF30" s="13">
        <f t="shared" si="37"/>
        <v>23.457148821242125</v>
      </c>
      <c r="BG30" s="20">
        <f t="shared" si="7"/>
        <v>189.62658619699673</v>
      </c>
      <c r="BH30" s="59">
        <f t="shared" si="8"/>
        <v>482.95991953033001</v>
      </c>
      <c r="BI30" s="59">
        <f ca="1">AVERAGE(OFFSET($BH$3,0,0,'Données projet'!$E$11+1,1))-AVERAGE(OFFSET($H$3,0,0,'Données projet'!$E$11+1,1))</f>
        <v>175.73034516698141</v>
      </c>
      <c r="BJ30" s="59">
        <f t="shared" si="38"/>
        <v>203.59461632821052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1.6607377376479526</v>
      </c>
      <c r="BR30" s="21">
        <f>EXP(-LN(2)/2)*BR29+(1-EXP(-LN(2)/2))/(LN(2)/2)*BL30*BO30*VLOOKUP('Données projet'!$B$11,Paramètres!$A$1:$I$89,3,0)*0.475*44/12</f>
        <v>0.35517022771817147</v>
      </c>
      <c r="BS30" s="22">
        <f t="shared" si="9"/>
        <v>2.0159079653661243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6.3</v>
      </c>
      <c r="BY30" s="12">
        <f>IF('Données projet'!$A$114&gt;35,BY29+BX30-CG29,IF(A30&lt;'Données projet'!$A$114,$BV$205^A30,IF(A30='Données projet'!$A$114,'Données projet'!$B$114,BY29+BX30-CG29)))</f>
        <v>86.09999999999998</v>
      </c>
      <c r="BZ30" s="13">
        <f>BY30*VLOOKUP('Données projet'!$B$12,Paramètres!$A$1:$I$89,3,0)*VLOOKUP('Données projet'!$B$12,Paramètres!$A$1:$I$89,5,0)</f>
        <v>72.530639999999991</v>
      </c>
      <c r="CA30" s="13">
        <f t="shared" si="39"/>
        <v>20.300599848828213</v>
      </c>
      <c r="CB30" s="20">
        <f t="shared" si="10"/>
        <v>161.68107607004245</v>
      </c>
      <c r="CC30" s="59">
        <f t="shared" si="11"/>
        <v>455.01440940337579</v>
      </c>
      <c r="CD30" s="59">
        <f ca="1">AVERAGE(OFFSET($CC$3,0,0,'Données projet'!$E$12+1,1))-AVERAGE(OFFSET($H$3,0,0,'Données projet'!$E$12+1,1))</f>
        <v>258.28817640749349</v>
      </c>
      <c r="CE30" s="59">
        <f t="shared" si="40"/>
        <v>158.16416492761954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16.625</v>
      </c>
      <c r="N31" s="13">
        <f>IF('Données projet'!$A$36&gt;35,N30+M31-V30,IF(A31&lt;'Données projet'!$A$36,$K$205^A31,IF(A31='Données projet'!$A$36,'Données projet'!$B$36,N30+M31-V30)))</f>
        <v>275.75000000000011</v>
      </c>
      <c r="O31" s="13">
        <f>N31*VLOOKUP('Données projet'!$B$9,Paramètres!$A$1:$I$89,3,0)*VLOOKUP('Données projet'!$B$9,Paramètres!$A$1:$I$89,5,0)</f>
        <v>164.89850000000007</v>
      </c>
      <c r="P31" s="13">
        <f t="shared" si="33"/>
        <v>41.94543913753872</v>
      </c>
      <c r="Q31" s="20">
        <f t="shared" si="2"/>
        <v>360.25319399788003</v>
      </c>
      <c r="R31" s="59">
        <f t="shared" si="0"/>
        <v>653.58652733121335</v>
      </c>
      <c r="S31" s="59">
        <f ca="1">AVERAGE(OFFSET($R$3,0,0,'Données projet'!$E$9+1,1))-AVERAGE(OFFSET($H$3,0,0,'Données projet'!$E$9+1,1))</f>
        <v>149.5086927376081</v>
      </c>
      <c r="T31" s="59">
        <f t="shared" si="34"/>
        <v>364.59164590134498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5.3253259352953224</v>
      </c>
      <c r="AA31" s="21">
        <f>EXP(-LN(2)/25)*AA30+(1-EXP(-LN(2)/25))/(LN(2)/25)*Calculateur!V31*Calculateur!X31*VLOOKUP('Données projet'!$B$9,Paramètres!$A$1:$I$89,3,0)*0.475*44/12</f>
        <v>15.415410277569533</v>
      </c>
      <c r="AB31" s="21">
        <f>EXP(-LN(2)/2)*AB30+(1-EXP(-LN(2)/2))/(LN(2)/2)*V31*Y31*VLOOKUP('Données projet'!$B$9,Paramètres!$A$1:$I$89,3,0)*0.475*44/12</f>
        <v>2.025465284314873</v>
      </c>
      <c r="AC31" s="22">
        <f t="shared" si="3"/>
        <v>22.766201497179729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0</v>
      </c>
      <c r="AO31" s="59">
        <f t="shared" si="36"/>
        <v>0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9.9</v>
      </c>
      <c r="BD31" s="12">
        <f>IF('Données projet'!$A$88&gt;35,BD30+BC31-BL30,IF(A31&lt;'Données projet'!$A$88,$BA$205^A31,IF(A31='Données projet'!$A$88,'Données projet'!$B$88,BD30+BC31-BL30)))</f>
        <v>115.20000000000003</v>
      </c>
      <c r="BE31" s="13">
        <f>BD31*VLOOKUP('Données projet'!$B$11,Paramètres!$A$1:$I$89,3,0)*VLOOKUP('Données projet'!$B$11,Paramètres!$A$1:$I$89,5,0)</f>
        <v>93.450240000000036</v>
      </c>
      <c r="BF31" s="13">
        <f t="shared" si="37"/>
        <v>25.395509184428466</v>
      </c>
      <c r="BG31" s="20">
        <f t="shared" si="7"/>
        <v>206.98967982954628</v>
      </c>
      <c r="BH31" s="59">
        <f t="shared" si="8"/>
        <v>500.32301316287959</v>
      </c>
      <c r="BI31" s="59">
        <f ca="1">AVERAGE(OFFSET($BH$3,0,0,'Données projet'!$E$11+1,1))-AVERAGE(OFFSET($H$3,0,0,'Données projet'!$E$11+1,1))</f>
        <v>175.73034516698141</v>
      </c>
      <c r="BJ31" s="59">
        <f t="shared" si="38"/>
        <v>203.59461632821052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1.6153247768775674</v>
      </c>
      <c r="BR31" s="21">
        <f>EXP(-LN(2)/2)*BR30+(1-EXP(-LN(2)/2))/(LN(2)/2)*BL31*BO31*VLOOKUP('Données projet'!$B$11,Paramètres!$A$1:$I$89,3,0)*0.475*44/12</f>
        <v>0.25114327649508933</v>
      </c>
      <c r="BS31" s="22">
        <f t="shared" si="9"/>
        <v>1.8664680533726568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6.3</v>
      </c>
      <c r="BY31" s="12">
        <f>IF('Données projet'!$A$114&gt;35,BY30+BX31-CG30,IF(A31&lt;'Données projet'!$A$114,$BV$205^A31,IF(A31='Données projet'!$A$114,'Données projet'!$B$114,BY30+BX31-CG30)))</f>
        <v>92.399999999999977</v>
      </c>
      <c r="BZ31" s="13">
        <f>BY31*VLOOKUP('Données projet'!$B$12,Paramètres!$A$1:$I$89,3,0)*VLOOKUP('Données projet'!$B$12,Paramètres!$A$1:$I$89,5,0)</f>
        <v>77.837759999999989</v>
      </c>
      <c r="CA31" s="13">
        <f t="shared" si="39"/>
        <v>21.607665094033621</v>
      </c>
      <c r="CB31" s="20">
        <f t="shared" si="10"/>
        <v>173.2007820387752</v>
      </c>
      <c r="CC31" s="59">
        <f t="shared" si="11"/>
        <v>466.53411537210854</v>
      </c>
      <c r="CD31" s="59">
        <f ca="1">AVERAGE(OFFSET($CC$3,0,0,'Données projet'!$E$12+1,1))-AVERAGE(OFFSET($H$3,0,0,'Données projet'!$E$12+1,1))</f>
        <v>258.28817640749349</v>
      </c>
      <c r="CE31" s="59">
        <f t="shared" si="40"/>
        <v>158.16416492761954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16.625</v>
      </c>
      <c r="N32" s="13">
        <f>IF('Données projet'!$A$36&gt;35,N31+M32-V31,IF(A32&lt;'Données projet'!$A$36,$K$205^A32,IF(A32='Données projet'!$A$36,'Données projet'!$B$36,N31+M32-V31)))</f>
        <v>292.37500000000011</v>
      </c>
      <c r="O32" s="13">
        <f>N32*VLOOKUP('Données projet'!$B$9,Paramètres!$A$1:$I$89,3,0)*VLOOKUP('Données projet'!$B$9,Paramètres!$A$1:$I$89,5,0)</f>
        <v>174.84025000000008</v>
      </c>
      <c r="P32" s="13">
        <f t="shared" si="33"/>
        <v>44.172300963535264</v>
      </c>
      <c r="Q32" s="20">
        <f t="shared" si="2"/>
        <v>381.44685959482405</v>
      </c>
      <c r="R32" s="59">
        <f t="shared" si="0"/>
        <v>674.78019292815736</v>
      </c>
      <c r="S32" s="59">
        <f ca="1">AVERAGE(OFFSET($R$3,0,0,'Données projet'!$E$9+1,1))-AVERAGE(OFFSET($H$3,0,0,'Données projet'!$E$9+1,1))</f>
        <v>149.5086927376081</v>
      </c>
      <c r="T32" s="59">
        <f t="shared" si="34"/>
        <v>364.59164590134498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5.2208995418322752</v>
      </c>
      <c r="AA32" s="21">
        <f>EXP(-LN(2)/25)*AA31+(1-EXP(-LN(2)/25))/(LN(2)/25)*Calculateur!V32*Calculateur!X32*VLOOKUP('Données projet'!$B$9,Paramètres!$A$1:$I$89,3,0)*0.475*44/12</f>
        <v>14.9938750728682</v>
      </c>
      <c r="AB32" s="21">
        <f>EXP(-LN(2)/2)*AB31+(1-EXP(-LN(2)/2))/(LN(2)/2)*V32*Y32*VLOOKUP('Données projet'!$B$9,Paramètres!$A$1:$I$89,3,0)*0.475*44/12</f>
        <v>1.4322202375969852</v>
      </c>
      <c r="AC32" s="22">
        <f t="shared" si="3"/>
        <v>21.64699485229746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0</v>
      </c>
      <c r="AO32" s="59">
        <f t="shared" si="36"/>
        <v>0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9.9</v>
      </c>
      <c r="BD32" s="12">
        <f>IF('Données projet'!$A$88&gt;35,BD31+BC32-BL31,IF(A32&lt;'Données projet'!$A$88,$BA$205^A32,IF(A32='Données projet'!$A$88,'Données projet'!$B$88,BD31+BC32-BL31)))</f>
        <v>125.10000000000004</v>
      </c>
      <c r="BE32" s="13">
        <f>BD32*VLOOKUP('Données projet'!$B$11,Paramètres!$A$1:$I$89,3,0)*VLOOKUP('Données projet'!$B$11,Paramètres!$A$1:$I$89,5,0)</f>
        <v>101.48112000000003</v>
      </c>
      <c r="BF32" s="13">
        <f t="shared" si="37"/>
        <v>27.314551461266014</v>
      </c>
      <c r="BG32" s="20">
        <f t="shared" si="7"/>
        <v>224.31912779503833</v>
      </c>
      <c r="BH32" s="59">
        <f t="shared" si="8"/>
        <v>517.65246112837167</v>
      </c>
      <c r="BI32" s="59">
        <f ca="1">AVERAGE(OFFSET($BH$3,0,0,'Données projet'!$E$11+1,1))-AVERAGE(OFFSET($H$3,0,0,'Données projet'!$E$11+1,1))</f>
        <v>175.73034516698141</v>
      </c>
      <c r="BJ32" s="59">
        <f t="shared" si="38"/>
        <v>203.59461632821052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1.5711536359076121</v>
      </c>
      <c r="BR32" s="21">
        <f>EXP(-LN(2)/2)*BR31+(1-EXP(-LN(2)/2))/(LN(2)/2)*BL32*BO32*VLOOKUP('Données projet'!$B$11,Paramètres!$A$1:$I$89,3,0)*0.475*44/12</f>
        <v>0.17758511385908574</v>
      </c>
      <c r="BS32" s="22">
        <f t="shared" si="9"/>
        <v>1.748738749766698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6.3</v>
      </c>
      <c r="BY32" s="12">
        <f>IF('Données projet'!$A$114&gt;35,BY31+BX32-CG31,IF(A32&lt;'Données projet'!$A$114,$BV$205^A32,IF(A32='Données projet'!$A$114,'Données projet'!$B$114,BY31+BX32-CG31)))</f>
        <v>98.699999999999974</v>
      </c>
      <c r="BZ32" s="13">
        <f>BY32*VLOOKUP('Données projet'!$B$12,Paramètres!$A$1:$I$89,3,0)*VLOOKUP('Données projet'!$B$12,Paramètres!$A$1:$I$89,5,0)</f>
        <v>83.144879999999986</v>
      </c>
      <c r="CA32" s="13">
        <f t="shared" si="39"/>
        <v>22.904389594622863</v>
      </c>
      <c r="CB32" s="20">
        <f t="shared" si="10"/>
        <v>184.70247787730145</v>
      </c>
      <c r="CC32" s="59">
        <f t="shared" si="11"/>
        <v>478.03581121063473</v>
      </c>
      <c r="CD32" s="59">
        <f ca="1">AVERAGE(OFFSET($CC$3,0,0,'Données projet'!$E$12+1,1))-AVERAGE(OFFSET($H$3,0,0,'Données projet'!$E$12+1,1))</f>
        <v>258.28817640749349</v>
      </c>
      <c r="CE32" s="59">
        <f t="shared" si="40"/>
        <v>158.16416492761954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16.625</v>
      </c>
      <c r="M33" s="12">
        <f t="array" ref="M33">INDEX(L:L,MIN(IF(ISNUMBER(L33:L229),ROW(L33:L229),"")))</f>
        <v>16.625</v>
      </c>
      <c r="N33" s="13">
        <f>IF('Données projet'!$A$36&gt;35,N32+M33-V32,IF(A33&lt;'Données projet'!$A$36,$K$205^A33,IF(A33='Données projet'!$A$36,'Données projet'!$B$36,N32+M33-V32)))</f>
        <v>309.00000000000011</v>
      </c>
      <c r="O33" s="13">
        <f>N33*VLOOKUP('Données projet'!$B$9,Paramètres!$A$1:$I$89,3,0)*VLOOKUP('Données projet'!$B$9,Paramètres!$A$1:$I$89,5,0)</f>
        <v>184.7820000000001</v>
      </c>
      <c r="P33" s="13">
        <f t="shared" si="33"/>
        <v>46.384464109944147</v>
      </c>
      <c r="Q33" s="20">
        <f t="shared" si="2"/>
        <v>402.61492499148613</v>
      </c>
      <c r="R33" s="59">
        <f t="shared" si="0"/>
        <v>695.94825832481945</v>
      </c>
      <c r="S33" s="59">
        <f ca="1">AVERAGE(OFFSET($R$3,0,0,'Données projet'!$E$9+1,1))-AVERAGE(OFFSET($H$3,0,0,'Données projet'!$E$9+1,1))</f>
        <v>149.5086927376081</v>
      </c>
      <c r="T33" s="59">
        <f t="shared" si="34"/>
        <v>364.59164590134498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0.22500000000000001</v>
      </c>
      <c r="X33" s="16">
        <f>IF(ISNA(VLOOKUP(A33,'Données projet'!$A$35:$I$55,6,0)),0%,VLOOKUP(A33,'Données projet'!$A$35:$I$55,6,0)*VLOOKUP('Données projet'!$B$9,Paramètres!$A$1:$I$89,7,0))</f>
        <v>0.1125</v>
      </c>
      <c r="Y33" s="16">
        <f>IF(ISNA(VLOOKUP(A33,'Données projet'!$A$35:$I$55,7,0)),0%,VLOOKUP(A33,'Données projet'!$A$35:$I$55,7,0))</f>
        <v>0.25</v>
      </c>
      <c r="Z33" s="21">
        <f>EXP(-LN(2)/35)*Z32+(1-EXP(-LN(2)/35))/(LN(2)/35)*V33*W33*VLOOKUP('Données projet'!$B$9,Paramètres!$A$1:$I$89,3,0)*0.475*44/12</f>
        <v>60.271698357382782</v>
      </c>
      <c r="AA33" s="21">
        <f>EXP(-LN(2)/25)*AA32+(1-EXP(-LN(2)/25))/(LN(2)/25)*Calculateur!V33*Calculateur!X33*VLOOKUP('Données projet'!$B$9,Paramètres!$A$1:$I$89,3,0)*0.475*44/12</f>
        <v>42.051875968716772</v>
      </c>
      <c r="AB33" s="21">
        <f>EXP(-LN(2)/2)*AB32+(1-EXP(-LN(2)/2))/(LN(2)/2)*V33*Y33*VLOOKUP('Données projet'!$B$9,Paramètres!$A$1:$I$89,3,0)*0.475*44/12</f>
        <v>53.316769742541297</v>
      </c>
      <c r="AC33" s="22">
        <f t="shared" si="3"/>
        <v>155.64034406864084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0</v>
      </c>
      <c r="AO33" s="59">
        <f t="shared" si="36"/>
        <v>0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135</v>
      </c>
      <c r="BB33" s="12">
        <f>VLOOKUP(A33,'Données projet'!$A$87:$I$107,9,0)</f>
        <v>9.9</v>
      </c>
      <c r="BC33" s="12">
        <f t="array" ref="BC33">INDEX(BB:BB,MIN(IF(ISNUMBER(BB33:BB229),ROW(BB33:BB229),"")))</f>
        <v>9.9</v>
      </c>
      <c r="BD33" s="12">
        <f>IF('Données projet'!$A$88&gt;35,BD32+BC33-BL32,IF(A33&lt;'Données projet'!$A$88,$BA$205^A33,IF(A33='Données projet'!$A$88,'Données projet'!$B$88,BD32+BC33-BL32)))</f>
        <v>135.00000000000003</v>
      </c>
      <c r="BE33" s="13">
        <f>BD33*VLOOKUP('Données projet'!$B$11,Paramètres!$A$1:$I$89,3,0)*VLOOKUP('Données projet'!$B$11,Paramètres!$A$1:$I$89,5,0)</f>
        <v>109.51200000000003</v>
      </c>
      <c r="BF33" s="13">
        <f t="shared" si="37"/>
        <v>29.215978230632555</v>
      </c>
      <c r="BG33" s="20">
        <f t="shared" si="7"/>
        <v>241.61789541835174</v>
      </c>
      <c r="BH33" s="59">
        <f t="shared" si="8"/>
        <v>534.95122875168499</v>
      </c>
      <c r="BI33" s="59">
        <f ca="1">AVERAGE(OFFSET($BH$3,0,0,'Données projet'!$E$11+1,1))-AVERAGE(OFFSET($H$3,0,0,'Données projet'!$E$11+1,1))</f>
        <v>175.73034516698141</v>
      </c>
      <c r="BJ33" s="59">
        <f t="shared" si="38"/>
        <v>203.59461632821052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42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0.1075</v>
      </c>
      <c r="BO33" s="16">
        <f>IF(ISNA(VLOOKUP(A33,'Données projet'!$A$87:$I$107,7,0)),0%,VLOOKUP(A33,'Données projet'!$A$87:$I$107,7,0))</f>
        <v>0.25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5.5611088878582349</v>
      </c>
      <c r="BR33" s="21">
        <f>EXP(-LN(2)/2)*BR32+(1-EXP(-LN(2)/2))/(LN(2)/2)*BL33*BO33*VLOOKUP('Données projet'!$B$11,Paramètres!$A$1:$I$89,3,0)*0.475*44/12</f>
        <v>8.1621564860903995</v>
      </c>
      <c r="BS33" s="22">
        <f t="shared" si="9"/>
        <v>13.723265373948635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105</v>
      </c>
      <c r="BW33" s="12">
        <f>VLOOKUP(A33,'Données projet'!$A$113:$I$133,9,0)</f>
        <v>6.3</v>
      </c>
      <c r="BX33" s="12">
        <f t="array" ref="BX33">INDEX(BW:BW,MIN(IF(ISNUMBER(BW33:BW229),ROW(BW33:BW229),"")))</f>
        <v>6.3</v>
      </c>
      <c r="BY33" s="12">
        <f>IF('Données projet'!$A$114&gt;35,BY32+BX33-CG32,IF(A33&lt;'Données projet'!$A$114,$BV$205^A33,IF(A33='Données projet'!$A$114,'Données projet'!$B$114,BY32+BX33-CG32)))</f>
        <v>104.99999999999997</v>
      </c>
      <c r="BZ33" s="13">
        <f>BY33*VLOOKUP('Données projet'!$B$12,Paramètres!$A$1:$I$89,3,0)*VLOOKUP('Données projet'!$B$12,Paramètres!$A$1:$I$89,5,0)</f>
        <v>88.451999999999984</v>
      </c>
      <c r="CA33" s="13">
        <f t="shared" si="39"/>
        <v>24.191508526943956</v>
      </c>
      <c r="CB33" s="20">
        <f t="shared" si="10"/>
        <v>196.18744401776067</v>
      </c>
      <c r="CC33" s="59">
        <f t="shared" si="11"/>
        <v>489.52077735109401</v>
      </c>
      <c r="CD33" s="59">
        <f ca="1">AVERAGE(OFFSET($CC$3,0,0,'Données projet'!$E$12+1,1))-AVERAGE(OFFSET($H$3,0,0,'Données projet'!$E$12+1,1))</f>
        <v>258.28817640749349</v>
      </c>
      <c r="CE33" s="59">
        <f t="shared" si="40"/>
        <v>158.16416492761954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29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1.1368683772161603E-13</v>
      </c>
      <c r="O34" s="13">
        <f>N34*VLOOKUP('Données projet'!$B$9,Paramètres!$A$1:$I$89,3,0)*VLOOKUP('Données projet'!$B$9,Paramètres!$A$1:$I$89,5,0)</f>
        <v>6.7984728957526396E-14</v>
      </c>
      <c r="P34" s="13">
        <f t="shared" si="33"/>
        <v>1.0682447123141398E-12</v>
      </c>
      <c r="Q34" s="20">
        <f t="shared" si="2"/>
        <v>1.978932943548152E-12</v>
      </c>
      <c r="R34" s="59">
        <f t="shared" si="0"/>
        <v>293.3333333333353</v>
      </c>
      <c r="S34" s="59">
        <f ca="1">AVERAGE(OFFSET($R$3,0,0,'Données projet'!$E$9+1,1))-AVERAGE(OFFSET($H$3,0,0,'Données projet'!$E$9+1,1))</f>
        <v>149.5086927376081</v>
      </c>
      <c r="T34" s="59">
        <f t="shared" si="34"/>
        <v>364.59164590134498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59.089807114700548</v>
      </c>
      <c r="AA34" s="21">
        <f>EXP(-LN(2)/25)*AA33+(1-EXP(-LN(2)/25))/(LN(2)/25)*Calculateur!V34*Calculateur!X34*VLOOKUP('Données projet'!$B$9,Paramètres!$A$1:$I$89,3,0)*0.475*44/12</f>
        <v>40.901965208940162</v>
      </c>
      <c r="AB34" s="21">
        <f>EXP(-LN(2)/2)*AB33+(1-EXP(-LN(2)/2))/(LN(2)/2)*V34*Y34*VLOOKUP('Données projet'!$B$9,Paramètres!$A$1:$I$89,3,0)*0.475*44/12</f>
        <v>37.700649435912688</v>
      </c>
      <c r="AC34" s="22">
        <f t="shared" si="3"/>
        <v>137.69242175955338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0</v>
      </c>
      <c r="AO34" s="59">
        <f t="shared" si="36"/>
        <v>0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8.1</v>
      </c>
      <c r="BD34" s="12">
        <f>IF('Données projet'!$A$88&gt;35,BD33+BC34-BL33,IF(A34&lt;'Données projet'!$A$88,$BA$205^A34,IF(A34='Données projet'!$A$88,'Données projet'!$B$88,BD33+BC34-BL33)))</f>
        <v>101.10000000000002</v>
      </c>
      <c r="BE34" s="13">
        <f>BD34*VLOOKUP('Données projet'!$B$11,Paramètres!$A$1:$I$89,3,0)*VLOOKUP('Données projet'!$B$11,Paramètres!$A$1:$I$89,5,0)</f>
        <v>82.012320000000031</v>
      </c>
      <c r="BF34" s="13">
        <f t="shared" si="37"/>
        <v>22.628493181324838</v>
      </c>
      <c r="BG34" s="20">
        <f t="shared" si="7"/>
        <v>182.24941629080749</v>
      </c>
      <c r="BH34" s="59">
        <f t="shared" si="8"/>
        <v>475.58274962414077</v>
      </c>
      <c r="BI34" s="59">
        <f ca="1">AVERAGE(OFFSET($BH$3,0,0,'Données projet'!$E$11+1,1))-AVERAGE(OFFSET($H$3,0,0,'Données projet'!$E$11+1,1))</f>
        <v>175.73034516698141</v>
      </c>
      <c r="BJ34" s="59">
        <f t="shared" si="38"/>
        <v>203.59461632821052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5.4090400728737453</v>
      </c>
      <c r="BR34" s="21">
        <f>EXP(-LN(2)/2)*BR33+(1-EXP(-LN(2)/2))/(LN(2)/2)*BL34*BO34*VLOOKUP('Données projet'!$B$11,Paramètres!$A$1:$I$89,3,0)*0.475*44/12</f>
        <v>5.771516200420284</v>
      </c>
      <c r="BS34" s="22">
        <f t="shared" si="9"/>
        <v>11.18055627329403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8.1999999999999993</v>
      </c>
      <c r="BY34" s="12">
        <f>IF('Données projet'!$A$114&gt;35,BY33+BX34-CG33,IF(A34&lt;'Données projet'!$A$114,$BV$205^A34,IF(A34='Données projet'!$A$114,'Données projet'!$B$114,BY33+BX34-CG33)))</f>
        <v>84.199999999999974</v>
      </c>
      <c r="BZ34" s="13">
        <f>BY34*VLOOKUP('Données projet'!$B$12,Paramètres!$A$1:$I$89,3,0)*VLOOKUP('Données projet'!$B$12,Paramètres!$A$1:$I$89,5,0)</f>
        <v>70.93007999999999</v>
      </c>
      <c r="CA34" s="13">
        <f t="shared" si="39"/>
        <v>19.904251483253447</v>
      </c>
      <c r="CB34" s="20">
        <f t="shared" si="10"/>
        <v>158.20312733333307</v>
      </c>
      <c r="CC34" s="59">
        <f t="shared" si="11"/>
        <v>451.53646066666636</v>
      </c>
      <c r="CD34" s="59">
        <f ca="1">AVERAGE(OFFSET($CC$3,0,0,'Données projet'!$E$12+1,1))-AVERAGE(OFFSET($H$3,0,0,'Données projet'!$E$12+1,1))</f>
        <v>258.28817640749349</v>
      </c>
      <c r="CE34" s="59">
        <f t="shared" si="40"/>
        <v>158.16416492761954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1.1368683772161603E-13</v>
      </c>
      <c r="O35" s="13">
        <f>N35*VLOOKUP('Données projet'!$B$9,Paramètres!$A$1:$I$89,3,0)*VLOOKUP('Données projet'!$B$9,Paramètres!$A$1:$I$89,5,0)</f>
        <v>6.7984728957526396E-14</v>
      </c>
      <c r="P35" s="13">
        <f t="shared" si="33"/>
        <v>1.0682447123141398E-12</v>
      </c>
      <c r="Q35" s="20">
        <f t="shared" ref="Q35:Q66" si="53">(O35+P35)*0.475*44/12</f>
        <v>1.978932943548152E-12</v>
      </c>
      <c r="R35" s="59">
        <f t="shared" si="0"/>
        <v>293.3333333333353</v>
      </c>
      <c r="S35" s="59">
        <f ca="1">AVERAGE(OFFSET($R$3,0,0,'Données projet'!$E$9+1,1))-AVERAGE(OFFSET($H$3,0,0,'Données projet'!$E$9+1,1))</f>
        <v>149.5086927376081</v>
      </c>
      <c r="T35" s="59">
        <f t="shared" si="34"/>
        <v>364.59164590134498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57.931092038404834</v>
      </c>
      <c r="AA35" s="21">
        <f>EXP(-LN(2)/25)*AA34+(1-EXP(-LN(2)/25))/(LN(2)/25)*Calculateur!V35*Calculateur!X35*VLOOKUP('Données projet'!$B$9,Paramètres!$A$1:$I$89,3,0)*0.475*44/12</f>
        <v>39.783498819360823</v>
      </c>
      <c r="AB35" s="21">
        <f>EXP(-LN(2)/2)*AB34+(1-EXP(-LN(2)/2))/(LN(2)/2)*V35*Y35*VLOOKUP('Données projet'!$B$9,Paramètres!$A$1:$I$89,3,0)*0.475*44/12</f>
        <v>26.658384871270652</v>
      </c>
      <c r="AC35" s="22">
        <f t="shared" si="3"/>
        <v>124.37297572903631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0</v>
      </c>
      <c r="AO35" s="59">
        <f t="shared" si="36"/>
        <v>0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8.1</v>
      </c>
      <c r="BD35" s="12">
        <f>IF('Données projet'!$A$88&gt;35,BD34+BC35-BL34,IF(A35&lt;'Données projet'!$A$88,$BA$205^A35,IF(A35='Données projet'!$A$88,'Données projet'!$B$88,BD34+BC35-BL34)))</f>
        <v>109.20000000000002</v>
      </c>
      <c r="BE35" s="13">
        <f>BD35*VLOOKUP('Données projet'!$B$11,Paramètres!$A$1:$I$89,3,0)*VLOOKUP('Données projet'!$B$11,Paramètres!$A$1:$I$89,5,0)</f>
        <v>88.583040000000025</v>
      </c>
      <c r="BF35" s="13">
        <f t="shared" si="37"/>
        <v>24.223173378642503</v>
      </c>
      <c r="BG35" s="20">
        <f t="shared" si="7"/>
        <v>196.47082163446908</v>
      </c>
      <c r="BH35" s="59">
        <f t="shared" si="8"/>
        <v>489.80415496780239</v>
      </c>
      <c r="BI35" s="59">
        <f ca="1">AVERAGE(OFFSET($BH$3,0,0,'Données projet'!$E$11+1,1))-AVERAGE(OFFSET($H$3,0,0,'Données projet'!$E$11+1,1))</f>
        <v>175.73034516698141</v>
      </c>
      <c r="BJ35" s="59">
        <f t="shared" si="38"/>
        <v>203.59461632821052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5.2611295876319577</v>
      </c>
      <c r="BR35" s="21">
        <f>EXP(-LN(2)/2)*BR34+(1-EXP(-LN(2)/2))/(LN(2)/2)*BL35*BO35*VLOOKUP('Données projet'!$B$11,Paramètres!$A$1:$I$89,3,0)*0.475*44/12</f>
        <v>4.0810782430452006</v>
      </c>
      <c r="BS35" s="22">
        <f t="shared" si="9"/>
        <v>9.3422078306771574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8.1999999999999993</v>
      </c>
      <c r="BY35" s="12">
        <f>IF('Données projet'!$A$114&gt;35,BY34+BX35-CG34,IF(A35&lt;'Données projet'!$A$114,$BV$205^A35,IF(A35='Données projet'!$A$114,'Données projet'!$B$114,BY34+BX35-CG34)))</f>
        <v>92.399999999999977</v>
      </c>
      <c r="BZ35" s="13">
        <f>BY35*VLOOKUP('Données projet'!$B$12,Paramètres!$A$1:$I$89,3,0)*VLOOKUP('Données projet'!$B$12,Paramètres!$A$1:$I$89,5,0)</f>
        <v>77.837759999999989</v>
      </c>
      <c r="CA35" s="13">
        <f t="shared" si="39"/>
        <v>21.607665094033621</v>
      </c>
      <c r="CB35" s="20">
        <f t="shared" si="10"/>
        <v>173.2007820387752</v>
      </c>
      <c r="CC35" s="59">
        <f t="shared" si="11"/>
        <v>466.53411537210854</v>
      </c>
      <c r="CD35" s="59">
        <f ca="1">AVERAGE(OFFSET($CC$3,0,0,'Données projet'!$E$12+1,1))-AVERAGE(OFFSET($H$3,0,0,'Données projet'!$E$12+1,1))</f>
        <v>258.28817640749349</v>
      </c>
      <c r="CE35" s="59">
        <f t="shared" si="40"/>
        <v>158.16416492761954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1.1368683772161603E-13</v>
      </c>
      <c r="O36" s="13">
        <f>N36*VLOOKUP('Données projet'!$B$9,Paramètres!$A$1:$I$89,3,0)*VLOOKUP('Données projet'!$B$9,Paramètres!$A$1:$I$89,5,0)</f>
        <v>6.7984728957526396E-14</v>
      </c>
      <c r="P36" s="13">
        <f t="shared" si="33"/>
        <v>1.0682447123141398E-12</v>
      </c>
      <c r="Q36" s="20">
        <f t="shared" si="53"/>
        <v>1.978932943548152E-12</v>
      </c>
      <c r="R36" s="59">
        <f t="shared" si="0"/>
        <v>293.3333333333353</v>
      </c>
      <c r="S36" s="59">
        <f ca="1">AVERAGE(OFFSET($R$3,0,0,'Données projet'!$E$9+1,1))-AVERAGE(OFFSET($H$3,0,0,'Données projet'!$E$9+1,1))</f>
        <v>149.5086927376081</v>
      </c>
      <c r="T36" s="59">
        <f t="shared" si="34"/>
        <v>364.59164590134498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56.795098658008868</v>
      </c>
      <c r="AA36" s="21">
        <f>EXP(-LN(2)/25)*AA35+(1-EXP(-LN(2)/25))/(LN(2)/25)*Calculateur!V36*Calculateur!X36*VLOOKUP('Données projet'!$B$9,Paramètres!$A$1:$I$89,3,0)*0.475*44/12</f>
        <v>38.695616952022121</v>
      </c>
      <c r="AB36" s="21">
        <f>EXP(-LN(2)/2)*AB35+(1-EXP(-LN(2)/2))/(LN(2)/2)*V36*Y36*VLOOKUP('Données projet'!$B$9,Paramètres!$A$1:$I$89,3,0)*0.475*44/12</f>
        <v>18.850324717956347</v>
      </c>
      <c r="AC36" s="22">
        <f t="shared" si="3"/>
        <v>114.34104032798734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0</v>
      </c>
      <c r="AO36" s="59">
        <f t="shared" si="36"/>
        <v>0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8.1</v>
      </c>
      <c r="BD36" s="12">
        <f>IF('Données projet'!$A$88&gt;35,BD35+BC36-BL35,IF(A36&lt;'Données projet'!$A$88,$BA$205^A36,IF(A36='Données projet'!$A$88,'Données projet'!$B$88,BD35+BC36-BL35)))</f>
        <v>117.30000000000001</v>
      </c>
      <c r="BE36" s="13">
        <f>BD36*VLOOKUP('Données projet'!$B$11,Paramètres!$A$1:$I$89,3,0)*VLOOKUP('Données projet'!$B$11,Paramètres!$A$1:$I$89,5,0)</f>
        <v>95.15376000000002</v>
      </c>
      <c r="BF36" s="13">
        <f t="shared" si="37"/>
        <v>25.804130994254955</v>
      </c>
      <c r="BG36" s="20">
        <f t="shared" si="7"/>
        <v>210.66832681499406</v>
      </c>
      <c r="BH36" s="59">
        <f t="shared" si="8"/>
        <v>504.00166014832735</v>
      </c>
      <c r="BI36" s="59">
        <f ca="1">AVERAGE(OFFSET($BH$3,0,0,'Données projet'!$E$11+1,1))-AVERAGE(OFFSET($H$3,0,0,'Données projet'!$E$11+1,1))</f>
        <v>175.73034516698141</v>
      </c>
      <c r="BJ36" s="59">
        <f t="shared" si="38"/>
        <v>203.59461632821052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5.1172637223873814</v>
      </c>
      <c r="BR36" s="21">
        <f>EXP(-LN(2)/2)*BR35+(1-EXP(-LN(2)/2))/(LN(2)/2)*BL36*BO36*VLOOKUP('Données projet'!$B$11,Paramètres!$A$1:$I$89,3,0)*0.475*44/12</f>
        <v>2.8857581002101429</v>
      </c>
      <c r="BS36" s="22">
        <f t="shared" si="9"/>
        <v>8.0030218225975247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8.1999999999999993</v>
      </c>
      <c r="BY36" s="12">
        <f>IF('Données projet'!$A$114&gt;35,BY35+BX36-CG35,IF(A36&lt;'Données projet'!$A$114,$BV$205^A36,IF(A36='Données projet'!$A$114,'Données projet'!$B$114,BY35+BX36-CG35)))</f>
        <v>100.59999999999998</v>
      </c>
      <c r="BZ36" s="13">
        <f>BY36*VLOOKUP('Données projet'!$B$12,Paramètres!$A$1:$I$89,3,0)*VLOOKUP('Données projet'!$B$12,Paramètres!$A$1:$I$89,5,0)</f>
        <v>84.745439999999988</v>
      </c>
      <c r="CA36" s="13">
        <f t="shared" si="39"/>
        <v>23.293548964150126</v>
      </c>
      <c r="CB36" s="20">
        <f t="shared" si="10"/>
        <v>188.16790577922811</v>
      </c>
      <c r="CC36" s="59">
        <f t="shared" si="11"/>
        <v>481.50123911256139</v>
      </c>
      <c r="CD36" s="59">
        <f ca="1">AVERAGE(OFFSET($CC$3,0,0,'Données projet'!$E$12+1,1))-AVERAGE(OFFSET($H$3,0,0,'Données projet'!$E$12+1,1))</f>
        <v>258.28817640749349</v>
      </c>
      <c r="CE36" s="59">
        <f t="shared" si="40"/>
        <v>158.16416492761954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1.1368683772161603E-13</v>
      </c>
      <c r="O37" s="13">
        <f>N37*VLOOKUP('Données projet'!$B$9,Paramètres!$A$1:$I$89,3,0)*VLOOKUP('Données projet'!$B$9,Paramètres!$A$1:$I$89,5,0)</f>
        <v>6.7984728957526396E-14</v>
      </c>
      <c r="P37" s="13">
        <f t="shared" si="33"/>
        <v>1.0682447123141398E-12</v>
      </c>
      <c r="Q37" s="20">
        <f t="shared" si="53"/>
        <v>1.978932943548152E-12</v>
      </c>
      <c r="R37" s="59">
        <f t="shared" si="0"/>
        <v>293.3333333333353</v>
      </c>
      <c r="S37" s="59">
        <f ca="1">AVERAGE(OFFSET($R$3,0,0,'Données projet'!$E$9+1,1))-AVERAGE(OFFSET($H$3,0,0,'Données projet'!$E$9+1,1))</f>
        <v>149.5086927376081</v>
      </c>
      <c r="T37" s="59">
        <f t="shared" si="34"/>
        <v>364.59164590134498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55.681381414914924</v>
      </c>
      <c r="AA37" s="21">
        <f>EXP(-LN(2)/25)*AA36+(1-EXP(-LN(2)/25))/(LN(2)/25)*Calculateur!V37*Calculateur!X37*VLOOKUP('Données projet'!$B$9,Paramètres!$A$1:$I$89,3,0)*0.475*44/12</f>
        <v>37.63748327155502</v>
      </c>
      <c r="AB37" s="21">
        <f>EXP(-LN(2)/2)*AB36+(1-EXP(-LN(2)/2))/(LN(2)/2)*V37*Y37*VLOOKUP('Données projet'!$B$9,Paramètres!$A$1:$I$89,3,0)*0.475*44/12</f>
        <v>13.329192435635328</v>
      </c>
      <c r="AC37" s="22">
        <f t="shared" si="3"/>
        <v>106.64805712210526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0</v>
      </c>
      <c r="AO37" s="59">
        <f t="shared" si="36"/>
        <v>0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8.1</v>
      </c>
      <c r="BD37" s="12">
        <f>IF('Données projet'!$A$88&gt;35,BD36+BC37-BL36,IF(A37&lt;'Données projet'!$A$88,$BA$205^A37,IF(A37='Données projet'!$A$88,'Données projet'!$B$88,BD36+BC37-BL36)))</f>
        <v>125.4</v>
      </c>
      <c r="BE37" s="13">
        <f>BD37*VLOOKUP('Données projet'!$B$11,Paramètres!$A$1:$I$89,3,0)*VLOOKUP('Données projet'!$B$11,Paramètres!$A$1:$I$89,5,0)</f>
        <v>101.72448</v>
      </c>
      <c r="BF37" s="13">
        <f t="shared" si="37"/>
        <v>27.372421418513511</v>
      </c>
      <c r="BG37" s="20">
        <f t="shared" si="7"/>
        <v>224.84376997057768</v>
      </c>
      <c r="BH37" s="59">
        <f t="shared" si="8"/>
        <v>518.17710330391105</v>
      </c>
      <c r="BI37" s="59">
        <f ca="1">AVERAGE(OFFSET($BH$3,0,0,'Données projet'!$E$11+1,1))-AVERAGE(OFFSET($H$3,0,0,'Données projet'!$E$11+1,1))</f>
        <v>175.73034516698141</v>
      </c>
      <c r="BJ37" s="59">
        <f t="shared" si="38"/>
        <v>203.59461632821052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4.9773318767934951</v>
      </c>
      <c r="BR37" s="21">
        <f>EXP(-LN(2)/2)*BR36+(1-EXP(-LN(2)/2))/(LN(2)/2)*BL37*BO37*VLOOKUP('Données projet'!$B$11,Paramètres!$A$1:$I$89,3,0)*0.475*44/12</f>
        <v>2.0405391215226008</v>
      </c>
      <c r="BS37" s="22">
        <f t="shared" si="9"/>
        <v>7.0178709983160958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8.1999999999999993</v>
      </c>
      <c r="BY37" s="12">
        <f>IF('Données projet'!$A$114&gt;35,BY36+BX37-CG36,IF(A37&lt;'Données projet'!$A$114,$BV$205^A37,IF(A37='Données projet'!$A$114,'Données projet'!$B$114,BY36+BX37-CG36)))</f>
        <v>108.79999999999998</v>
      </c>
      <c r="BZ37" s="13">
        <f>BY37*VLOOKUP('Données projet'!$B$12,Paramètres!$A$1:$I$89,3,0)*VLOOKUP('Données projet'!$B$12,Paramètres!$A$1:$I$89,5,0)</f>
        <v>91.653120000000001</v>
      </c>
      <c r="CA37" s="13">
        <f t="shared" si="39"/>
        <v>24.963494406608504</v>
      </c>
      <c r="CB37" s="20">
        <f t="shared" si="10"/>
        <v>203.1072700915098</v>
      </c>
      <c r="CC37" s="59">
        <f t="shared" si="11"/>
        <v>496.44060342484312</v>
      </c>
      <c r="CD37" s="59">
        <f ca="1">AVERAGE(OFFSET($CC$3,0,0,'Données projet'!$E$12+1,1))-AVERAGE(OFFSET($H$3,0,0,'Données projet'!$E$12+1,1))</f>
        <v>258.28817640749349</v>
      </c>
      <c r="CE37" s="59">
        <f t="shared" si="40"/>
        <v>158.16416492761954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1.1368683772161603E-13</v>
      </c>
      <c r="O38" s="13">
        <f>N38*VLOOKUP('Données projet'!$B$9,Paramètres!$A$1:$I$89,3,0)*VLOOKUP('Données projet'!$B$9,Paramètres!$A$1:$I$89,5,0)</f>
        <v>6.7984728957526396E-14</v>
      </c>
      <c r="P38" s="13">
        <f t="shared" si="33"/>
        <v>1.0682447123141398E-12</v>
      </c>
      <c r="Q38" s="20">
        <f t="shared" si="53"/>
        <v>1.978932943548152E-12</v>
      </c>
      <c r="R38" s="59">
        <f t="shared" si="0"/>
        <v>293.3333333333353</v>
      </c>
      <c r="S38" s="59">
        <f ca="1">AVERAGE(OFFSET($R$3,0,0,'Données projet'!$E$9+1,1))-AVERAGE(OFFSET($H$3,0,0,'Données projet'!$E$9+1,1))</f>
        <v>149.5086927376081</v>
      </c>
      <c r="T38" s="59">
        <f t="shared" si="34"/>
        <v>364.59164590134498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54.589503487657609</v>
      </c>
      <c r="AA38" s="21">
        <f>EXP(-LN(2)/25)*AA37+(1-EXP(-LN(2)/25))/(LN(2)/25)*Calculateur!V38*Calculateur!X38*VLOOKUP('Données projet'!$B$9,Paramètres!$A$1:$I$89,3,0)*0.475*44/12</f>
        <v>36.608284312225123</v>
      </c>
      <c r="AB38" s="21">
        <f>EXP(-LN(2)/2)*AB37+(1-EXP(-LN(2)/2))/(LN(2)/2)*V38*Y38*VLOOKUP('Données projet'!$B$9,Paramètres!$A$1:$I$89,3,0)*0.475*44/12</f>
        <v>9.4251623589781754</v>
      </c>
      <c r="AC38" s="22">
        <f t="shared" si="3"/>
        <v>100.6229501588609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0</v>
      </c>
      <c r="AO38" s="59">
        <f t="shared" si="36"/>
        <v>0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8.1</v>
      </c>
      <c r="BD38" s="12">
        <f>IF('Données projet'!$A$88&gt;35,BD37+BC38-BL37,IF(A38&lt;'Données projet'!$A$88,$BA$205^A38,IF(A38='Données projet'!$A$88,'Données projet'!$B$88,BD37+BC38-BL37)))</f>
        <v>133.5</v>
      </c>
      <c r="BE38" s="13">
        <f>BD38*VLOOKUP('Données projet'!$B$11,Paramètres!$A$1:$I$89,3,0)*VLOOKUP('Données projet'!$B$11,Paramètres!$A$1:$I$89,5,0)</f>
        <v>108.29520000000001</v>
      </c>
      <c r="BF38" s="13">
        <f t="shared" si="37"/>
        <v>28.928955990039732</v>
      </c>
      <c r="BG38" s="20">
        <f t="shared" si="7"/>
        <v>238.99873834931921</v>
      </c>
      <c r="BH38" s="59">
        <f t="shared" si="8"/>
        <v>532.33207168265255</v>
      </c>
      <c r="BI38" s="59">
        <f ca="1">AVERAGE(OFFSET($BH$3,0,0,'Données projet'!$E$11+1,1))-AVERAGE(OFFSET($H$3,0,0,'Données projet'!$E$11+1,1))</f>
        <v>175.73034516698141</v>
      </c>
      <c r="BJ38" s="59">
        <f t="shared" si="38"/>
        <v>203.59461632821052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4.8412264748760698</v>
      </c>
      <c r="BR38" s="21">
        <f>EXP(-LN(2)/2)*BR37+(1-EXP(-LN(2)/2))/(LN(2)/2)*BL38*BO38*VLOOKUP('Données projet'!$B$11,Paramètres!$A$1:$I$89,3,0)*0.475*44/12</f>
        <v>1.4428790501050717</v>
      </c>
      <c r="BS38" s="22">
        <f t="shared" si="9"/>
        <v>6.2841055249811415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8.1999999999999993</v>
      </c>
      <c r="BY38" s="12">
        <f>IF('Données projet'!$A$114&gt;35,BY37+BX38-CG37,IF(A38&lt;'Données projet'!$A$114,$BV$205^A38,IF(A38='Données projet'!$A$114,'Données projet'!$B$114,BY37+BX38-CG37)))</f>
        <v>116.99999999999999</v>
      </c>
      <c r="BZ38" s="13">
        <f>BY38*VLOOKUP('Données projet'!$B$12,Paramètres!$A$1:$I$89,3,0)*VLOOKUP('Données projet'!$B$12,Paramètres!$A$1:$I$89,5,0)</f>
        <v>98.5608</v>
      </c>
      <c r="CA38" s="13">
        <f t="shared" si="39"/>
        <v>26.618839252010222</v>
      </c>
      <c r="CB38" s="20">
        <f t="shared" si="10"/>
        <v>218.02120503058447</v>
      </c>
      <c r="CC38" s="59">
        <f t="shared" si="11"/>
        <v>511.35453836391775</v>
      </c>
      <c r="CD38" s="59">
        <f ca="1">AVERAGE(OFFSET($CC$3,0,0,'Données projet'!$E$12+1,1))-AVERAGE(OFFSET($H$3,0,0,'Données projet'!$E$12+1,1))</f>
        <v>258.28817640749349</v>
      </c>
      <c r="CE38" s="59">
        <f t="shared" si="40"/>
        <v>158.16416492761954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1.1368683772161603E-13</v>
      </c>
      <c r="O39" s="13">
        <f>N39*VLOOKUP('Données projet'!$B$9,Paramètres!$A$1:$I$89,3,0)*VLOOKUP('Données projet'!$B$9,Paramètres!$A$1:$I$89,5,0)</f>
        <v>6.7984728957526396E-14</v>
      </c>
      <c r="P39" s="13">
        <f t="shared" si="33"/>
        <v>1.0682447123141398E-12</v>
      </c>
      <c r="Q39" s="20">
        <f t="shared" si="53"/>
        <v>1.978932943548152E-12</v>
      </c>
      <c r="R39" s="59">
        <f t="shared" si="0"/>
        <v>293.3333333333353</v>
      </c>
      <c r="S39" s="59">
        <f ca="1">AVERAGE(OFFSET($R$3,0,0,'Données projet'!$E$9+1,1))-AVERAGE(OFFSET($H$3,0,0,'Données projet'!$E$9+1,1))</f>
        <v>149.5086927376081</v>
      </c>
      <c r="T39" s="59">
        <f t="shared" si="34"/>
        <v>364.59164590134498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53.519036620574035</v>
      </c>
      <c r="AA39" s="21">
        <f>EXP(-LN(2)/25)*AA38+(1-EXP(-LN(2)/25))/(LN(2)/25)*Calculateur!V39*Calculateur!X39*VLOOKUP('Données projet'!$B$9,Paramètres!$A$1:$I$89,3,0)*0.475*44/12</f>
        <v>35.607228852561327</v>
      </c>
      <c r="AB39" s="21">
        <f>EXP(-LN(2)/2)*AB38+(1-EXP(-LN(2)/2))/(LN(2)/2)*V39*Y39*VLOOKUP('Données projet'!$B$9,Paramètres!$A$1:$I$89,3,0)*0.475*44/12</f>
        <v>6.6645962178176656</v>
      </c>
      <c r="AC39" s="22">
        <f t="shared" si="3"/>
        <v>95.790861690953022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0</v>
      </c>
      <c r="AO39" s="59">
        <f t="shared" si="36"/>
        <v>0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8.1</v>
      </c>
      <c r="BD39" s="12">
        <f>IF('Données projet'!$A$88&gt;35,BD38+BC39-BL38,IF(A39&lt;'Données projet'!$A$88,$BA$205^A39,IF(A39='Données projet'!$A$88,'Données projet'!$B$88,BD38+BC39-BL38)))</f>
        <v>141.6</v>
      </c>
      <c r="BE39" s="13">
        <f>BD39*VLOOKUP('Données projet'!$B$11,Paramètres!$A$1:$I$89,3,0)*VLOOKUP('Données projet'!$B$11,Paramètres!$A$1:$I$89,5,0)</f>
        <v>114.86592000000002</v>
      </c>
      <c r="BF39" s="13">
        <f t="shared" si="37"/>
        <v>30.474529209372392</v>
      </c>
      <c r="BG39" s="20">
        <f t="shared" si="7"/>
        <v>253.13461570632361</v>
      </c>
      <c r="BH39" s="59">
        <f t="shared" si="8"/>
        <v>546.4679490396569</v>
      </c>
      <c r="BI39" s="59">
        <f ca="1">AVERAGE(OFFSET($BH$3,0,0,'Données projet'!$E$11+1,1))-AVERAGE(OFFSET($H$3,0,0,'Données projet'!$E$11+1,1))</f>
        <v>175.73034516698141</v>
      </c>
      <c r="BJ39" s="59">
        <f t="shared" si="38"/>
        <v>203.59461632821052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4.708842882331548</v>
      </c>
      <c r="BR39" s="21">
        <f>EXP(-LN(2)/2)*BR38+(1-EXP(-LN(2)/2))/(LN(2)/2)*BL39*BO39*VLOOKUP('Données projet'!$B$11,Paramètres!$A$1:$I$89,3,0)*0.475*44/12</f>
        <v>1.0202695607613006</v>
      </c>
      <c r="BS39" s="22">
        <f t="shared" si="9"/>
        <v>5.7291124430928484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8.1999999999999993</v>
      </c>
      <c r="BY39" s="12">
        <f>IF('Données projet'!$A$114&gt;35,BY38+BX39-CG38,IF(A39&lt;'Données projet'!$A$114,$BV$205^A39,IF(A39='Données projet'!$A$114,'Données projet'!$B$114,BY38+BX39-CG38)))</f>
        <v>125.19999999999999</v>
      </c>
      <c r="BZ39" s="13">
        <f>BY39*VLOOKUP('Données projet'!$B$12,Paramètres!$A$1:$I$89,3,0)*VLOOKUP('Données projet'!$B$12,Paramètres!$A$1:$I$89,5,0)</f>
        <v>105.46848000000001</v>
      </c>
      <c r="CA39" s="13">
        <f t="shared" si="39"/>
        <v>28.260723185270692</v>
      </c>
      <c r="CB39" s="20">
        <f t="shared" si="10"/>
        <v>232.91169554767978</v>
      </c>
      <c r="CC39" s="59">
        <f t="shared" si="11"/>
        <v>526.24502888101313</v>
      </c>
      <c r="CD39" s="59">
        <f ca="1">AVERAGE(OFFSET($CC$3,0,0,'Données projet'!$E$12+1,1))-AVERAGE(OFFSET($H$3,0,0,'Données projet'!$E$12+1,1))</f>
        <v>258.28817640749349</v>
      </c>
      <c r="CE39" s="59">
        <f t="shared" si="40"/>
        <v>158.16416492761954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1.1368683772161603E-13</v>
      </c>
      <c r="O40" s="13">
        <f>N40*VLOOKUP('Données projet'!$B$9,Paramètres!$A$1:$I$89,3,0)*VLOOKUP('Données projet'!$B$9,Paramètres!$A$1:$I$89,5,0)</f>
        <v>6.7984728957526396E-14</v>
      </c>
      <c r="P40" s="13">
        <f t="shared" si="33"/>
        <v>1.0682447123141398E-12</v>
      </c>
      <c r="Q40" s="20">
        <f t="shared" si="53"/>
        <v>1.978932943548152E-12</v>
      </c>
      <c r="R40" s="59">
        <f t="shared" si="0"/>
        <v>293.3333333333353</v>
      </c>
      <c r="S40" s="59">
        <f ca="1">AVERAGE(OFFSET($R$3,0,0,'Données projet'!$E$9+1,1))-AVERAGE(OFFSET($H$3,0,0,'Données projet'!$E$9+1,1))</f>
        <v>149.5086927376081</v>
      </c>
      <c r="T40" s="59">
        <f t="shared" si="34"/>
        <v>364.59164590134498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52.46956095583365</v>
      </c>
      <c r="AA40" s="21">
        <f>EXP(-LN(2)/25)*AA39+(1-EXP(-LN(2)/25))/(LN(2)/25)*Calculateur!V40*Calculateur!X40*VLOOKUP('Données projet'!$B$9,Paramètres!$A$1:$I$89,3,0)*0.475*44/12</f>
        <v>34.633547307085252</v>
      </c>
      <c r="AB40" s="21">
        <f>EXP(-LN(2)/2)*AB39+(1-EXP(-LN(2)/2))/(LN(2)/2)*V40*Y40*VLOOKUP('Données projet'!$B$9,Paramètres!$A$1:$I$89,3,0)*0.475*44/12</f>
        <v>4.7125811794890886</v>
      </c>
      <c r="AC40" s="22">
        <f t="shared" si="3"/>
        <v>91.815689442408001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0</v>
      </c>
      <c r="AO40" s="59">
        <f t="shared" si="36"/>
        <v>0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8.1</v>
      </c>
      <c r="BD40" s="12">
        <f>IF('Données projet'!$A$88&gt;35,BD39+BC40-BL39,IF(A40&lt;'Données projet'!$A$88,$BA$205^A40,IF(A40='Données projet'!$A$88,'Données projet'!$B$88,BD39+BC40-BL39)))</f>
        <v>149.69999999999999</v>
      </c>
      <c r="BE40" s="13">
        <f>BD40*VLOOKUP('Données projet'!$B$11,Paramètres!$A$1:$I$89,3,0)*VLOOKUP('Données projet'!$B$11,Paramètres!$A$1:$I$89,5,0)</f>
        <v>121.43664</v>
      </c>
      <c r="BF40" s="13">
        <f t="shared" si="37"/>
        <v>32.009839546690685</v>
      </c>
      <c r="BG40" s="20">
        <f t="shared" si="7"/>
        <v>267.25261854381961</v>
      </c>
      <c r="BH40" s="59">
        <f t="shared" si="8"/>
        <v>560.58595187715287</v>
      </c>
      <c r="BI40" s="59">
        <f ca="1">AVERAGE(OFFSET($BH$3,0,0,'Données projet'!$E$11+1,1))-AVERAGE(OFFSET($H$3,0,0,'Données projet'!$E$11+1,1))</f>
        <v>175.73034516698141</v>
      </c>
      <c r="BJ40" s="59">
        <f t="shared" si="38"/>
        <v>203.59461632821052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4.5800793260869073</v>
      </c>
      <c r="BR40" s="21">
        <f>EXP(-LN(2)/2)*BR39+(1-EXP(-LN(2)/2))/(LN(2)/2)*BL40*BO40*VLOOKUP('Données projet'!$B$11,Paramètres!$A$1:$I$89,3,0)*0.475*44/12</f>
        <v>0.72143952505253595</v>
      </c>
      <c r="BS40" s="22">
        <f t="shared" si="9"/>
        <v>5.3015188511394431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8.1999999999999993</v>
      </c>
      <c r="BY40" s="12">
        <f>IF('Données projet'!$A$114&gt;35,BY39+BX40-CG39,IF(A40&lt;'Données projet'!$A$114,$BV$205^A40,IF(A40='Données projet'!$A$114,'Données projet'!$B$114,BY39+BX40-CG39)))</f>
        <v>133.39999999999998</v>
      </c>
      <c r="BZ40" s="13">
        <f>BY40*VLOOKUP('Données projet'!$B$12,Paramètres!$A$1:$I$89,3,0)*VLOOKUP('Données projet'!$B$12,Paramètres!$A$1:$I$89,5,0)</f>
        <v>112.37615999999998</v>
      </c>
      <c r="CA40" s="13">
        <f t="shared" si="39"/>
        <v>29.890128160230216</v>
      </c>
      <c r="CB40" s="20">
        <f t="shared" si="10"/>
        <v>247.78045187906761</v>
      </c>
      <c r="CC40" s="59">
        <f t="shared" si="11"/>
        <v>541.1137852124009</v>
      </c>
      <c r="CD40" s="59">
        <f ca="1">AVERAGE(OFFSET($CC$3,0,0,'Données projet'!$E$12+1,1))-AVERAGE(OFFSET($H$3,0,0,'Données projet'!$E$12+1,1))</f>
        <v>258.28817640749349</v>
      </c>
      <c r="CE40" s="59">
        <f t="shared" si="40"/>
        <v>158.16416492761954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1.1368683772161603E-13</v>
      </c>
      <c r="O41" s="13">
        <f>N41*VLOOKUP('Données projet'!$B$9,Paramètres!$A$1:$I$89,3,0)*VLOOKUP('Données projet'!$B$9,Paramètres!$A$1:$I$89,5,0)</f>
        <v>6.7984728957526396E-14</v>
      </c>
      <c r="P41" s="13">
        <f t="shared" si="33"/>
        <v>1.0682447123141398E-12</v>
      </c>
      <c r="Q41" s="20">
        <f t="shared" si="53"/>
        <v>1.978932943548152E-12</v>
      </c>
      <c r="R41" s="59">
        <f t="shared" si="0"/>
        <v>293.3333333333353</v>
      </c>
      <c r="S41" s="59">
        <f ca="1">AVERAGE(OFFSET($R$3,0,0,'Données projet'!$E$9+1,1))-AVERAGE(OFFSET($H$3,0,0,'Données projet'!$E$9+1,1))</f>
        <v>149.5086927376081</v>
      </c>
      <c r="T41" s="59">
        <f t="shared" si="34"/>
        <v>364.59164590134498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51.440664868761871</v>
      </c>
      <c r="AA41" s="21">
        <f>EXP(-LN(2)/25)*AA40+(1-EXP(-LN(2)/25))/(LN(2)/25)*Calculateur!V41*Calculateur!X41*VLOOKUP('Données projet'!$B$9,Paramètres!$A$1:$I$89,3,0)*0.475*44/12</f>
        <v>33.686491134673908</v>
      </c>
      <c r="AB41" s="21">
        <f>EXP(-LN(2)/2)*AB40+(1-EXP(-LN(2)/2))/(LN(2)/2)*V41*Y41*VLOOKUP('Données projet'!$B$9,Paramètres!$A$1:$I$89,3,0)*0.475*44/12</f>
        <v>3.3322981089088333</v>
      </c>
      <c r="AC41" s="22">
        <f t="shared" si="3"/>
        <v>88.459454112344602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0</v>
      </c>
      <c r="AO41" s="59">
        <f t="shared" si="36"/>
        <v>0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8.1</v>
      </c>
      <c r="BD41" s="12">
        <f>IF('Données projet'!$A$88&gt;35,BD40+BC41-BL40,IF(A41&lt;'Données projet'!$A$88,$BA$205^A41,IF(A41='Données projet'!$A$88,'Données projet'!$B$88,BD40+BC41-BL40)))</f>
        <v>157.79999999999998</v>
      </c>
      <c r="BE41" s="13">
        <f>BD41*VLOOKUP('Données projet'!$B$11,Paramètres!$A$1:$I$89,3,0)*VLOOKUP('Données projet'!$B$11,Paramètres!$A$1:$I$89,5,0)</f>
        <v>128.00736000000001</v>
      </c>
      <c r="BF41" s="13">
        <f t="shared" si="37"/>
        <v>33.535505617278638</v>
      </c>
      <c r="BG41" s="20">
        <f t="shared" si="7"/>
        <v>281.35382428342695</v>
      </c>
      <c r="BH41" s="59">
        <f t="shared" si="8"/>
        <v>574.68715761676026</v>
      </c>
      <c r="BI41" s="59">
        <f ca="1">AVERAGE(OFFSET($BH$3,0,0,'Données projet'!$E$11+1,1))-AVERAGE(OFFSET($H$3,0,0,'Données projet'!$E$11+1,1))</f>
        <v>175.73034516698141</v>
      </c>
      <c r="BJ41" s="59">
        <f t="shared" si="38"/>
        <v>203.59461632821052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4.4548368160591574</v>
      </c>
      <c r="BR41" s="21">
        <f>EXP(-LN(2)/2)*BR40+(1-EXP(-LN(2)/2))/(LN(2)/2)*BL41*BO41*VLOOKUP('Données projet'!$B$11,Paramètres!$A$1:$I$89,3,0)*0.475*44/12</f>
        <v>0.5101347803806503</v>
      </c>
      <c r="BS41" s="22">
        <f t="shared" si="9"/>
        <v>4.964971596439808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8.1999999999999993</v>
      </c>
      <c r="BY41" s="12">
        <f>IF('Données projet'!$A$114&gt;35,BY40+BX41-CG40,IF(A41&lt;'Données projet'!$A$114,$BV$205^A41,IF(A41='Données projet'!$A$114,'Données projet'!$B$114,BY40+BX41-CG40)))</f>
        <v>141.59999999999997</v>
      </c>
      <c r="BZ41" s="13">
        <f>BY41*VLOOKUP('Données projet'!$B$12,Paramètres!$A$1:$I$89,3,0)*VLOOKUP('Données projet'!$B$12,Paramètres!$A$1:$I$89,5,0)</f>
        <v>119.28383999999998</v>
      </c>
      <c r="CA41" s="13">
        <f t="shared" si="39"/>
        <v>31.507908588859923</v>
      </c>
      <c r="CB41" s="20">
        <f t="shared" si="10"/>
        <v>262.62896212559764</v>
      </c>
      <c r="CC41" s="59">
        <f t="shared" si="11"/>
        <v>555.96229545893095</v>
      </c>
      <c r="CD41" s="59">
        <f ca="1">AVERAGE(OFFSET($CC$3,0,0,'Données projet'!$E$12+1,1))-AVERAGE(OFFSET($H$3,0,0,'Données projet'!$E$12+1,1))</f>
        <v>258.28817640749349</v>
      </c>
      <c r="CE41" s="59">
        <f t="shared" si="40"/>
        <v>158.16416492761954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1.1368683772161603E-13</v>
      </c>
      <c r="O42" s="13">
        <f>N42*VLOOKUP('Données projet'!$B$9,Paramètres!$A$1:$I$89,3,0)*VLOOKUP('Données projet'!$B$9,Paramètres!$A$1:$I$89,5,0)</f>
        <v>6.7984728957526396E-14</v>
      </c>
      <c r="P42" s="13">
        <f t="shared" si="33"/>
        <v>1.0682447123141398E-12</v>
      </c>
      <c r="Q42" s="20">
        <f t="shared" si="53"/>
        <v>1.978932943548152E-12</v>
      </c>
      <c r="R42" s="59">
        <f t="shared" si="0"/>
        <v>293.3333333333353</v>
      </c>
      <c r="S42" s="59">
        <f ca="1">AVERAGE(OFFSET($R$3,0,0,'Données projet'!$E$9+1,1))-AVERAGE(OFFSET($H$3,0,0,'Données projet'!$E$9+1,1))</f>
        <v>149.5086927376081</v>
      </c>
      <c r="T42" s="59">
        <f t="shared" si="34"/>
        <v>364.59164590134498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50.431944806392927</v>
      </c>
      <c r="AA42" s="21">
        <f>EXP(-LN(2)/25)*AA41+(1-EXP(-LN(2)/25))/(LN(2)/25)*Calculateur!V42*Calculateur!X42*VLOOKUP('Données projet'!$B$9,Paramètres!$A$1:$I$89,3,0)*0.475*44/12</f>
        <v>32.765332263100674</v>
      </c>
      <c r="AB42" s="21">
        <f>EXP(-LN(2)/2)*AB41+(1-EXP(-LN(2)/2))/(LN(2)/2)*V42*Y42*VLOOKUP('Données projet'!$B$9,Paramètres!$A$1:$I$89,3,0)*0.475*44/12</f>
        <v>2.3562905897445448</v>
      </c>
      <c r="AC42" s="22">
        <f t="shared" si="3"/>
        <v>85.553567659238141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0</v>
      </c>
      <c r="AO42" s="59">
        <f t="shared" si="36"/>
        <v>0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8.1</v>
      </c>
      <c r="BD42" s="12">
        <f>IF('Données projet'!$A$88&gt;35,BD41+BC42-BL41,IF(A42&lt;'Données projet'!$A$88,$BA$205^A42,IF(A42='Données projet'!$A$88,'Données projet'!$B$88,BD41+BC42-BL41)))</f>
        <v>165.89999999999998</v>
      </c>
      <c r="BE42" s="13">
        <f>BD42*VLOOKUP('Données projet'!$B$11,Paramètres!$A$1:$I$89,3,0)*VLOOKUP('Données projet'!$B$11,Paramètres!$A$1:$I$89,5,0)</f>
        <v>134.57807999999997</v>
      </c>
      <c r="BF42" s="13">
        <f t="shared" si="37"/>
        <v>35.052078941231564</v>
      </c>
      <c r="BG42" s="20">
        <f t="shared" si="7"/>
        <v>295.43919348931161</v>
      </c>
      <c r="BH42" s="59">
        <f t="shared" si="8"/>
        <v>588.77252682264498</v>
      </c>
      <c r="BI42" s="59">
        <f ca="1">AVERAGE(OFFSET($BH$3,0,0,'Données projet'!$E$11+1,1))-AVERAGE(OFFSET($H$3,0,0,'Données projet'!$E$11+1,1))</f>
        <v>175.73034516698141</v>
      </c>
      <c r="BJ42" s="59">
        <f t="shared" si="38"/>
        <v>203.59461632821052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4.3330190690543331</v>
      </c>
      <c r="BR42" s="21">
        <f>EXP(-LN(2)/2)*BR41+(1-EXP(-LN(2)/2))/(LN(2)/2)*BL42*BO42*VLOOKUP('Données projet'!$B$11,Paramètres!$A$1:$I$89,3,0)*0.475*44/12</f>
        <v>0.36071976252626797</v>
      </c>
      <c r="BS42" s="22">
        <f t="shared" si="9"/>
        <v>4.6937388315806015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8.1999999999999993</v>
      </c>
      <c r="BY42" s="12">
        <f>IF('Données projet'!$A$114&gt;35,BY41+BX42-CG41,IF(A42&lt;'Données projet'!$A$114,$BV$205^A42,IF(A42='Données projet'!$A$114,'Données projet'!$B$114,BY41+BX42-CG41)))</f>
        <v>149.79999999999995</v>
      </c>
      <c r="BZ42" s="13">
        <f>BY42*VLOOKUP('Données projet'!$B$12,Paramètres!$A$1:$I$89,3,0)*VLOOKUP('Données projet'!$B$12,Paramètres!$A$1:$I$89,5,0)</f>
        <v>126.19151999999998</v>
      </c>
      <c r="CA42" s="13">
        <f t="shared" si="39"/>
        <v>33.114814336101418</v>
      </c>
      <c r="CB42" s="20">
        <f t="shared" si="10"/>
        <v>277.4585323020433</v>
      </c>
      <c r="CC42" s="59">
        <f t="shared" si="11"/>
        <v>570.79186563537655</v>
      </c>
      <c r="CD42" s="59">
        <f ca="1">AVERAGE(OFFSET($CC$3,0,0,'Données projet'!$E$12+1,1))-AVERAGE(OFFSET($H$3,0,0,'Données projet'!$E$12+1,1))</f>
        <v>258.28817640749349</v>
      </c>
      <c r="CE42" s="59">
        <f t="shared" si="40"/>
        <v>158.16416492761954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1.1368683772161603E-13</v>
      </c>
      <c r="O43" s="13">
        <f>N43*VLOOKUP('Données projet'!$B$9,Paramètres!$A$1:$I$89,3,0)*VLOOKUP('Données projet'!$B$9,Paramètres!$A$1:$I$89,5,0)</f>
        <v>6.7984728957526396E-14</v>
      </c>
      <c r="P43" s="13">
        <f t="shared" si="33"/>
        <v>1.0682447123141398E-12</v>
      </c>
      <c r="Q43" s="20">
        <f t="shared" si="53"/>
        <v>1.978932943548152E-12</v>
      </c>
      <c r="R43" s="59">
        <f t="shared" si="0"/>
        <v>293.3333333333353</v>
      </c>
      <c r="S43" s="59">
        <f ca="1">AVERAGE(OFFSET($R$3,0,0,'Données projet'!$E$9+1,1))-AVERAGE(OFFSET($H$3,0,0,'Données projet'!$E$9+1,1))</f>
        <v>149.5086927376081</v>
      </c>
      <c r="T43" s="59">
        <f t="shared" si="34"/>
        <v>364.59164590134498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49.443005129188549</v>
      </c>
      <c r="AA43" s="21">
        <f>EXP(-LN(2)/25)*AA42+(1-EXP(-LN(2)/25))/(LN(2)/25)*Calculateur!V43*Calculateur!X43*VLOOKUP('Données projet'!$B$9,Paramètres!$A$1:$I$89,3,0)*0.475*44/12</f>
        <v>31.869362529312248</v>
      </c>
      <c r="AB43" s="21">
        <f>EXP(-LN(2)/2)*AB42+(1-EXP(-LN(2)/2))/(LN(2)/2)*V43*Y43*VLOOKUP('Données projet'!$B$9,Paramètres!$A$1:$I$89,3,0)*0.475*44/12</f>
        <v>1.6661490544544169</v>
      </c>
      <c r="AC43" s="22">
        <f t="shared" si="3"/>
        <v>82.978516712955212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0</v>
      </c>
      <c r="AO43" s="59">
        <f t="shared" si="36"/>
        <v>0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174</v>
      </c>
      <c r="BB43" s="12">
        <f>VLOOKUP(A43,'Données projet'!$A$87:$I$107,9,0)</f>
        <v>8.1</v>
      </c>
      <c r="BC43" s="12">
        <f t="array" ref="BC43">INDEX(BB:BB,MIN(IF(ISNUMBER(BB43:BB239),ROW(BB43:BB239),"")))</f>
        <v>8.1</v>
      </c>
      <c r="BD43" s="12">
        <f>IF('Données projet'!$A$88&gt;35,BD42+BC43-BL42,IF(A43&lt;'Données projet'!$A$88,$BA$205^A43,IF(A43='Données projet'!$A$88,'Données projet'!$B$88,BD42+BC43-BL42)))</f>
        <v>173.99999999999997</v>
      </c>
      <c r="BE43" s="13">
        <f>BD43*VLOOKUP('Données projet'!$B$11,Paramètres!$A$1:$I$89,3,0)*VLOOKUP('Données projet'!$B$11,Paramètres!$A$1:$I$89,5,0)</f>
        <v>141.14879999999999</v>
      </c>
      <c r="BF43" s="13">
        <f t="shared" si="37"/>
        <v>36.560054140504484</v>
      </c>
      <c r="BG43" s="20">
        <f t="shared" si="7"/>
        <v>309.50958762804532</v>
      </c>
      <c r="BH43" s="59">
        <f t="shared" si="8"/>
        <v>602.8429209613787</v>
      </c>
      <c r="BI43" s="59">
        <f ca="1">AVERAGE(OFFSET($BH$3,0,0,'Données projet'!$E$11+1,1))-AVERAGE(OFFSET($H$3,0,0,'Données projet'!$E$11+1,1))</f>
        <v>175.73034516698141</v>
      </c>
      <c r="BJ43" s="59">
        <f t="shared" si="38"/>
        <v>203.59461632821052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42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4.2145324347474729</v>
      </c>
      <c r="BR43" s="21">
        <f>EXP(-LN(2)/2)*BR42+(1-EXP(-LN(2)/2))/(LN(2)/2)*BL43*BO43*VLOOKUP('Données projet'!$B$11,Paramètres!$A$1:$I$89,3,0)*0.475*44/12</f>
        <v>0.25506739019032515</v>
      </c>
      <c r="BS43" s="22">
        <f t="shared" si="9"/>
        <v>4.4695998249377977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158</v>
      </c>
      <c r="BW43" s="12">
        <f>VLOOKUP(A43,'Données projet'!$A$113:$I$133,9,0)</f>
        <v>8.1999999999999993</v>
      </c>
      <c r="BX43" s="12">
        <f t="array" ref="BX43">INDEX(BW:BW,MIN(IF(ISNUMBER(BW43:BW239),ROW(BW43:BW239),"")))</f>
        <v>8.1999999999999993</v>
      </c>
      <c r="BY43" s="12">
        <f>IF('Données projet'!$A$114&gt;35,BY42+BX43-CG42,IF(A43&lt;'Données projet'!$A$114,$BV$205^A43,IF(A43='Données projet'!$A$114,'Données projet'!$B$114,BY42+BX43-CG42)))</f>
        <v>157.99999999999994</v>
      </c>
      <c r="BZ43" s="13">
        <f>BY43*VLOOKUP('Données projet'!$B$12,Paramètres!$A$1:$I$89,3,0)*VLOOKUP('Données projet'!$B$12,Paramètres!$A$1:$I$89,5,0)</f>
        <v>133.09919999999997</v>
      </c>
      <c r="CA43" s="13">
        <f t="shared" si="39"/>
        <v>34.711508535651141</v>
      </c>
      <c r="CB43" s="20">
        <f t="shared" si="10"/>
        <v>292.27031736625901</v>
      </c>
      <c r="CC43" s="59">
        <f t="shared" si="11"/>
        <v>585.60365069959232</v>
      </c>
      <c r="CD43" s="59">
        <f ca="1">AVERAGE(OFFSET($CC$3,0,0,'Données projet'!$E$12+1,1))-AVERAGE(OFFSET($H$3,0,0,'Données projet'!$E$12+1,1))</f>
        <v>258.28817640749349</v>
      </c>
      <c r="CE43" s="59">
        <f t="shared" si="40"/>
        <v>158.16416492761954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42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0.215</v>
      </c>
      <c r="CJ43" s="16">
        <f>IF(ISNA(VLOOKUP(A43,'Données projet'!$A$113:$I$133,7,0)),0%,VLOOKUP(A43,'Données projet'!$A$113:$I$133,7,0))</f>
        <v>0.5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8.3760615638610112</v>
      </c>
      <c r="CM43" s="21">
        <f>EXP(-LN(2)/2)*CM42+(1-EXP(-LN(2)/2))/(LN(2)/2)*CG43*CJ43*VLOOKUP('Données projet'!$B$12,Paramètres!$A$1:$I$89,3,0)*0.475*44/12</f>
        <v>16.691368530135161</v>
      </c>
      <c r="CN43" s="22">
        <f t="shared" si="12"/>
        <v>25.067430093996173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1.1368683772161603E-13</v>
      </c>
      <c r="O44" s="13">
        <f>N44*VLOOKUP('Données projet'!$B$9,Paramètres!$A$1:$I$89,3,0)*VLOOKUP('Données projet'!$B$9,Paramètres!$A$1:$I$89,5,0)</f>
        <v>6.7984728957526396E-14</v>
      </c>
      <c r="P44" s="13">
        <f t="shared" si="33"/>
        <v>1.0682447123141398E-12</v>
      </c>
      <c r="Q44" s="20">
        <f t="shared" si="53"/>
        <v>1.978932943548152E-12</v>
      </c>
      <c r="R44" s="59">
        <f t="shared" si="0"/>
        <v>293.3333333333353</v>
      </c>
      <c r="S44" s="59">
        <f ca="1">AVERAGE(OFFSET($R$3,0,0,'Données projet'!$E$9+1,1))-AVERAGE(OFFSET($H$3,0,0,'Données projet'!$E$9+1,1))</f>
        <v>149.5086927376081</v>
      </c>
      <c r="T44" s="59">
        <f t="shared" si="34"/>
        <v>364.59164590134498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48.473457955860511</v>
      </c>
      <c r="AA44" s="21">
        <f>EXP(-LN(2)/25)*AA43+(1-EXP(-LN(2)/25))/(LN(2)/25)*Calculateur!V44*Calculateur!X44*VLOOKUP('Données projet'!$B$9,Paramètres!$A$1:$I$89,3,0)*0.475*44/12</f>
        <v>30.997893135011267</v>
      </c>
      <c r="AB44" s="21">
        <f>EXP(-LN(2)/2)*AB43+(1-EXP(-LN(2)/2))/(LN(2)/2)*V44*Y44*VLOOKUP('Données projet'!$B$9,Paramètres!$A$1:$I$89,3,0)*0.475*44/12</f>
        <v>1.1781452948722724</v>
      </c>
      <c r="AC44" s="22">
        <f t="shared" si="3"/>
        <v>80.649496385744044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0</v>
      </c>
      <c r="AO44" s="59">
        <f t="shared" si="36"/>
        <v>0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6</v>
      </c>
      <c r="BD44" s="12">
        <f>IF('Données projet'!$A$88&gt;35,BD43+BC44-BL43,IF(A44&lt;'Données projet'!$A$88,$BA$205^A44,IF(A44='Données projet'!$A$88,'Données projet'!$B$88,BD43+BC44-BL43)))</f>
        <v>137.99999999999997</v>
      </c>
      <c r="BE44" s="13">
        <f>BD44*VLOOKUP('Données projet'!$B$11,Paramètres!$A$1:$I$89,3,0)*VLOOKUP('Données projet'!$B$11,Paramètres!$A$1:$I$89,5,0)</f>
        <v>111.94559999999998</v>
      </c>
      <c r="BF44" s="13">
        <f t="shared" si="37"/>
        <v>29.788914309703763</v>
      </c>
      <c r="BG44" s="20">
        <f t="shared" si="7"/>
        <v>246.85427908940071</v>
      </c>
      <c r="BH44" s="59">
        <f t="shared" si="8"/>
        <v>540.18761242273399</v>
      </c>
      <c r="BI44" s="59">
        <f ca="1">AVERAGE(OFFSET($BH$3,0,0,'Données projet'!$E$11+1,1))-AVERAGE(OFFSET($H$3,0,0,'Données projet'!$E$11+1,1))</f>
        <v>175.73034516698141</v>
      </c>
      <c r="BJ44" s="59">
        <f t="shared" si="38"/>
        <v>203.59461632821052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4.0992858236866745</v>
      </c>
      <c r="BR44" s="21">
        <f>EXP(-LN(2)/2)*BR43+(1-EXP(-LN(2)/2))/(LN(2)/2)*BL44*BO44*VLOOKUP('Données projet'!$B$11,Paramètres!$A$1:$I$89,3,0)*0.475*44/12</f>
        <v>0.18035988126313399</v>
      </c>
      <c r="BS44" s="22">
        <f t="shared" si="9"/>
        <v>4.2796457049498082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8.3000000000000007</v>
      </c>
      <c r="BY44" s="12">
        <f>IF('Données projet'!$A$114&gt;35,BY43+BX44-CG43,IF(A44&lt;'Données projet'!$A$114,$BV$205^A44,IF(A44='Données projet'!$A$114,'Données projet'!$B$114,BY43+BX44-CG43)))</f>
        <v>124.29999999999995</v>
      </c>
      <c r="BZ44" s="13">
        <f>BY44*VLOOKUP('Données projet'!$B$12,Paramètres!$A$1:$I$89,3,0)*VLOOKUP('Données projet'!$B$12,Paramètres!$A$1:$I$89,5,0)</f>
        <v>104.71031999999998</v>
      </c>
      <c r="CA44" s="13">
        <f t="shared" si="39"/>
        <v>28.081142632240077</v>
      </c>
      <c r="CB44" s="20">
        <f t="shared" si="10"/>
        <v>231.27846408448477</v>
      </c>
      <c r="CC44" s="59">
        <f t="shared" si="11"/>
        <v>524.61179741781802</v>
      </c>
      <c r="CD44" s="59">
        <f ca="1">AVERAGE(OFFSET($CC$3,0,0,'Données projet'!$E$12+1,1))-AVERAGE(OFFSET($H$3,0,0,'Données projet'!$E$12+1,1))</f>
        <v>258.28817640749349</v>
      </c>
      <c r="CE44" s="59">
        <f t="shared" si="40"/>
        <v>158.16416492761954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8.1470177199192975</v>
      </c>
      <c r="CM44" s="21">
        <f>EXP(-LN(2)/2)*CM43+(1-EXP(-LN(2)/2))/(LN(2)/2)*CG44*CJ44*VLOOKUP('Données projet'!$B$12,Paramètres!$A$1:$I$89,3,0)*0.475*44/12</f>
        <v>11.80257987494231</v>
      </c>
      <c r="CN44" s="22">
        <f t="shared" si="12"/>
        <v>19.949597594861608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1.1368683772161603E-13</v>
      </c>
      <c r="O45" s="13">
        <f>N45*VLOOKUP('Données projet'!$B$9,Paramètres!$A$1:$I$89,3,0)*VLOOKUP('Données projet'!$B$9,Paramètres!$A$1:$I$89,5,0)</f>
        <v>6.7984728957526396E-14</v>
      </c>
      <c r="P45" s="13">
        <f t="shared" si="33"/>
        <v>1.0682447123141398E-12</v>
      </c>
      <c r="Q45" s="20">
        <f t="shared" si="53"/>
        <v>1.978932943548152E-12</v>
      </c>
      <c r="R45" s="59">
        <f t="shared" si="0"/>
        <v>293.3333333333353</v>
      </c>
      <c r="S45" s="59">
        <f ca="1">AVERAGE(OFFSET($R$3,0,0,'Données projet'!$E$9+1,1))-AVERAGE(OFFSET($H$3,0,0,'Données projet'!$E$9+1,1))</f>
        <v>149.5086927376081</v>
      </c>
      <c r="T45" s="59">
        <f t="shared" si="34"/>
        <v>364.59164590134498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47.522923011236053</v>
      </c>
      <c r="AA45" s="21">
        <f>EXP(-LN(2)/25)*AA44+(1-EXP(-LN(2)/25))/(LN(2)/25)*Calculateur!V45*Calculateur!X45*VLOOKUP('Données projet'!$B$9,Paramètres!$A$1:$I$89,3,0)*0.475*44/12</f>
        <v>30.150254117126032</v>
      </c>
      <c r="AB45" s="21">
        <f>EXP(-LN(2)/2)*AB44+(1-EXP(-LN(2)/2))/(LN(2)/2)*V45*Y45*VLOOKUP('Données projet'!$B$9,Paramètres!$A$1:$I$89,3,0)*0.475*44/12</f>
        <v>0.83307452722720843</v>
      </c>
      <c r="AC45" s="22">
        <f t="shared" si="3"/>
        <v>78.506251655589296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0</v>
      </c>
      <c r="AO45" s="59">
        <f t="shared" si="36"/>
        <v>0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6</v>
      </c>
      <c r="BD45" s="12">
        <f>IF('Données projet'!$A$88&gt;35,BD44+BC45-BL44,IF(A45&lt;'Données projet'!$A$88,$BA$205^A45,IF(A45='Données projet'!$A$88,'Données projet'!$B$88,BD44+BC45-BL44)))</f>
        <v>143.99999999999997</v>
      </c>
      <c r="BE45" s="13">
        <f>BD45*VLOOKUP('Données projet'!$B$11,Paramètres!$A$1:$I$89,3,0)*VLOOKUP('Données projet'!$B$11,Paramètres!$A$1:$I$89,5,0)</f>
        <v>116.81279999999998</v>
      </c>
      <c r="BF45" s="13">
        <f t="shared" si="37"/>
        <v>30.930476631089483</v>
      </c>
      <c r="BG45" s="20">
        <f t="shared" si="7"/>
        <v>257.31954013248077</v>
      </c>
      <c r="BH45" s="59">
        <f t="shared" si="8"/>
        <v>550.65287346581408</v>
      </c>
      <c r="BI45" s="59">
        <f ca="1">AVERAGE(OFFSET($BH$3,0,0,'Données projet'!$E$11+1,1))-AVERAGE(OFFSET($H$3,0,0,'Données projet'!$E$11+1,1))</f>
        <v>175.73034516698141</v>
      </c>
      <c r="BJ45" s="59">
        <f t="shared" si="38"/>
        <v>203.59461632821052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3.9871906372658898</v>
      </c>
      <c r="BR45" s="21">
        <f>EXP(-LN(2)/2)*BR44+(1-EXP(-LN(2)/2))/(LN(2)/2)*BL45*BO45*VLOOKUP('Données projet'!$B$11,Paramètres!$A$1:$I$89,3,0)*0.475*44/12</f>
        <v>0.12753369509516257</v>
      </c>
      <c r="BS45" s="22">
        <f t="shared" si="9"/>
        <v>4.1147243323610523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8.3000000000000007</v>
      </c>
      <c r="BY45" s="12">
        <f>IF('Données projet'!$A$114&gt;35,BY44+BX45-CG44,IF(A45&lt;'Données projet'!$A$114,$BV$205^A45,IF(A45='Données projet'!$A$114,'Données projet'!$B$114,BY44+BX45-CG44)))</f>
        <v>132.59999999999997</v>
      </c>
      <c r="BZ45" s="13">
        <f>BY45*VLOOKUP('Données projet'!$B$12,Paramètres!$A$1:$I$89,3,0)*VLOOKUP('Données projet'!$B$12,Paramètres!$A$1:$I$89,5,0)</f>
        <v>111.70223999999997</v>
      </c>
      <c r="CA45" s="13">
        <f t="shared" si="39"/>
        <v>29.731686445309627</v>
      </c>
      <c r="CB45" s="20">
        <f t="shared" si="10"/>
        <v>246.33075522558087</v>
      </c>
      <c r="CC45" s="59">
        <f t="shared" si="11"/>
        <v>539.66408855891416</v>
      </c>
      <c r="CD45" s="59">
        <f ca="1">AVERAGE(OFFSET($CC$3,0,0,'Données projet'!$E$12+1,1))-AVERAGE(OFFSET($H$3,0,0,'Données projet'!$E$12+1,1))</f>
        <v>258.28817640749349</v>
      </c>
      <c r="CE45" s="59">
        <f t="shared" si="40"/>
        <v>158.16416492761954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7.9242370919350629</v>
      </c>
      <c r="CM45" s="21">
        <f>EXP(-LN(2)/2)*CM44+(1-EXP(-LN(2)/2))/(LN(2)/2)*CG45*CJ45*VLOOKUP('Données projet'!$B$12,Paramètres!$A$1:$I$89,3,0)*0.475*44/12</f>
        <v>8.3456842650675824</v>
      </c>
      <c r="CN45" s="22">
        <f t="shared" si="12"/>
        <v>16.269921357002644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1.1368683772161603E-13</v>
      </c>
      <c r="O46" s="13">
        <f>N46*VLOOKUP('Données projet'!$B$9,Paramètres!$A$1:$I$89,3,0)*VLOOKUP('Données projet'!$B$9,Paramètres!$A$1:$I$89,5,0)</f>
        <v>6.7984728957526396E-14</v>
      </c>
      <c r="P46" s="13">
        <f t="shared" si="33"/>
        <v>1.0682447123141398E-12</v>
      </c>
      <c r="Q46" s="20">
        <f t="shared" si="53"/>
        <v>1.978932943548152E-12</v>
      </c>
      <c r="R46" s="59">
        <f t="shared" si="0"/>
        <v>293.3333333333353</v>
      </c>
      <c r="S46" s="59">
        <f ca="1">AVERAGE(OFFSET($R$3,0,0,'Données projet'!$E$9+1,1))-AVERAGE(OFFSET($H$3,0,0,'Données projet'!$E$9+1,1))</f>
        <v>149.5086927376081</v>
      </c>
      <c r="T46" s="59">
        <f t="shared" si="34"/>
        <v>364.59164590134498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46.591027477106607</v>
      </c>
      <c r="AA46" s="21">
        <f>EXP(-LN(2)/25)*AA45+(1-EXP(-LN(2)/25))/(LN(2)/25)*Calculateur!V46*Calculateur!X46*VLOOKUP('Données projet'!$B$9,Paramètres!$A$1:$I$89,3,0)*0.475*44/12</f>
        <v>29.325793832760265</v>
      </c>
      <c r="AB46" s="21">
        <f>EXP(-LN(2)/2)*AB45+(1-EXP(-LN(2)/2))/(LN(2)/2)*V46*Y46*VLOOKUP('Données projet'!$B$9,Paramètres!$A$1:$I$89,3,0)*0.475*44/12</f>
        <v>0.58907264743613619</v>
      </c>
      <c r="AC46" s="22">
        <f t="shared" si="3"/>
        <v>76.505893957303016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0</v>
      </c>
      <c r="AO46" s="59">
        <f t="shared" si="36"/>
        <v>0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6</v>
      </c>
      <c r="BD46" s="12">
        <f>IF('Données projet'!$A$88&gt;35,BD45+BC46-BL45,IF(A46&lt;'Données projet'!$A$88,$BA$205^A46,IF(A46='Données projet'!$A$88,'Données projet'!$B$88,BD45+BC46-BL45)))</f>
        <v>149.99999999999997</v>
      </c>
      <c r="BE46" s="13">
        <f>BD46*VLOOKUP('Données projet'!$B$11,Paramètres!$A$1:$I$89,3,0)*VLOOKUP('Données projet'!$B$11,Paramètres!$A$1:$I$89,5,0)</f>
        <v>121.67999999999998</v>
      </c>
      <c r="BF46" s="13">
        <f t="shared" si="37"/>
        <v>32.066514091456256</v>
      </c>
      <c r="BG46" s="20">
        <f t="shared" si="7"/>
        <v>267.77517870928619</v>
      </c>
      <c r="BH46" s="59">
        <f t="shared" si="8"/>
        <v>561.10851204261951</v>
      </c>
      <c r="BI46" s="59">
        <f ca="1">AVERAGE(OFFSET($BH$3,0,0,'Données projet'!$E$11+1,1))-AVERAGE(OFFSET($H$3,0,0,'Données projet'!$E$11+1,1))</f>
        <v>175.73034516698141</v>
      </c>
      <c r="BJ46" s="59">
        <f t="shared" si="38"/>
        <v>203.59461632821052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3.8781606996126112</v>
      </c>
      <c r="BR46" s="21">
        <f>EXP(-LN(2)/2)*BR45+(1-EXP(-LN(2)/2))/(LN(2)/2)*BL46*BO46*VLOOKUP('Données projet'!$B$11,Paramètres!$A$1:$I$89,3,0)*0.475*44/12</f>
        <v>9.0179940631566993E-2</v>
      </c>
      <c r="BS46" s="22">
        <f t="shared" si="9"/>
        <v>3.9683406402441781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8.3000000000000007</v>
      </c>
      <c r="BY46" s="12">
        <f>IF('Données projet'!$A$114&gt;35,BY45+BX46-CG45,IF(A46&lt;'Données projet'!$A$114,$BV$205^A46,IF(A46='Données projet'!$A$114,'Données projet'!$B$114,BY45+BX46-CG45)))</f>
        <v>140.89999999999998</v>
      </c>
      <c r="BZ46" s="13">
        <f>BY46*VLOOKUP('Données projet'!$B$12,Paramètres!$A$1:$I$89,3,0)*VLOOKUP('Données projet'!$B$12,Paramètres!$A$1:$I$89,5,0)</f>
        <v>118.69416</v>
      </c>
      <c r="CA46" s="13">
        <f t="shared" si="39"/>
        <v>31.370239881449656</v>
      </c>
      <c r="CB46" s="20">
        <f t="shared" si="10"/>
        <v>261.36216312685815</v>
      </c>
      <c r="CC46" s="59">
        <f t="shared" si="11"/>
        <v>554.69549646019141</v>
      </c>
      <c r="CD46" s="59">
        <f ca="1">AVERAGE(OFFSET($CC$3,0,0,'Données projet'!$E$12+1,1))-AVERAGE(OFFSET($H$3,0,0,'Données projet'!$E$12+1,1))</f>
        <v>258.28817640749349</v>
      </c>
      <c r="CE46" s="59">
        <f t="shared" si="40"/>
        <v>158.16416492761954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7.7075484119385811</v>
      </c>
      <c r="CM46" s="21">
        <f>EXP(-LN(2)/2)*CM45+(1-EXP(-LN(2)/2))/(LN(2)/2)*CG46*CJ46*VLOOKUP('Données projet'!$B$12,Paramètres!$A$1:$I$89,3,0)*0.475*44/12</f>
        <v>5.901289937471156</v>
      </c>
      <c r="CN46" s="22">
        <f t="shared" si="12"/>
        <v>13.608838349409737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1.1368683772161603E-13</v>
      </c>
      <c r="O47" s="13">
        <f>N47*VLOOKUP('Données projet'!$B$9,Paramètres!$A$1:$I$89,3,0)*VLOOKUP('Données projet'!$B$9,Paramètres!$A$1:$I$89,5,0)</f>
        <v>6.7984728957526396E-14</v>
      </c>
      <c r="P47" s="13">
        <f t="shared" si="33"/>
        <v>1.0682447123141398E-12</v>
      </c>
      <c r="Q47" s="20">
        <f t="shared" si="53"/>
        <v>1.978932943548152E-12</v>
      </c>
      <c r="R47" s="59">
        <f t="shared" si="0"/>
        <v>293.3333333333353</v>
      </c>
      <c r="S47" s="59">
        <f ca="1">AVERAGE(OFFSET($R$3,0,0,'Données projet'!$E$9+1,1))-AVERAGE(OFFSET($H$3,0,0,'Données projet'!$E$9+1,1))</f>
        <v>149.5086927376081</v>
      </c>
      <c r="T47" s="59">
        <f t="shared" si="34"/>
        <v>364.59164590134498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45.677405846001292</v>
      </c>
      <c r="AA47" s="21">
        <f>EXP(-LN(2)/25)*AA46+(1-EXP(-LN(2)/25))/(LN(2)/25)*Calculateur!V47*Calculateur!X47*VLOOKUP('Données projet'!$B$9,Paramètres!$A$1:$I$89,3,0)*0.475*44/12</f>
        <v>28.523878458226964</v>
      </c>
      <c r="AB47" s="21">
        <f>EXP(-LN(2)/2)*AB46+(1-EXP(-LN(2)/2))/(LN(2)/2)*V47*Y47*VLOOKUP('Données projet'!$B$9,Paramètres!$A$1:$I$89,3,0)*0.475*44/12</f>
        <v>0.41653726361360421</v>
      </c>
      <c r="AC47" s="22">
        <f t="shared" si="3"/>
        <v>74.617821567841858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0</v>
      </c>
      <c r="AO47" s="59">
        <f t="shared" si="36"/>
        <v>0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6</v>
      </c>
      <c r="BD47" s="12">
        <f>IF('Données projet'!$A$88&gt;35,BD46+BC47-BL46,IF(A47&lt;'Données projet'!$A$88,$BA$205^A47,IF(A47='Données projet'!$A$88,'Données projet'!$B$88,BD46+BC47-BL46)))</f>
        <v>155.99999999999997</v>
      </c>
      <c r="BE47" s="13">
        <f>BD47*VLOOKUP('Données projet'!$B$11,Paramètres!$A$1:$I$89,3,0)*VLOOKUP('Données projet'!$B$11,Paramètres!$A$1:$I$89,5,0)</f>
        <v>126.54719999999999</v>
      </c>
      <c r="BF47" s="13">
        <f t="shared" si="37"/>
        <v>33.19727296936243</v>
      </c>
      <c r="BG47" s="20">
        <f t="shared" si="7"/>
        <v>278.22162375497288</v>
      </c>
      <c r="BH47" s="59">
        <f t="shared" si="8"/>
        <v>571.5549570883062</v>
      </c>
      <c r="BI47" s="59">
        <f ca="1">AVERAGE(OFFSET($BH$3,0,0,'Données projet'!$E$11+1,1))-AVERAGE(OFFSET($H$3,0,0,'Données projet'!$E$11+1,1))</f>
        <v>175.73034516698141</v>
      </c>
      <c r="BJ47" s="59">
        <f t="shared" si="38"/>
        <v>203.59461632821052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3.7721121913380968</v>
      </c>
      <c r="BR47" s="21">
        <f>EXP(-LN(2)/2)*BR46+(1-EXP(-LN(2)/2))/(LN(2)/2)*BL47*BO47*VLOOKUP('Données projet'!$B$11,Paramètres!$A$1:$I$89,3,0)*0.475*44/12</f>
        <v>6.3766847547581287E-2</v>
      </c>
      <c r="BS47" s="22">
        <f t="shared" si="9"/>
        <v>3.835879038885678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8.3000000000000007</v>
      </c>
      <c r="BY47" s="12">
        <f>IF('Données projet'!$A$114&gt;35,BY46+BX47-CG46,IF(A47&lt;'Données projet'!$A$114,$BV$205^A47,IF(A47='Données projet'!$A$114,'Données projet'!$B$114,BY46+BX47-CG46)))</f>
        <v>149.19999999999999</v>
      </c>
      <c r="BZ47" s="13">
        <f>BY47*VLOOKUP('Données projet'!$B$12,Paramètres!$A$1:$I$89,3,0)*VLOOKUP('Données projet'!$B$12,Paramètres!$A$1:$I$89,5,0)</f>
        <v>125.68608</v>
      </c>
      <c r="CA47" s="13">
        <f t="shared" si="39"/>
        <v>32.997589712537966</v>
      </c>
      <c r="CB47" s="20">
        <f t="shared" si="10"/>
        <v>276.37405808267027</v>
      </c>
      <c r="CC47" s="59">
        <f t="shared" si="11"/>
        <v>569.70739141600359</v>
      </c>
      <c r="CD47" s="59">
        <f ca="1">AVERAGE(OFFSET($CC$3,0,0,'Données projet'!$E$12+1,1))-AVERAGE(OFFSET($H$3,0,0,'Données projet'!$E$12+1,1))</f>
        <v>258.28817640749349</v>
      </c>
      <c r="CE47" s="59">
        <f t="shared" si="40"/>
        <v>158.16416492761954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7.4967850952917656</v>
      </c>
      <c r="CM47" s="21">
        <f>EXP(-LN(2)/2)*CM46+(1-EXP(-LN(2)/2))/(LN(2)/2)*CG47*CJ47*VLOOKUP('Données projet'!$B$12,Paramètres!$A$1:$I$89,3,0)*0.475*44/12</f>
        <v>4.1728421325337921</v>
      </c>
      <c r="CN47" s="22">
        <f t="shared" si="12"/>
        <v>11.669627227825558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1.1368683772161603E-13</v>
      </c>
      <c r="O48" s="13">
        <f>N48*VLOOKUP('Données projet'!$B$9,Paramètres!$A$1:$I$89,3,0)*VLOOKUP('Données projet'!$B$9,Paramètres!$A$1:$I$89,5,0)</f>
        <v>6.7984728957526396E-14</v>
      </c>
      <c r="P48" s="13">
        <f t="shared" si="33"/>
        <v>1.0682447123141398E-12</v>
      </c>
      <c r="Q48" s="20">
        <f t="shared" si="53"/>
        <v>1.978932943548152E-12</v>
      </c>
      <c r="R48" s="59">
        <f t="shared" si="0"/>
        <v>293.3333333333353</v>
      </c>
      <c r="S48" s="59">
        <f ca="1">AVERAGE(OFFSET($R$3,0,0,'Données projet'!$E$9+1,1))-AVERAGE(OFFSET($H$3,0,0,'Données projet'!$E$9+1,1))</f>
        <v>149.5086927376081</v>
      </c>
      <c r="T48" s="59">
        <f t="shared" si="34"/>
        <v>364.59164590134498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44.781699777827782</v>
      </c>
      <c r="AA48" s="21">
        <f>EXP(-LN(2)/25)*AA47+(1-EXP(-LN(2)/25))/(LN(2)/25)*Calculateur!V48*Calculateur!X48*VLOOKUP('Données projet'!$B$9,Paramètres!$A$1:$I$89,3,0)*0.475*44/12</f>
        <v>27.743891501781171</v>
      </c>
      <c r="AB48" s="21">
        <f>EXP(-LN(2)/2)*AB47+(1-EXP(-LN(2)/2))/(LN(2)/2)*V48*Y48*VLOOKUP('Données projet'!$B$9,Paramètres!$A$1:$I$89,3,0)*0.475*44/12</f>
        <v>0.29453632371806809</v>
      </c>
      <c r="AC48" s="22">
        <f t="shared" si="3"/>
        <v>72.820127603327023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0</v>
      </c>
      <c r="AO48" s="59">
        <f t="shared" si="36"/>
        <v>0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6</v>
      </c>
      <c r="BD48" s="12">
        <f>IF('Données projet'!$A$88&gt;35,BD47+BC48-BL47,IF(A48&lt;'Données projet'!$A$88,$BA$205^A48,IF(A48='Données projet'!$A$88,'Données projet'!$B$88,BD47+BC48-BL47)))</f>
        <v>161.99999999999997</v>
      </c>
      <c r="BE48" s="13">
        <f>BD48*VLOOKUP('Données projet'!$B$11,Paramètres!$A$1:$I$89,3,0)*VLOOKUP('Données projet'!$B$11,Paramètres!$A$1:$I$89,5,0)</f>
        <v>131.4144</v>
      </c>
      <c r="BF48" s="13">
        <f t="shared" si="37"/>
        <v>34.32297952601067</v>
      </c>
      <c r="BG48" s="20">
        <f t="shared" si="7"/>
        <v>288.6592693411352</v>
      </c>
      <c r="BH48" s="59">
        <f t="shared" si="8"/>
        <v>581.99260267446857</v>
      </c>
      <c r="BI48" s="59">
        <f ca="1">AVERAGE(OFFSET($BH$3,0,0,'Données projet'!$E$11+1,1))-AVERAGE(OFFSET($H$3,0,0,'Données projet'!$E$11+1,1))</f>
        <v>175.73034516698141</v>
      </c>
      <c r="BJ48" s="59">
        <f t="shared" si="38"/>
        <v>203.59461632821052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3.6689635850991977</v>
      </c>
      <c r="BR48" s="21">
        <f>EXP(-LN(2)/2)*BR47+(1-EXP(-LN(2)/2))/(LN(2)/2)*BL48*BO48*VLOOKUP('Données projet'!$B$11,Paramètres!$A$1:$I$89,3,0)*0.475*44/12</f>
        <v>4.5089970315783497E-2</v>
      </c>
      <c r="BS48" s="22">
        <f t="shared" si="9"/>
        <v>3.7140535554149814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8.3000000000000007</v>
      </c>
      <c r="BY48" s="12">
        <f>IF('Données projet'!$A$114&gt;35,BY47+BX48-CG47,IF(A48&lt;'Données projet'!$A$114,$BV$205^A48,IF(A48='Données projet'!$A$114,'Données projet'!$B$114,BY47+BX48-CG47)))</f>
        <v>157.5</v>
      </c>
      <c r="BZ48" s="13">
        <f>BY48*VLOOKUP('Données projet'!$B$12,Paramètres!$A$1:$I$89,3,0)*VLOOKUP('Données projet'!$B$12,Paramètres!$A$1:$I$89,5,0)</f>
        <v>132.67800000000003</v>
      </c>
      <c r="CA48" s="13">
        <f t="shared" si="39"/>
        <v>34.614430230203745</v>
      </c>
      <c r="CB48" s="20">
        <f t="shared" si="10"/>
        <v>291.36764931760484</v>
      </c>
      <c r="CC48" s="59">
        <f t="shared" si="11"/>
        <v>584.70098265093816</v>
      </c>
      <c r="CD48" s="59">
        <f ca="1">AVERAGE(OFFSET($CC$3,0,0,'Données projet'!$E$12+1,1))-AVERAGE(OFFSET($H$3,0,0,'Données projet'!$E$12+1,1))</f>
        <v>258.28817640749349</v>
      </c>
      <c r="CE48" s="59">
        <f t="shared" si="40"/>
        <v>158.16416492761954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7.2917851126222182</v>
      </c>
      <c r="CM48" s="21">
        <f>EXP(-LN(2)/2)*CM47+(1-EXP(-LN(2)/2))/(LN(2)/2)*CG48*CJ48*VLOOKUP('Données projet'!$B$12,Paramètres!$A$1:$I$89,3,0)*0.475*44/12</f>
        <v>2.9506449687355785</v>
      </c>
      <c r="CN48" s="22">
        <f t="shared" si="12"/>
        <v>10.242430081357796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1.1368683772161603E-13</v>
      </c>
      <c r="O49" s="13">
        <f>N49*VLOOKUP('Données projet'!$B$9,Paramètres!$A$1:$I$89,3,0)*VLOOKUP('Données projet'!$B$9,Paramètres!$A$1:$I$89,5,0)</f>
        <v>6.7984728957526396E-14</v>
      </c>
      <c r="P49" s="13">
        <f t="shared" si="33"/>
        <v>1.0682447123141398E-12</v>
      </c>
      <c r="Q49" s="20">
        <f t="shared" si="53"/>
        <v>1.978932943548152E-12</v>
      </c>
      <c r="R49" s="59">
        <f t="shared" si="0"/>
        <v>293.3333333333353</v>
      </c>
      <c r="S49" s="59">
        <f ca="1">AVERAGE(OFFSET($R$3,0,0,'Données projet'!$E$9+1,1))-AVERAGE(OFFSET($H$3,0,0,'Données projet'!$E$9+1,1))</f>
        <v>149.5086927376081</v>
      </c>
      <c r="T49" s="59">
        <f t="shared" si="34"/>
        <v>364.59164590134498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43.903557959324395</v>
      </c>
      <c r="AA49" s="21">
        <f>EXP(-LN(2)/25)*AA48+(1-EXP(-LN(2)/25))/(LN(2)/25)*Calculateur!V49*Calculateur!X49*VLOOKUP('Données projet'!$B$9,Paramètres!$A$1:$I$89,3,0)*0.475*44/12</f>
        <v>26.985233329677119</v>
      </c>
      <c r="AB49" s="21">
        <f>EXP(-LN(2)/2)*AB48+(1-EXP(-LN(2)/2))/(LN(2)/2)*V49*Y49*VLOOKUP('Données projet'!$B$9,Paramètres!$A$1:$I$89,3,0)*0.475*44/12</f>
        <v>0.20826863180680211</v>
      </c>
      <c r="AC49" s="22">
        <f t="shared" si="3"/>
        <v>71.09705992080832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0</v>
      </c>
      <c r="AO49" s="59">
        <f t="shared" si="36"/>
        <v>0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6</v>
      </c>
      <c r="BD49" s="12">
        <f>IF('Données projet'!$A$88&gt;35,BD48+BC49-BL48,IF(A49&lt;'Données projet'!$A$88,$BA$205^A49,IF(A49='Données projet'!$A$88,'Données projet'!$B$88,BD48+BC49-BL48)))</f>
        <v>167.99999999999997</v>
      </c>
      <c r="BE49" s="13">
        <f>BD49*VLOOKUP('Données projet'!$B$11,Paramètres!$A$1:$I$89,3,0)*VLOOKUP('Données projet'!$B$11,Paramètres!$A$1:$I$89,5,0)</f>
        <v>136.28159999999997</v>
      </c>
      <c r="BF49" s="13">
        <f t="shared" si="37"/>
        <v>35.443842312892279</v>
      </c>
      <c r="BG49" s="20">
        <f t="shared" si="7"/>
        <v>299.08847869495401</v>
      </c>
      <c r="BH49" s="59">
        <f t="shared" si="8"/>
        <v>592.42181202828738</v>
      </c>
      <c r="BI49" s="59">
        <f ca="1">AVERAGE(OFFSET($BH$3,0,0,'Données projet'!$E$11+1,1))-AVERAGE(OFFSET($H$3,0,0,'Données projet'!$E$11+1,1))</f>
        <v>175.73034516698141</v>
      </c>
      <c r="BJ49" s="59">
        <f t="shared" si="38"/>
        <v>203.59461632821052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3.5686355829222509</v>
      </c>
      <c r="BR49" s="21">
        <f>EXP(-LN(2)/2)*BR48+(1-EXP(-LN(2)/2))/(LN(2)/2)*BL49*BO49*VLOOKUP('Données projet'!$B$11,Paramètres!$A$1:$I$89,3,0)*0.475*44/12</f>
        <v>3.1883423773790644E-2</v>
      </c>
      <c r="BS49" s="22">
        <f t="shared" si="9"/>
        <v>3.6005190066960417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8.3000000000000007</v>
      </c>
      <c r="BY49" s="12">
        <f>IF('Données projet'!$A$114&gt;35,BY48+BX49-CG48,IF(A49&lt;'Données projet'!$A$114,$BV$205^A49,IF(A49='Données projet'!$A$114,'Données projet'!$B$114,BY48+BX49-CG48)))</f>
        <v>165.8</v>
      </c>
      <c r="BZ49" s="13">
        <f>BY49*VLOOKUP('Données projet'!$B$12,Paramètres!$A$1:$I$89,3,0)*VLOOKUP('Données projet'!$B$12,Paramètres!$A$1:$I$89,5,0)</f>
        <v>139.66992000000002</v>
      </c>
      <c r="CA49" s="13">
        <f t="shared" si="39"/>
        <v>36.221378416983733</v>
      </c>
      <c r="CB49" s="20">
        <f t="shared" si="10"/>
        <v>306.34401140957999</v>
      </c>
      <c r="CC49" s="59">
        <f t="shared" si="11"/>
        <v>599.67734474291331</v>
      </c>
      <c r="CD49" s="59">
        <f ca="1">AVERAGE(OFFSET($CC$3,0,0,'Données projet'!$E$12+1,1))-AVERAGE(OFFSET($H$3,0,0,'Données projet'!$E$12+1,1))</f>
        <v>258.28817640749349</v>
      </c>
      <c r="CE49" s="59">
        <f t="shared" si="40"/>
        <v>158.16416492761954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7.09239086525925</v>
      </c>
      <c r="CM49" s="21">
        <f>EXP(-LN(2)/2)*CM48+(1-EXP(-LN(2)/2))/(LN(2)/2)*CG49*CJ49*VLOOKUP('Données projet'!$B$12,Paramètres!$A$1:$I$89,3,0)*0.475*44/12</f>
        <v>2.0864210662668961</v>
      </c>
      <c r="CN49" s="22">
        <f t="shared" si="12"/>
        <v>9.1788119315261465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1.1368683772161603E-13</v>
      </c>
      <c r="O50" s="13">
        <f>N50*VLOOKUP('Données projet'!$B$9,Paramètres!$A$1:$I$89,3,0)*VLOOKUP('Données projet'!$B$9,Paramètres!$A$1:$I$89,5,0)</f>
        <v>6.7984728957526396E-14</v>
      </c>
      <c r="P50" s="13">
        <f t="shared" si="33"/>
        <v>1.0682447123141398E-12</v>
      </c>
      <c r="Q50" s="20">
        <f t="shared" si="53"/>
        <v>1.978932943548152E-12</v>
      </c>
      <c r="R50" s="59">
        <f t="shared" si="0"/>
        <v>293.3333333333353</v>
      </c>
      <c r="S50" s="59">
        <f ca="1">AVERAGE(OFFSET($R$3,0,0,'Données projet'!$E$9+1,1))-AVERAGE(OFFSET($H$3,0,0,'Données projet'!$E$9+1,1))</f>
        <v>149.5086927376081</v>
      </c>
      <c r="T50" s="59">
        <f t="shared" si="34"/>
        <v>364.59164590134498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43.042635966268236</v>
      </c>
      <c r="AA50" s="21">
        <f>EXP(-LN(2)/25)*AA49+(1-EXP(-LN(2)/25))/(LN(2)/25)*Calculateur!V50*Calculateur!X50*VLOOKUP('Données projet'!$B$9,Paramètres!$A$1:$I$89,3,0)*0.475*44/12</f>
        <v>26.247320705185352</v>
      </c>
      <c r="AB50" s="21">
        <f>EXP(-LN(2)/2)*AB49+(1-EXP(-LN(2)/2))/(LN(2)/2)*V50*Y50*VLOOKUP('Données projet'!$B$9,Paramètres!$A$1:$I$89,3,0)*0.475*44/12</f>
        <v>0.14726816185903405</v>
      </c>
      <c r="AC50" s="22">
        <f t="shared" si="3"/>
        <v>69.437224833312612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0</v>
      </c>
      <c r="AO50" s="59">
        <f t="shared" si="36"/>
        <v>0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6</v>
      </c>
      <c r="BD50" s="12">
        <f>IF('Données projet'!$A$88&gt;35,BD49+BC50-BL49,IF(A50&lt;'Données projet'!$A$88,$BA$205^A50,IF(A50='Données projet'!$A$88,'Données projet'!$B$88,BD49+BC50-BL49)))</f>
        <v>173.99999999999997</v>
      </c>
      <c r="BE50" s="13">
        <f>BD50*VLOOKUP('Données projet'!$B$11,Paramètres!$A$1:$I$89,3,0)*VLOOKUP('Données projet'!$B$11,Paramètres!$A$1:$I$89,5,0)</f>
        <v>141.14879999999999</v>
      </c>
      <c r="BF50" s="13">
        <f t="shared" si="37"/>
        <v>36.560054140504484</v>
      </c>
      <c r="BG50" s="20">
        <f t="shared" si="7"/>
        <v>309.50958762804532</v>
      </c>
      <c r="BH50" s="59">
        <f t="shared" si="8"/>
        <v>602.8429209613787</v>
      </c>
      <c r="BI50" s="59">
        <f ca="1">AVERAGE(OFFSET($BH$3,0,0,'Données projet'!$E$11+1,1))-AVERAGE(OFFSET($H$3,0,0,'Données projet'!$E$11+1,1))</f>
        <v>175.73034516698141</v>
      </c>
      <c r="BJ50" s="59">
        <f t="shared" si="38"/>
        <v>203.59461632821052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3.4710510552408529</v>
      </c>
      <c r="BR50" s="21">
        <f>EXP(-LN(2)/2)*BR49+(1-EXP(-LN(2)/2))/(LN(2)/2)*BL50*BO50*VLOOKUP('Données projet'!$B$11,Paramètres!$A$1:$I$89,3,0)*0.475*44/12</f>
        <v>2.2544985157891748E-2</v>
      </c>
      <c r="BS50" s="22">
        <f t="shared" si="9"/>
        <v>3.4935960403987445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8.3000000000000007</v>
      </c>
      <c r="BY50" s="12">
        <f>IF('Données projet'!$A$114&gt;35,BY49+BX50-CG49,IF(A50&lt;'Données projet'!$A$114,$BV$205^A50,IF(A50='Données projet'!$A$114,'Données projet'!$B$114,BY49+BX50-CG49)))</f>
        <v>174.10000000000002</v>
      </c>
      <c r="BZ50" s="13">
        <f>BY50*VLOOKUP('Données projet'!$B$12,Paramètres!$A$1:$I$89,3,0)*VLOOKUP('Données projet'!$B$12,Paramètres!$A$1:$I$89,5,0)</f>
        <v>146.66184000000004</v>
      </c>
      <c r="CA50" s="13">
        <f t="shared" si="39"/>
        <v>37.818985993248447</v>
      </c>
      <c r="CB50" s="20">
        <f t="shared" si="10"/>
        <v>321.30410527157443</v>
      </c>
      <c r="CC50" s="59">
        <f t="shared" si="11"/>
        <v>614.63743860490774</v>
      </c>
      <c r="CD50" s="59">
        <f ca="1">AVERAGE(OFFSET($CC$3,0,0,'Données projet'!$E$12+1,1))-AVERAGE(OFFSET($H$3,0,0,'Données projet'!$E$12+1,1))</f>
        <v>258.28817640749349</v>
      </c>
      <c r="CE50" s="59">
        <f t="shared" si="40"/>
        <v>158.16416492761954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6.89844906407611</v>
      </c>
      <c r="CM50" s="21">
        <f>EXP(-LN(2)/2)*CM49+(1-EXP(-LN(2)/2))/(LN(2)/2)*CG50*CJ50*VLOOKUP('Données projet'!$B$12,Paramètres!$A$1:$I$89,3,0)*0.475*44/12</f>
        <v>1.4753224843677892</v>
      </c>
      <c r="CN50" s="22">
        <f t="shared" si="12"/>
        <v>8.3737715484438997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1.1368683772161603E-13</v>
      </c>
      <c r="O51" s="13">
        <f>N51*VLOOKUP('Données projet'!$B$9,Paramètres!$A$1:$I$89,3,0)*VLOOKUP('Données projet'!$B$9,Paramètres!$A$1:$I$89,5,0)</f>
        <v>6.7984728957526396E-14</v>
      </c>
      <c r="P51" s="13">
        <f t="shared" si="33"/>
        <v>1.0682447123141398E-12</v>
      </c>
      <c r="Q51" s="20">
        <f t="shared" si="53"/>
        <v>1.978932943548152E-12</v>
      </c>
      <c r="R51" s="59">
        <f t="shared" si="0"/>
        <v>293.3333333333353</v>
      </c>
      <c r="S51" s="59">
        <f ca="1">AVERAGE(OFFSET($R$3,0,0,'Données projet'!$E$9+1,1))-AVERAGE(OFFSET($H$3,0,0,'Données projet'!$E$9+1,1))</f>
        <v>149.5086927376081</v>
      </c>
      <c r="T51" s="59">
        <f t="shared" si="34"/>
        <v>364.59164590134498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42.198596128385347</v>
      </c>
      <c r="AA51" s="21">
        <f>EXP(-LN(2)/25)*AA50+(1-EXP(-LN(2)/25))/(LN(2)/25)*Calculateur!V51*Calculateur!X51*VLOOKUP('Données projet'!$B$9,Paramètres!$A$1:$I$89,3,0)*0.475*44/12</f>
        <v>25.529586340215452</v>
      </c>
      <c r="AB51" s="21">
        <f>EXP(-LN(2)/2)*AB50+(1-EXP(-LN(2)/2))/(LN(2)/2)*V51*Y51*VLOOKUP('Données projet'!$B$9,Paramètres!$A$1:$I$89,3,0)*0.475*44/12</f>
        <v>0.10413431590340105</v>
      </c>
      <c r="AC51" s="22">
        <f t="shared" si="3"/>
        <v>67.832316784504201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0</v>
      </c>
      <c r="AO51" s="59">
        <f t="shared" si="36"/>
        <v>0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6</v>
      </c>
      <c r="BD51" s="12">
        <f>IF('Données projet'!$A$88&gt;35,BD50+BC51-BL50,IF(A51&lt;'Données projet'!$A$88,$BA$205^A51,IF(A51='Données projet'!$A$88,'Données projet'!$B$88,BD50+BC51-BL50)))</f>
        <v>179.99999999999997</v>
      </c>
      <c r="BE51" s="13">
        <f>BD51*VLOOKUP('Données projet'!$B$11,Paramètres!$A$1:$I$89,3,0)*VLOOKUP('Données projet'!$B$11,Paramètres!$A$1:$I$89,5,0)</f>
        <v>146.01599999999999</v>
      </c>
      <c r="BF51" s="13">
        <f t="shared" si="37"/>
        <v>37.671793767891103</v>
      </c>
      <c r="BG51" s="20">
        <f t="shared" si="7"/>
        <v>319.92290747907697</v>
      </c>
      <c r="BH51" s="59">
        <f t="shared" si="8"/>
        <v>613.25624081241028</v>
      </c>
      <c r="BI51" s="59">
        <f ca="1">AVERAGE(OFFSET($BH$3,0,0,'Données projet'!$E$11+1,1))-AVERAGE(OFFSET($H$3,0,0,'Données projet'!$E$11+1,1))</f>
        <v>175.73034516698141</v>
      </c>
      <c r="BJ51" s="59">
        <f t="shared" si="38"/>
        <v>203.59461632821052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3.3761349816006501</v>
      </c>
      <c r="BR51" s="21">
        <f>EXP(-LN(2)/2)*BR50+(1-EXP(-LN(2)/2))/(LN(2)/2)*BL51*BO51*VLOOKUP('Données projet'!$B$11,Paramètres!$A$1:$I$89,3,0)*0.475*44/12</f>
        <v>1.5941711886895322E-2</v>
      </c>
      <c r="BS51" s="22">
        <f t="shared" si="9"/>
        <v>3.3920766934875455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8.3000000000000007</v>
      </c>
      <c r="BY51" s="12">
        <f>IF('Données projet'!$A$114&gt;35,BY50+BX51-CG50,IF(A51&lt;'Données projet'!$A$114,$BV$205^A51,IF(A51='Données projet'!$A$114,'Données projet'!$B$114,BY50+BX51-CG50)))</f>
        <v>182.40000000000003</v>
      </c>
      <c r="BZ51" s="13">
        <f>BY51*VLOOKUP('Données projet'!$B$12,Paramètres!$A$1:$I$89,3,0)*VLOOKUP('Données projet'!$B$12,Paramètres!$A$1:$I$89,5,0)</f>
        <v>153.65376000000003</v>
      </c>
      <c r="CA51" s="13">
        <f t="shared" si="39"/>
        <v>39.407749101745424</v>
      </c>
      <c r="CB51" s="20">
        <f t="shared" si="10"/>
        <v>336.24879501887335</v>
      </c>
      <c r="CC51" s="59">
        <f t="shared" si="11"/>
        <v>629.58212835220661</v>
      </c>
      <c r="CD51" s="59">
        <f ca="1">AVERAGE(OFFSET($CC$3,0,0,'Données projet'!$E$12+1,1))-AVERAGE(OFFSET($H$3,0,0,'Données projet'!$E$12+1,1))</f>
        <v>258.28817640749349</v>
      </c>
      <c r="CE51" s="59">
        <f t="shared" si="40"/>
        <v>158.16416492761954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6.7098106116452794</v>
      </c>
      <c r="CM51" s="21">
        <f>EXP(-LN(2)/2)*CM50+(1-EXP(-LN(2)/2))/(LN(2)/2)*CG51*CJ51*VLOOKUP('Données projet'!$B$12,Paramètres!$A$1:$I$89,3,0)*0.475*44/12</f>
        <v>1.043210533133448</v>
      </c>
      <c r="CN51" s="22">
        <f t="shared" si="12"/>
        <v>7.7530211447787272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1.1368683772161603E-13</v>
      </c>
      <c r="O52" s="13">
        <f>N52*VLOOKUP('Données projet'!$B$9,Paramètres!$A$1:$I$89,3,0)*VLOOKUP('Données projet'!$B$9,Paramètres!$A$1:$I$89,5,0)</f>
        <v>6.7984728957526396E-14</v>
      </c>
      <c r="P52" s="13">
        <f t="shared" si="33"/>
        <v>1.0682447123141398E-12</v>
      </c>
      <c r="Q52" s="20">
        <f t="shared" si="53"/>
        <v>1.978932943548152E-12</v>
      </c>
      <c r="R52" s="59">
        <f t="shared" si="0"/>
        <v>293.3333333333353</v>
      </c>
      <c r="S52" s="59">
        <f ca="1">AVERAGE(OFFSET($R$3,0,0,'Données projet'!$E$9+1,1))-AVERAGE(OFFSET($H$3,0,0,'Données projet'!$E$9+1,1))</f>
        <v>149.5086927376081</v>
      </c>
      <c r="T52" s="59">
        <f t="shared" si="34"/>
        <v>364.59164590134498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41.371107396909871</v>
      </c>
      <c r="AA52" s="21">
        <f>EXP(-LN(2)/25)*AA51+(1-EXP(-LN(2)/25))/(LN(2)/25)*Calculateur!V52*Calculateur!X52*VLOOKUP('Données projet'!$B$9,Paramètres!$A$1:$I$89,3,0)*0.475*44/12</f>
        <v>24.831478459199666</v>
      </c>
      <c r="AB52" s="21">
        <f>EXP(-LN(2)/2)*AB51+(1-EXP(-LN(2)/2))/(LN(2)/2)*V52*Y52*VLOOKUP('Données projet'!$B$9,Paramètres!$A$1:$I$89,3,0)*0.475*44/12</f>
        <v>7.3634080929517023E-2</v>
      </c>
      <c r="AC52" s="22">
        <f t="shared" si="3"/>
        <v>66.276219937039059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0</v>
      </c>
      <c r="AO52" s="59">
        <f t="shared" si="36"/>
        <v>0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6</v>
      </c>
      <c r="BD52" s="12">
        <f>IF('Données projet'!$A$88&gt;35,BD51+BC52-BL51,IF(A52&lt;'Données projet'!$A$88,$BA$205^A52,IF(A52='Données projet'!$A$88,'Données projet'!$B$88,BD51+BC52-BL51)))</f>
        <v>185.99999999999997</v>
      </c>
      <c r="BE52" s="13">
        <f>BD52*VLOOKUP('Données projet'!$B$11,Paramètres!$A$1:$I$89,3,0)*VLOOKUP('Données projet'!$B$11,Paramètres!$A$1:$I$89,5,0)</f>
        <v>150.88319999999999</v>
      </c>
      <c r="BF52" s="13">
        <f t="shared" si="37"/>
        <v>38.779227360583199</v>
      </c>
      <c r="BG52" s="20">
        <f t="shared" si="7"/>
        <v>330.32872765301573</v>
      </c>
      <c r="BH52" s="59">
        <f t="shared" si="8"/>
        <v>623.66206098634905</v>
      </c>
      <c r="BI52" s="59">
        <f ca="1">AVERAGE(OFFSET($BH$3,0,0,'Données projet'!$E$11+1,1))-AVERAGE(OFFSET($H$3,0,0,'Données projet'!$E$11+1,1))</f>
        <v>175.73034516698141</v>
      </c>
      <c r="BJ52" s="59">
        <f t="shared" si="38"/>
        <v>203.59461632821052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3.2838143929855579</v>
      </c>
      <c r="BR52" s="21">
        <f>EXP(-LN(2)/2)*BR51+(1-EXP(-LN(2)/2))/(LN(2)/2)*BL52*BO52*VLOOKUP('Données projet'!$B$11,Paramètres!$A$1:$I$89,3,0)*0.475*44/12</f>
        <v>1.1272492578945874E-2</v>
      </c>
      <c r="BS52" s="22">
        <f t="shared" si="9"/>
        <v>3.2950868855645039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8.3000000000000007</v>
      </c>
      <c r="BY52" s="12">
        <f>IF('Données projet'!$A$114&gt;35,BY51+BX52-CG51,IF(A52&lt;'Données projet'!$A$114,$BV$205^A52,IF(A52='Données projet'!$A$114,'Données projet'!$B$114,BY51+BX52-CG51)))</f>
        <v>190.70000000000005</v>
      </c>
      <c r="BZ52" s="13">
        <f>BY52*VLOOKUP('Données projet'!$B$12,Paramètres!$A$1:$I$89,3,0)*VLOOKUP('Données projet'!$B$12,Paramètres!$A$1:$I$89,5,0)</f>
        <v>160.64568000000006</v>
      </c>
      <c r="CA52" s="13">
        <f t="shared" si="39"/>
        <v>40.988116179554204</v>
      </c>
      <c r="CB52" s="20">
        <f t="shared" si="10"/>
        <v>351.17886167939031</v>
      </c>
      <c r="CC52" s="59">
        <f t="shared" si="11"/>
        <v>644.51219501272362</v>
      </c>
      <c r="CD52" s="59">
        <f ca="1">AVERAGE(OFFSET($CC$3,0,0,'Données projet'!$E$12+1,1))-AVERAGE(OFFSET($H$3,0,0,'Données projet'!$E$12+1,1))</f>
        <v>258.28817640749349</v>
      </c>
      <c r="CE52" s="59">
        <f t="shared" si="40"/>
        <v>158.16416492761954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6.5263304876162342</v>
      </c>
      <c r="CM52" s="21">
        <f>EXP(-LN(2)/2)*CM51+(1-EXP(-LN(2)/2))/(LN(2)/2)*CG52*CJ52*VLOOKUP('Données projet'!$B$12,Paramètres!$A$1:$I$89,3,0)*0.475*44/12</f>
        <v>0.73766124218389462</v>
      </c>
      <c r="CN52" s="22">
        <f t="shared" si="12"/>
        <v>7.2639917298001286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1.1368683772161603E-13</v>
      </c>
      <c r="O53" s="13">
        <f>N53*VLOOKUP('Données projet'!$B$9,Paramètres!$A$1:$I$89,3,0)*VLOOKUP('Données projet'!$B$9,Paramètres!$A$1:$I$89,5,0)</f>
        <v>6.7984728957526396E-14</v>
      </c>
      <c r="P53" s="13">
        <f t="shared" si="33"/>
        <v>1.0682447123141398E-12</v>
      </c>
      <c r="Q53" s="20">
        <f t="shared" si="53"/>
        <v>1.978932943548152E-12</v>
      </c>
      <c r="R53" s="59">
        <f t="shared" si="0"/>
        <v>293.3333333333353</v>
      </c>
      <c r="S53" s="59">
        <f ca="1">AVERAGE(OFFSET($R$3,0,0,'Données projet'!$E$9+1,1))-AVERAGE(OFFSET($H$3,0,0,'Données projet'!$E$9+1,1))</f>
        <v>149.5086927376081</v>
      </c>
      <c r="T53" s="59">
        <f t="shared" si="34"/>
        <v>364.59164590134498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40.559845214740342</v>
      </c>
      <c r="AA53" s="21">
        <f>EXP(-LN(2)/25)*AA52+(1-EXP(-LN(2)/25))/(LN(2)/25)*Calculateur!V53*Calculateur!X53*VLOOKUP('Données projet'!$B$9,Paramètres!$A$1:$I$89,3,0)*0.475*44/12</f>
        <v>24.152460374902152</v>
      </c>
      <c r="AB53" s="21">
        <f>EXP(-LN(2)/2)*AB52+(1-EXP(-LN(2)/2))/(LN(2)/2)*V53*Y53*VLOOKUP('Données projet'!$B$9,Paramètres!$A$1:$I$89,3,0)*0.475*44/12</f>
        <v>5.2067157951700527E-2</v>
      </c>
      <c r="AC53" s="22">
        <f t="shared" si="3"/>
        <v>64.764372747594194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0</v>
      </c>
      <c r="AO53" s="59">
        <f t="shared" si="36"/>
        <v>0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192</v>
      </c>
      <c r="BB53" s="12">
        <f>VLOOKUP(A53,'Données projet'!$A$87:$I$107,9,0)</f>
        <v>6</v>
      </c>
      <c r="BC53" s="12">
        <f t="array" ref="BC53">INDEX(BB:BB,MIN(IF(ISNUMBER(BB53:BB249),ROW(BB53:BB249),"")))</f>
        <v>6</v>
      </c>
      <c r="BD53" s="12">
        <f>IF('Données projet'!$A$88&gt;35,BD52+BC53-BL52,IF(A53&lt;'Données projet'!$A$88,$BA$205^A53,IF(A53='Données projet'!$A$88,'Données projet'!$B$88,BD52+BC53-BL52)))</f>
        <v>191.99999999999997</v>
      </c>
      <c r="BE53" s="13">
        <f>BD53*VLOOKUP('Données projet'!$B$11,Paramètres!$A$1:$I$89,3,0)*VLOOKUP('Données projet'!$B$11,Paramètres!$A$1:$I$89,5,0)</f>
        <v>155.75039999999998</v>
      </c>
      <c r="BF53" s="13">
        <f t="shared" si="37"/>
        <v>39.882509755133754</v>
      </c>
      <c r="BG53" s="20">
        <f t="shared" si="7"/>
        <v>340.72731782352457</v>
      </c>
      <c r="BH53" s="59">
        <f t="shared" si="8"/>
        <v>634.06065115685783</v>
      </c>
      <c r="BI53" s="59">
        <f ca="1">AVERAGE(OFFSET($BH$3,0,0,'Données projet'!$E$11+1,1))-AVERAGE(OFFSET($H$3,0,0,'Données projet'!$E$11+1,1))</f>
        <v>175.73034516698141</v>
      </c>
      <c r="BJ53" s="59">
        <f t="shared" si="38"/>
        <v>203.59461632821052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31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3.194018315721074</v>
      </c>
      <c r="BR53" s="21">
        <f>EXP(-LN(2)/2)*BR52+(1-EXP(-LN(2)/2))/(LN(2)/2)*BL53*BO53*VLOOKUP('Données projet'!$B$11,Paramètres!$A$1:$I$89,3,0)*0.475*44/12</f>
        <v>7.9708559434476609E-3</v>
      </c>
      <c r="BS53" s="22">
        <f t="shared" si="9"/>
        <v>3.2019891716645215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199</v>
      </c>
      <c r="BW53" s="12">
        <f>VLOOKUP(A53,'Données projet'!$A$113:$I$133,9,0)</f>
        <v>8.3000000000000007</v>
      </c>
      <c r="BX53" s="12">
        <f t="array" ref="BX53">INDEX(BW:BW,MIN(IF(ISNUMBER(BW53:BW249),ROW(BW53:BW249),"")))</f>
        <v>8.3000000000000007</v>
      </c>
      <c r="BY53" s="12">
        <f>IF('Données projet'!$A$114&gt;35,BY52+BX53-CG52,IF(A53&lt;'Données projet'!$A$114,$BV$205^A53,IF(A53='Données projet'!$A$114,'Données projet'!$B$114,BY52+BX53-CG52)))</f>
        <v>199.00000000000006</v>
      </c>
      <c r="BZ53" s="13">
        <f>BY53*VLOOKUP('Données projet'!$B$12,Paramètres!$A$1:$I$89,3,0)*VLOOKUP('Données projet'!$B$12,Paramètres!$A$1:$I$89,5,0)</f>
        <v>167.63760000000005</v>
      </c>
      <c r="CA53" s="13">
        <f t="shared" si="39"/>
        <v>42.560494420898017</v>
      </c>
      <c r="CB53" s="20">
        <f t="shared" si="10"/>
        <v>366.0950144497308</v>
      </c>
      <c r="CC53" s="59">
        <f t="shared" si="11"/>
        <v>659.42834778306405</v>
      </c>
      <c r="CD53" s="59">
        <f ca="1">AVERAGE(OFFSET($CC$3,0,0,'Données projet'!$E$12+1,1))-AVERAGE(OFFSET($H$3,0,0,'Données projet'!$E$12+1,1))</f>
        <v>258.28817640749349</v>
      </c>
      <c r="CE53" s="59">
        <f t="shared" si="40"/>
        <v>158.16416492761954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42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0.215</v>
      </c>
      <c r="CJ53" s="16">
        <f>IF(ISNA(VLOOKUP(A53,'Données projet'!$A$113:$I$133,7,0)),0%,VLOOKUP(A53,'Données projet'!$A$113:$I$133,7,0))</f>
        <v>0.5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14.723929201088575</v>
      </c>
      <c r="CM53" s="21">
        <f>EXP(-LN(2)/2)*CM52+(1-EXP(-LN(2)/2))/(LN(2)/2)*CG53*CJ53*VLOOKUP('Données projet'!$B$12,Paramètres!$A$1:$I$89,3,0)*0.475*44/12</f>
        <v>17.212973796701885</v>
      </c>
      <c r="CN53" s="22">
        <f t="shared" si="12"/>
        <v>31.936902997790462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1.1368683772161603E-13</v>
      </c>
      <c r="O54" s="13">
        <f>N54*VLOOKUP('Données projet'!$B$9,Paramètres!$A$1:$I$89,3,0)*VLOOKUP('Données projet'!$B$9,Paramètres!$A$1:$I$89,5,0)</f>
        <v>6.7984728957526396E-14</v>
      </c>
      <c r="P54" s="13">
        <f t="shared" si="33"/>
        <v>1.0682447123141398E-12</v>
      </c>
      <c r="Q54" s="20">
        <f t="shared" si="53"/>
        <v>1.978932943548152E-12</v>
      </c>
      <c r="R54" s="59">
        <f t="shared" si="0"/>
        <v>293.3333333333353</v>
      </c>
      <c r="S54" s="59">
        <f ca="1">AVERAGE(OFFSET($R$3,0,0,'Données projet'!$E$9+1,1))-AVERAGE(OFFSET($H$3,0,0,'Données projet'!$E$9+1,1))</f>
        <v>149.5086927376081</v>
      </c>
      <c r="T54" s="59">
        <f t="shared" si="34"/>
        <v>364.59164590134498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39.764491389142087</v>
      </c>
      <c r="AA54" s="21">
        <f>EXP(-LN(2)/25)*AA53+(1-EXP(-LN(2)/25))/(LN(2)/25)*Calculateur!V54*Calculateur!X54*VLOOKUP('Données projet'!$B$9,Paramètres!$A$1:$I$89,3,0)*0.475*44/12</f>
        <v>23.492010075827761</v>
      </c>
      <c r="AB54" s="21">
        <f>EXP(-LN(2)/2)*AB53+(1-EXP(-LN(2)/2))/(LN(2)/2)*V54*Y54*VLOOKUP('Données projet'!$B$9,Paramètres!$A$1:$I$89,3,0)*0.475*44/12</f>
        <v>3.6817040464758512E-2</v>
      </c>
      <c r="AC54" s="22">
        <f t="shared" si="3"/>
        <v>63.293318505434605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0</v>
      </c>
      <c r="AO54" s="59">
        <f t="shared" si="36"/>
        <v>0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4.4000000000000004</v>
      </c>
      <c r="BD54" s="12">
        <f>IF('Données projet'!$A$88&gt;35,BD53+BC54-BL53,IF(A54&lt;'Données projet'!$A$88,$BA$205^A54,IF(A54='Données projet'!$A$88,'Données projet'!$B$88,BD53+BC54-BL53)))</f>
        <v>165.39999999999998</v>
      </c>
      <c r="BE54" s="13">
        <f>BD54*VLOOKUP('Données projet'!$B$11,Paramètres!$A$1:$I$89,3,0)*VLOOKUP('Données projet'!$B$11,Paramètres!$A$1:$I$89,5,0)</f>
        <v>134.17248000000001</v>
      </c>
      <c r="BF54" s="13">
        <f t="shared" si="37"/>
        <v>34.958717109525992</v>
      </c>
      <c r="BG54" s="20">
        <f t="shared" si="7"/>
        <v>294.57016829909111</v>
      </c>
      <c r="BH54" s="59">
        <f t="shared" si="8"/>
        <v>587.90350163242442</v>
      </c>
      <c r="BI54" s="59">
        <f ca="1">AVERAGE(OFFSET($BH$3,0,0,'Données projet'!$E$11+1,1))-AVERAGE(OFFSET($H$3,0,0,'Données projet'!$E$11+1,1))</f>
        <v>175.73034516698141</v>
      </c>
      <c r="BJ54" s="59">
        <f t="shared" si="38"/>
        <v>203.59461632821052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3.106677716911558</v>
      </c>
      <c r="BR54" s="21">
        <f>EXP(-LN(2)/2)*BR53+(1-EXP(-LN(2)/2))/(LN(2)/2)*BL54*BO54*VLOOKUP('Données projet'!$B$11,Paramètres!$A$1:$I$89,3,0)*0.475*44/12</f>
        <v>5.6362462894729371E-3</v>
      </c>
      <c r="BS54" s="22">
        <f t="shared" si="9"/>
        <v>3.1123139632010308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7.8</v>
      </c>
      <c r="BY54" s="12">
        <f>IF('Données projet'!$A$114&gt;35,BY53+BX54-CG53,IF(A54&lt;'Données projet'!$A$114,$BV$205^A54,IF(A54='Données projet'!$A$114,'Données projet'!$B$114,BY53+BX54-CG53)))</f>
        <v>164.80000000000007</v>
      </c>
      <c r="BZ54" s="13">
        <f>BY54*VLOOKUP('Données projet'!$B$12,Paramètres!$A$1:$I$89,3,0)*VLOOKUP('Données projet'!$B$12,Paramètres!$A$1:$I$89,5,0)</f>
        <v>138.82752000000008</v>
      </c>
      <c r="CA54" s="13">
        <f t="shared" si="39"/>
        <v>36.028275462187054</v>
      </c>
      <c r="CB54" s="20">
        <f t="shared" si="10"/>
        <v>304.54051042997588</v>
      </c>
      <c r="CC54" s="59">
        <f t="shared" si="11"/>
        <v>597.8738437633092</v>
      </c>
      <c r="CD54" s="59">
        <f ca="1">AVERAGE(OFFSET($CC$3,0,0,'Données projet'!$E$12+1,1))-AVERAGE(OFFSET($H$3,0,0,'Données projet'!$E$12+1,1))</f>
        <v>258.28817640749349</v>
      </c>
      <c r="CE54" s="59">
        <f t="shared" si="40"/>
        <v>158.16416492761954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14.321302582787023</v>
      </c>
      <c r="CM54" s="21">
        <f>EXP(-LN(2)/2)*CM53+(1-EXP(-LN(2)/2))/(LN(2)/2)*CG54*CJ54*VLOOKUP('Données projet'!$B$12,Paramètres!$A$1:$I$89,3,0)*0.475*44/12</f>
        <v>12.171410496034257</v>
      </c>
      <c r="CN54" s="22">
        <f t="shared" si="12"/>
        <v>26.492713078821282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1.1368683772161603E-13</v>
      </c>
      <c r="O55" s="13">
        <f>N55*VLOOKUP('Données projet'!$B$9,Paramètres!$A$1:$I$89,3,0)*VLOOKUP('Données projet'!$B$9,Paramètres!$A$1:$I$89,5,0)</f>
        <v>6.7984728957526396E-14</v>
      </c>
      <c r="P55" s="13">
        <f t="shared" si="33"/>
        <v>1.0682447123141398E-12</v>
      </c>
      <c r="Q55" s="20">
        <f t="shared" si="53"/>
        <v>1.978932943548152E-12</v>
      </c>
      <c r="R55" s="59">
        <f t="shared" si="0"/>
        <v>293.3333333333353</v>
      </c>
      <c r="S55" s="59">
        <f ca="1">AVERAGE(OFFSET($R$3,0,0,'Données projet'!$E$9+1,1))-AVERAGE(OFFSET($H$3,0,0,'Données projet'!$E$9+1,1))</f>
        <v>149.5086927376081</v>
      </c>
      <c r="T55" s="59">
        <f t="shared" si="34"/>
        <v>364.59164590134498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38.984733966945882</v>
      </c>
      <c r="AA55" s="21">
        <f>EXP(-LN(2)/25)*AA54+(1-EXP(-LN(2)/25))/(LN(2)/25)*Calculateur!V55*Calculateur!X55*VLOOKUP('Données projet'!$B$9,Paramètres!$A$1:$I$89,3,0)*0.475*44/12</f>
        <v>22.849619824913134</v>
      </c>
      <c r="AB55" s="21">
        <f>EXP(-LN(2)/2)*AB54+(1-EXP(-LN(2)/2))/(LN(2)/2)*V55*Y55*VLOOKUP('Données projet'!$B$9,Paramètres!$A$1:$I$89,3,0)*0.475*44/12</f>
        <v>2.6033578975850263E-2</v>
      </c>
      <c r="AC55" s="22">
        <f t="shared" si="3"/>
        <v>61.860387370834864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0</v>
      </c>
      <c r="AO55" s="59">
        <f t="shared" si="36"/>
        <v>0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4.4000000000000004</v>
      </c>
      <c r="BD55" s="12">
        <f>IF('Données projet'!$A$88&gt;35,BD54+BC55-BL54,IF(A55&lt;'Données projet'!$A$88,$BA$205^A55,IF(A55='Données projet'!$A$88,'Données projet'!$B$88,BD54+BC55-BL54)))</f>
        <v>169.79999999999998</v>
      </c>
      <c r="BE55" s="13">
        <f>BD55*VLOOKUP('Données projet'!$B$11,Paramètres!$A$1:$I$89,3,0)*VLOOKUP('Données projet'!$B$11,Paramètres!$A$1:$I$89,5,0)</f>
        <v>137.74176</v>
      </c>
      <c r="BF55" s="13">
        <f t="shared" si="37"/>
        <v>35.779185820459276</v>
      </c>
      <c r="BG55" s="20">
        <f t="shared" si="7"/>
        <v>302.21564730396659</v>
      </c>
      <c r="BH55" s="59">
        <f t="shared" si="8"/>
        <v>595.54898063729991</v>
      </c>
      <c r="BI55" s="59">
        <f ca="1">AVERAGE(OFFSET($BH$3,0,0,'Données projet'!$E$11+1,1))-AVERAGE(OFFSET($H$3,0,0,'Données projet'!$E$11+1,1))</f>
        <v>175.73034516698141</v>
      </c>
      <c r="BJ55" s="59">
        <f t="shared" si="38"/>
        <v>203.59461632821052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3.0217254513695306</v>
      </c>
      <c r="BR55" s="21">
        <f>EXP(-LN(2)/2)*BR54+(1-EXP(-LN(2)/2))/(LN(2)/2)*BL55*BO55*VLOOKUP('Données projet'!$B$11,Paramètres!$A$1:$I$89,3,0)*0.475*44/12</f>
        <v>3.9854279717238305E-3</v>
      </c>
      <c r="BS55" s="22">
        <f t="shared" si="9"/>
        <v>3.0257108793412546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7.8</v>
      </c>
      <c r="BY55" s="12">
        <f>IF('Données projet'!$A$114&gt;35,BY54+BX55-CG54,IF(A55&lt;'Données projet'!$A$114,$BV$205^A55,IF(A55='Données projet'!$A$114,'Données projet'!$B$114,BY54+BX55-CG54)))</f>
        <v>172.60000000000008</v>
      </c>
      <c r="BZ55" s="13">
        <f>BY55*VLOOKUP('Données projet'!$B$12,Paramètres!$A$1:$I$89,3,0)*VLOOKUP('Données projet'!$B$12,Paramètres!$A$1:$I$89,5,0)</f>
        <v>145.39824000000007</v>
      </c>
      <c r="CA55" s="13">
        <f t="shared" si="39"/>
        <v>37.530930280375188</v>
      </c>
      <c r="CB55" s="20">
        <f t="shared" si="10"/>
        <v>318.60163823832028</v>
      </c>
      <c r="CC55" s="59">
        <f t="shared" si="11"/>
        <v>611.93497157165359</v>
      </c>
      <c r="CD55" s="59">
        <f ca="1">AVERAGE(OFFSET($CC$3,0,0,'Données projet'!$E$12+1,1))-AVERAGE(OFFSET($H$3,0,0,'Données projet'!$E$12+1,1))</f>
        <v>258.28817640749349</v>
      </c>
      <c r="CE55" s="59">
        <f t="shared" si="40"/>
        <v>158.16416492761954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13.929685810536141</v>
      </c>
      <c r="CM55" s="21">
        <f>EXP(-LN(2)/2)*CM54+(1-EXP(-LN(2)/2))/(LN(2)/2)*CG55*CJ55*VLOOKUP('Données projet'!$B$12,Paramètres!$A$1:$I$89,3,0)*0.475*44/12</f>
        <v>8.6064868983509442</v>
      </c>
      <c r="CN55" s="22">
        <f t="shared" si="12"/>
        <v>22.536172708887086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1.1368683772161603E-13</v>
      </c>
      <c r="O56" s="13">
        <f>N56*VLOOKUP('Données projet'!$B$9,Paramètres!$A$1:$I$89,3,0)*VLOOKUP('Données projet'!$B$9,Paramètres!$A$1:$I$89,5,0)</f>
        <v>6.7984728957526396E-14</v>
      </c>
      <c r="P56" s="13">
        <f t="shared" si="33"/>
        <v>1.0682447123141398E-12</v>
      </c>
      <c r="Q56" s="20">
        <f t="shared" si="53"/>
        <v>1.978932943548152E-12</v>
      </c>
      <c r="R56" s="59">
        <f t="shared" si="0"/>
        <v>293.3333333333353</v>
      </c>
      <c r="S56" s="59">
        <f ca="1">AVERAGE(OFFSET($R$3,0,0,'Données projet'!$E$9+1,1))-AVERAGE(OFFSET($H$3,0,0,'Données projet'!$E$9+1,1))</f>
        <v>149.5086927376081</v>
      </c>
      <c r="T56" s="59">
        <f t="shared" si="34"/>
        <v>364.59164590134498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38.220267112193874</v>
      </c>
      <c r="AA56" s="21">
        <f>EXP(-LN(2)/25)*AA55+(1-EXP(-LN(2)/25))/(LN(2)/25)*Calculateur!V56*Calculateur!X56*VLOOKUP('Données projet'!$B$9,Paramètres!$A$1:$I$89,3,0)*0.475*44/12</f>
        <v>22.224795769191601</v>
      </c>
      <c r="AB56" s="21">
        <f>EXP(-LN(2)/2)*AB55+(1-EXP(-LN(2)/2))/(LN(2)/2)*V56*Y56*VLOOKUP('Données projet'!$B$9,Paramètres!$A$1:$I$89,3,0)*0.475*44/12</f>
        <v>1.8408520232379256E-2</v>
      </c>
      <c r="AC56" s="22">
        <f t="shared" si="3"/>
        <v>60.463471401617852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0</v>
      </c>
      <c r="AO56" s="59">
        <f t="shared" si="36"/>
        <v>0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4.4000000000000004</v>
      </c>
      <c r="BD56" s="12">
        <f>IF('Données projet'!$A$88&gt;35,BD55+BC56-BL55,IF(A56&lt;'Données projet'!$A$88,$BA$205^A56,IF(A56='Données projet'!$A$88,'Données projet'!$B$88,BD55+BC56-BL55)))</f>
        <v>174.2</v>
      </c>
      <c r="BE56" s="13">
        <f>BD56*VLOOKUP('Données projet'!$B$11,Paramètres!$A$1:$I$89,3,0)*VLOOKUP('Données projet'!$B$11,Paramètres!$A$1:$I$89,5,0)</f>
        <v>141.31104000000002</v>
      </c>
      <c r="BF56" s="13">
        <f t="shared" si="37"/>
        <v>36.597183225222992</v>
      </c>
      <c r="BG56" s="20">
        <f t="shared" si="7"/>
        <v>309.85682211726339</v>
      </c>
      <c r="BH56" s="59">
        <f t="shared" si="8"/>
        <v>603.19015545059665</v>
      </c>
      <c r="BI56" s="59">
        <f ca="1">AVERAGE(OFFSET($BH$3,0,0,'Données projet'!$E$11+1,1))-AVERAGE(OFFSET($H$3,0,0,'Données projet'!$E$11+1,1))</f>
        <v>175.73034516698141</v>
      </c>
      <c r="BJ56" s="59">
        <f t="shared" si="38"/>
        <v>203.59461632821052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2.9390962099961957</v>
      </c>
      <c r="BR56" s="21">
        <f>EXP(-LN(2)/2)*BR55+(1-EXP(-LN(2)/2))/(LN(2)/2)*BL56*BO56*VLOOKUP('Données projet'!$B$11,Paramètres!$A$1:$I$89,3,0)*0.475*44/12</f>
        <v>2.8181231447364685E-3</v>
      </c>
      <c r="BS56" s="22">
        <f t="shared" si="9"/>
        <v>2.9419143331409323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7.8</v>
      </c>
      <c r="BY56" s="12">
        <f>IF('Données projet'!$A$114&gt;35,BY55+BX56-CG55,IF(A56&lt;'Données projet'!$A$114,$BV$205^A56,IF(A56='Données projet'!$A$114,'Données projet'!$B$114,BY55+BX56-CG55)))</f>
        <v>180.40000000000009</v>
      </c>
      <c r="BZ56" s="13">
        <f>BY56*VLOOKUP('Données projet'!$B$12,Paramètres!$A$1:$I$89,3,0)*VLOOKUP('Données projet'!$B$12,Paramètres!$A$1:$I$89,5,0)</f>
        <v>151.9689600000001</v>
      </c>
      <c r="CA56" s="13">
        <f t="shared" si="39"/>
        <v>39.02569866968944</v>
      </c>
      <c r="CB56" s="20">
        <f t="shared" si="10"/>
        <v>332.64903051637594</v>
      </c>
      <c r="CC56" s="59">
        <f t="shared" si="11"/>
        <v>625.98236384970926</v>
      </c>
      <c r="CD56" s="59">
        <f ca="1">AVERAGE(OFFSET($CC$3,0,0,'Données projet'!$E$12+1,1))-AVERAGE(OFFSET($H$3,0,0,'Données projet'!$E$12+1,1))</f>
        <v>258.28817640749349</v>
      </c>
      <c r="CE56" s="59">
        <f t="shared" si="40"/>
        <v>158.16416492761954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13.54877781951669</v>
      </c>
      <c r="CM56" s="21">
        <f>EXP(-LN(2)/2)*CM55+(1-EXP(-LN(2)/2))/(LN(2)/2)*CG56*CJ56*VLOOKUP('Données projet'!$B$12,Paramètres!$A$1:$I$89,3,0)*0.475*44/12</f>
        <v>6.0857052480171294</v>
      </c>
      <c r="CN56" s="22">
        <f t="shared" si="12"/>
        <v>19.634483067533822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1.1368683772161603E-13</v>
      </c>
      <c r="O57" s="13">
        <f>N57*VLOOKUP('Données projet'!$B$9,Paramètres!$A$1:$I$89,3,0)*VLOOKUP('Données projet'!$B$9,Paramètres!$A$1:$I$89,5,0)</f>
        <v>6.7984728957526396E-14</v>
      </c>
      <c r="P57" s="13">
        <f t="shared" si="33"/>
        <v>1.0682447123141398E-12</v>
      </c>
      <c r="Q57" s="20">
        <f t="shared" si="53"/>
        <v>1.978932943548152E-12</v>
      </c>
      <c r="R57" s="59">
        <f t="shared" si="0"/>
        <v>293.3333333333353</v>
      </c>
      <c r="S57" s="59">
        <f ca="1">AVERAGE(OFFSET($R$3,0,0,'Données projet'!$E$9+1,1))-AVERAGE(OFFSET($H$3,0,0,'Données projet'!$E$9+1,1))</f>
        <v>149.5086927376081</v>
      </c>
      <c r="T57" s="59">
        <f t="shared" si="34"/>
        <v>364.59164590134498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37.470790986184817</v>
      </c>
      <c r="AA57" s="21">
        <f>EXP(-LN(2)/25)*AA56+(1-EXP(-LN(2)/25))/(LN(2)/25)*Calculateur!V57*Calculateur!X57*VLOOKUP('Données projet'!$B$9,Paramètres!$A$1:$I$89,3,0)*0.475*44/12</f>
        <v>21.617057560131844</v>
      </c>
      <c r="AB57" s="21">
        <f>EXP(-LN(2)/2)*AB56+(1-EXP(-LN(2)/2))/(LN(2)/2)*V57*Y57*VLOOKUP('Données projet'!$B$9,Paramètres!$A$1:$I$89,3,0)*0.475*44/12</f>
        <v>1.3016789487925132E-2</v>
      </c>
      <c r="AC57" s="22">
        <f t="shared" si="3"/>
        <v>59.100865335804592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0</v>
      </c>
      <c r="AO57" s="59">
        <f t="shared" si="36"/>
        <v>0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4.4000000000000004</v>
      </c>
      <c r="BD57" s="12">
        <f>IF('Données projet'!$A$88&gt;35,BD56+BC57-BL56,IF(A57&lt;'Données projet'!$A$88,$BA$205^A57,IF(A57='Données projet'!$A$88,'Données projet'!$B$88,BD56+BC57-BL56)))</f>
        <v>178.6</v>
      </c>
      <c r="BE57" s="13">
        <f>BD57*VLOOKUP('Données projet'!$B$11,Paramètres!$A$1:$I$89,3,0)*VLOOKUP('Données projet'!$B$11,Paramètres!$A$1:$I$89,5,0)</f>
        <v>144.88032000000001</v>
      </c>
      <c r="BF57" s="13">
        <f t="shared" si="37"/>
        <v>37.412778923310412</v>
      </c>
      <c r="BG57" s="20">
        <f t="shared" si="7"/>
        <v>317.493813958099</v>
      </c>
      <c r="BH57" s="59">
        <f t="shared" si="8"/>
        <v>610.82714729143231</v>
      </c>
      <c r="BI57" s="59">
        <f ca="1">AVERAGE(OFFSET($BH$3,0,0,'Données projet'!$E$11+1,1))-AVERAGE(OFFSET($H$3,0,0,'Données projet'!$E$11+1,1))</f>
        <v>175.73034516698141</v>
      </c>
      <c r="BJ57" s="59">
        <f t="shared" si="38"/>
        <v>203.59461632821052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2.8587264695734973</v>
      </c>
      <c r="BR57" s="21">
        <f>EXP(-LN(2)/2)*BR56+(1-EXP(-LN(2)/2))/(LN(2)/2)*BL57*BO57*VLOOKUP('Données projet'!$B$11,Paramètres!$A$1:$I$89,3,0)*0.475*44/12</f>
        <v>1.9927139858619152E-3</v>
      </c>
      <c r="BS57" s="22">
        <f t="shared" si="9"/>
        <v>2.8607191835593593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7.8</v>
      </c>
      <c r="BY57" s="12">
        <f>IF('Données projet'!$A$114&gt;35,BY56+BX57-CG56,IF(A57&lt;'Données projet'!$A$114,$BV$205^A57,IF(A57='Données projet'!$A$114,'Données projet'!$B$114,BY56+BX57-CG56)))</f>
        <v>188.2000000000001</v>
      </c>
      <c r="BZ57" s="13">
        <f>BY57*VLOOKUP('Données projet'!$B$12,Paramètres!$A$1:$I$89,3,0)*VLOOKUP('Données projet'!$B$12,Paramètres!$A$1:$I$89,5,0)</f>
        <v>158.53968000000009</v>
      </c>
      <c r="CA57" s="13">
        <f t="shared" si="39"/>
        <v>40.512960593887016</v>
      </c>
      <c r="CB57" s="20">
        <f t="shared" si="10"/>
        <v>346.68334903435334</v>
      </c>
      <c r="CC57" s="59">
        <f t="shared" si="11"/>
        <v>640.0166823676866</v>
      </c>
      <c r="CD57" s="59">
        <f ca="1">AVERAGE(OFFSET($CC$3,0,0,'Données projet'!$E$12+1,1))-AVERAGE(OFFSET($H$3,0,0,'Données projet'!$E$12+1,1))</f>
        <v>258.28817640749349</v>
      </c>
      <c r="CE57" s="59">
        <f t="shared" si="40"/>
        <v>158.16416492761954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13.178285777542747</v>
      </c>
      <c r="CM57" s="21">
        <f>EXP(-LN(2)/2)*CM56+(1-EXP(-LN(2)/2))/(LN(2)/2)*CG57*CJ57*VLOOKUP('Données projet'!$B$12,Paramètres!$A$1:$I$89,3,0)*0.475*44/12</f>
        <v>4.303243449175473</v>
      </c>
      <c r="CN57" s="22">
        <f t="shared" si="12"/>
        <v>17.481529226718219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1.1368683772161603E-13</v>
      </c>
      <c r="O58" s="13">
        <f>N58*VLOOKUP('Données projet'!$B$9,Paramètres!$A$1:$I$89,3,0)*VLOOKUP('Données projet'!$B$9,Paramètres!$A$1:$I$89,5,0)</f>
        <v>6.7984728957526396E-14</v>
      </c>
      <c r="P58" s="13">
        <f t="shared" si="33"/>
        <v>1.0682447123141398E-12</v>
      </c>
      <c r="Q58" s="20">
        <f t="shared" si="53"/>
        <v>1.978932943548152E-12</v>
      </c>
      <c r="R58" s="59">
        <f t="shared" si="0"/>
        <v>293.3333333333353</v>
      </c>
      <c r="S58" s="59">
        <f ca="1">AVERAGE(OFFSET($R$3,0,0,'Données projet'!$E$9+1,1))-AVERAGE(OFFSET($H$3,0,0,'Données projet'!$E$9+1,1))</f>
        <v>149.5086927376081</v>
      </c>
      <c r="T58" s="59">
        <f t="shared" si="34"/>
        <v>364.59164590134498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36.736011629871498</v>
      </c>
      <c r="AA58" s="21">
        <f>EXP(-LN(2)/25)*AA57+(1-EXP(-LN(2)/25))/(LN(2)/25)*Calculateur!V58*Calculateur!X58*VLOOKUP('Données projet'!$B$9,Paramètres!$A$1:$I$89,3,0)*0.475*44/12</f>
        <v>21.025937984358389</v>
      </c>
      <c r="AB58" s="21">
        <f>EXP(-LN(2)/2)*AB57+(1-EXP(-LN(2)/2))/(LN(2)/2)*V58*Y58*VLOOKUP('Données projet'!$B$9,Paramètres!$A$1:$I$89,3,0)*0.475*44/12</f>
        <v>9.2042601161896279E-3</v>
      </c>
      <c r="AC58" s="22">
        <f t="shared" si="3"/>
        <v>57.771153874346084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0</v>
      </c>
      <c r="AO58" s="59">
        <f t="shared" si="36"/>
        <v>0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4.4000000000000004</v>
      </c>
      <c r="BD58" s="12">
        <f>IF('Données projet'!$A$88&gt;35,BD57+BC58-BL57,IF(A58&lt;'Données projet'!$A$88,$BA$205^A58,IF(A58='Données projet'!$A$88,'Données projet'!$B$88,BD57+BC58-BL57)))</f>
        <v>183</v>
      </c>
      <c r="BE58" s="13">
        <f>BD58*VLOOKUP('Données projet'!$B$11,Paramètres!$A$1:$I$89,3,0)*VLOOKUP('Données projet'!$B$11,Paramètres!$A$1:$I$89,5,0)</f>
        <v>148.4496</v>
      </c>
      <c r="BF58" s="13">
        <f t="shared" si="37"/>
        <v>38.226038889407498</v>
      </c>
      <c r="BG58" s="20">
        <f t="shared" si="7"/>
        <v>325.1267377323847</v>
      </c>
      <c r="BH58" s="59">
        <f t="shared" si="8"/>
        <v>618.46007106571801</v>
      </c>
      <c r="BI58" s="59">
        <f ca="1">AVERAGE(OFFSET($BH$3,0,0,'Données projet'!$E$11+1,1))-AVERAGE(OFFSET($H$3,0,0,'Données projet'!$E$11+1,1))</f>
        <v>175.73034516698141</v>
      </c>
      <c r="BJ58" s="59">
        <f t="shared" si="38"/>
        <v>203.59461632821052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2.7805544439291188</v>
      </c>
      <c r="BR58" s="21">
        <f>EXP(-LN(2)/2)*BR57+(1-EXP(-LN(2)/2))/(LN(2)/2)*BL58*BO58*VLOOKUP('Données projet'!$B$11,Paramètres!$A$1:$I$89,3,0)*0.475*44/12</f>
        <v>1.4090615723682343E-3</v>
      </c>
      <c r="BS58" s="22">
        <f t="shared" si="9"/>
        <v>2.7819635055014871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7.8</v>
      </c>
      <c r="BY58" s="12">
        <f>IF('Données projet'!$A$114&gt;35,BY57+BX58-CG57,IF(A58&lt;'Données projet'!$A$114,$BV$205^A58,IF(A58='Données projet'!$A$114,'Données projet'!$B$114,BY57+BX58-CG57)))</f>
        <v>196.00000000000011</v>
      </c>
      <c r="BZ58" s="13">
        <f>BY58*VLOOKUP('Données projet'!$B$12,Paramètres!$A$1:$I$89,3,0)*VLOOKUP('Données projet'!$B$12,Paramètres!$A$1:$I$89,5,0)</f>
        <v>165.11040000000011</v>
      </c>
      <c r="CA58" s="13">
        <f t="shared" si="39"/>
        <v>41.993062739333482</v>
      </c>
      <c r="CB58" s="20">
        <f t="shared" si="10"/>
        <v>360.70519760433928</v>
      </c>
      <c r="CC58" s="59">
        <f t="shared" si="11"/>
        <v>654.03853093767259</v>
      </c>
      <c r="CD58" s="59">
        <f ca="1">AVERAGE(OFFSET($CC$3,0,0,'Données projet'!$E$12+1,1))-AVERAGE(OFFSET($H$3,0,0,'Données projet'!$E$12+1,1))</f>
        <v>258.28817640749349</v>
      </c>
      <c r="CE58" s="59">
        <f t="shared" si="40"/>
        <v>158.16416492761954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12.817924859939911</v>
      </c>
      <c r="CM58" s="21">
        <f>EXP(-LN(2)/2)*CM57+(1-EXP(-LN(2)/2))/(LN(2)/2)*CG58*CJ58*VLOOKUP('Données projet'!$B$12,Paramètres!$A$1:$I$89,3,0)*0.475*44/12</f>
        <v>3.0428526240085656</v>
      </c>
      <c r="CN58" s="22">
        <f t="shared" si="12"/>
        <v>15.860777483948477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1.1368683772161603E-13</v>
      </c>
      <c r="O59" s="13">
        <f>N59*VLOOKUP('Données projet'!$B$9,Paramètres!$A$1:$I$89,3,0)*VLOOKUP('Données projet'!$B$9,Paramètres!$A$1:$I$89,5,0)</f>
        <v>6.7984728957526396E-14</v>
      </c>
      <c r="P59" s="13">
        <f t="shared" si="33"/>
        <v>1.0682447123141398E-12</v>
      </c>
      <c r="Q59" s="20">
        <f t="shared" si="53"/>
        <v>1.978932943548152E-12</v>
      </c>
      <c r="R59" s="59">
        <f t="shared" si="0"/>
        <v>293.3333333333353</v>
      </c>
      <c r="S59" s="59">
        <f ca="1">AVERAGE(OFFSET($R$3,0,0,'Données projet'!$E$9+1,1))-AVERAGE(OFFSET($H$3,0,0,'Données projet'!$E$9+1,1))</f>
        <v>149.5086927376081</v>
      </c>
      <c r="T59" s="59">
        <f t="shared" si="34"/>
        <v>364.59164590134498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36.015640848564331</v>
      </c>
      <c r="AA59" s="21">
        <f>EXP(-LN(2)/25)*AA58+(1-EXP(-LN(2)/25))/(LN(2)/25)*Calculateur!V59*Calculateur!X59*VLOOKUP('Données projet'!$B$9,Paramètres!$A$1:$I$89,3,0)*0.475*44/12</f>
        <v>20.450982604470084</v>
      </c>
      <c r="AB59" s="21">
        <f>EXP(-LN(2)/2)*AB58+(1-EXP(-LN(2)/2))/(LN(2)/2)*V59*Y59*VLOOKUP('Données projet'!$B$9,Paramètres!$A$1:$I$89,3,0)*0.475*44/12</f>
        <v>6.5083947439625658E-3</v>
      </c>
      <c r="AC59" s="22">
        <f t="shared" si="3"/>
        <v>56.473131847778376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0</v>
      </c>
      <c r="AO59" s="59">
        <f t="shared" si="36"/>
        <v>0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4.4000000000000004</v>
      </c>
      <c r="BD59" s="12">
        <f>IF('Données projet'!$A$88&gt;35,BD58+BC59-BL58,IF(A59&lt;'Données projet'!$A$88,$BA$205^A59,IF(A59='Données projet'!$A$88,'Données projet'!$B$88,BD58+BC59-BL58)))</f>
        <v>187.4</v>
      </c>
      <c r="BE59" s="13">
        <f>BD59*VLOOKUP('Données projet'!$B$11,Paramètres!$A$1:$I$89,3,0)*VLOOKUP('Données projet'!$B$11,Paramètres!$A$1:$I$89,5,0)</f>
        <v>152.01888000000002</v>
      </c>
      <c r="BF59" s="13">
        <f t="shared" si="37"/>
        <v>39.037025744724936</v>
      </c>
      <c r="BG59" s="20">
        <f t="shared" si="7"/>
        <v>332.75570250539596</v>
      </c>
      <c r="BH59" s="59">
        <f t="shared" si="8"/>
        <v>626.08903583872927</v>
      </c>
      <c r="BI59" s="59">
        <f ca="1">AVERAGE(OFFSET($BH$3,0,0,'Données projet'!$E$11+1,1))-AVERAGE(OFFSET($H$3,0,0,'Données projet'!$E$11+1,1))</f>
        <v>175.73034516698141</v>
      </c>
      <c r="BJ59" s="59">
        <f t="shared" si="38"/>
        <v>203.59461632821052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2.704520036436874</v>
      </c>
      <c r="BR59" s="21">
        <f>EXP(-LN(2)/2)*BR58+(1-EXP(-LN(2)/2))/(LN(2)/2)*BL59*BO59*VLOOKUP('Données projet'!$B$11,Paramètres!$A$1:$I$89,3,0)*0.475*44/12</f>
        <v>9.9635699293095762E-4</v>
      </c>
      <c r="BS59" s="22">
        <f t="shared" si="9"/>
        <v>2.705516393429805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7.8</v>
      </c>
      <c r="BY59" s="12">
        <f>IF('Données projet'!$A$114&gt;35,BY58+BX59-CG58,IF(A59&lt;'Données projet'!$A$114,$BV$205^A59,IF(A59='Données projet'!$A$114,'Données projet'!$B$114,BY58+BX59-CG58)))</f>
        <v>203.80000000000013</v>
      </c>
      <c r="BZ59" s="13">
        <f>BY59*VLOOKUP('Données projet'!$B$12,Paramètres!$A$1:$I$89,3,0)*VLOOKUP('Données projet'!$B$12,Paramètres!$A$1:$I$89,5,0)</f>
        <v>171.68112000000013</v>
      </c>
      <c r="CA59" s="13">
        <f t="shared" si="39"/>
        <v>43.466322637016617</v>
      </c>
      <c r="CB59" s="20">
        <f t="shared" si="10"/>
        <v>374.71512925947081</v>
      </c>
      <c r="CC59" s="59">
        <f t="shared" si="11"/>
        <v>668.04846259280407</v>
      </c>
      <c r="CD59" s="59">
        <f ca="1">AVERAGE(OFFSET($CC$3,0,0,'Données projet'!$E$12+1,1))-AVERAGE(OFFSET($H$3,0,0,'Données projet'!$E$12+1,1))</f>
        <v>258.28817640749349</v>
      </c>
      <c r="CE59" s="59">
        <f t="shared" si="40"/>
        <v>158.16416492761954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12.467418030579481</v>
      </c>
      <c r="CM59" s="21">
        <f>EXP(-LN(2)/2)*CM58+(1-EXP(-LN(2)/2))/(LN(2)/2)*CG59*CJ59*VLOOKUP('Données projet'!$B$12,Paramètres!$A$1:$I$89,3,0)*0.475*44/12</f>
        <v>2.1516217245877369</v>
      </c>
      <c r="CN59" s="22">
        <f t="shared" si="12"/>
        <v>14.619039755167218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1.1368683772161603E-13</v>
      </c>
      <c r="O60" s="13">
        <f>N60*VLOOKUP('Données projet'!$B$9,Paramètres!$A$1:$I$89,3,0)*VLOOKUP('Données projet'!$B$9,Paramètres!$A$1:$I$89,5,0)</f>
        <v>6.7984728957526396E-14</v>
      </c>
      <c r="P60" s="13">
        <f t="shared" si="33"/>
        <v>1.0682447123141398E-12</v>
      </c>
      <c r="Q60" s="20">
        <f t="shared" si="53"/>
        <v>1.978932943548152E-12</v>
      </c>
      <c r="R60" s="59">
        <f t="shared" si="0"/>
        <v>293.3333333333353</v>
      </c>
      <c r="S60" s="59">
        <f ca="1">AVERAGE(OFFSET($R$3,0,0,'Données projet'!$E$9+1,1))-AVERAGE(OFFSET($H$3,0,0,'Données projet'!$E$9+1,1))</f>
        <v>149.5086927376081</v>
      </c>
      <c r="T60" s="59">
        <f t="shared" si="34"/>
        <v>364.59164590134498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35.309396098895803</v>
      </c>
      <c r="AA60" s="21">
        <f>EXP(-LN(2)/25)*AA59+(1-EXP(-LN(2)/25))/(LN(2)/25)*Calculateur!V60*Calculateur!X60*VLOOKUP('Données projet'!$B$9,Paramètres!$A$1:$I$89,3,0)*0.475*44/12</f>
        <v>19.891749409680415</v>
      </c>
      <c r="AB60" s="21">
        <f>EXP(-LN(2)/2)*AB59+(1-EXP(-LN(2)/2))/(LN(2)/2)*V60*Y60*VLOOKUP('Données projet'!$B$9,Paramètres!$A$1:$I$89,3,0)*0.475*44/12</f>
        <v>4.602130058094814E-3</v>
      </c>
      <c r="AC60" s="22">
        <f t="shared" si="3"/>
        <v>55.205747638634314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0</v>
      </c>
      <c r="AO60" s="59">
        <f t="shared" si="36"/>
        <v>0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4.4000000000000004</v>
      </c>
      <c r="BD60" s="12">
        <f>IF('Données projet'!$A$88&gt;35,BD59+BC60-BL59,IF(A60&lt;'Données projet'!$A$88,$BA$205^A60,IF(A60='Données projet'!$A$88,'Données projet'!$B$88,BD59+BC60-BL59)))</f>
        <v>191.8</v>
      </c>
      <c r="BE60" s="13">
        <f>BD60*VLOOKUP('Données projet'!$B$11,Paramètres!$A$1:$I$89,3,0)*VLOOKUP('Données projet'!$B$11,Paramètres!$A$1:$I$89,5,0)</f>
        <v>155.58816000000002</v>
      </c>
      <c r="BF60" s="13">
        <f t="shared" si="37"/>
        <v>39.845799002129048</v>
      </c>
      <c r="BG60" s="20">
        <f t="shared" si="7"/>
        <v>340.38081192870806</v>
      </c>
      <c r="BH60" s="59">
        <f t="shared" si="8"/>
        <v>633.71414526204137</v>
      </c>
      <c r="BI60" s="59">
        <f ca="1">AVERAGE(OFFSET($BH$3,0,0,'Données projet'!$E$11+1,1))-AVERAGE(OFFSET($H$3,0,0,'Données projet'!$E$11+1,1))</f>
        <v>175.73034516698141</v>
      </c>
      <c r="BJ60" s="59">
        <f t="shared" si="38"/>
        <v>203.59461632821052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2.6305647938159802</v>
      </c>
      <c r="BR60" s="21">
        <f>EXP(-LN(2)/2)*BR59+(1-EXP(-LN(2)/2))/(LN(2)/2)*BL60*BO60*VLOOKUP('Données projet'!$B$11,Paramètres!$A$1:$I$89,3,0)*0.475*44/12</f>
        <v>7.0453078618411713E-4</v>
      </c>
      <c r="BS60" s="22">
        <f t="shared" si="9"/>
        <v>2.6312693246021643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7.8</v>
      </c>
      <c r="BY60" s="12">
        <f>IF('Données projet'!$A$114&gt;35,BY59+BX60-CG59,IF(A60&lt;'Données projet'!$A$114,$BV$205^A60,IF(A60='Données projet'!$A$114,'Données projet'!$B$114,BY59+BX60-CG59)))</f>
        <v>211.60000000000014</v>
      </c>
      <c r="BZ60" s="13">
        <f>BY60*VLOOKUP('Données projet'!$B$12,Paramètres!$A$1:$I$89,3,0)*VLOOKUP('Données projet'!$B$12,Paramètres!$A$1:$I$89,5,0)</f>
        <v>178.25184000000013</v>
      </c>
      <c r="CA60" s="13">
        <f t="shared" si="39"/>
        <v>44.933032135767995</v>
      </c>
      <c r="CB60" s="20">
        <f t="shared" si="10"/>
        <v>388.71365230312949</v>
      </c>
      <c r="CC60" s="59">
        <f t="shared" si="11"/>
        <v>682.04698563646275</v>
      </c>
      <c r="CD60" s="59">
        <f ca="1">AVERAGE(OFFSET($CC$3,0,0,'Données projet'!$E$12+1,1))-AVERAGE(OFFSET($H$3,0,0,'Données projet'!$E$12+1,1))</f>
        <v>258.28817640749349</v>
      </c>
      <c r="CE60" s="59">
        <f t="shared" si="40"/>
        <v>158.16416492761954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12.126495828900266</v>
      </c>
      <c r="CM60" s="21">
        <f>EXP(-LN(2)/2)*CM59+(1-EXP(-LN(2)/2))/(LN(2)/2)*CG60*CJ60*VLOOKUP('Données projet'!$B$12,Paramètres!$A$1:$I$89,3,0)*0.475*44/12</f>
        <v>1.521426312004283</v>
      </c>
      <c r="CN60" s="22">
        <f t="shared" si="12"/>
        <v>13.64792214090455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1.1368683772161603E-13</v>
      </c>
      <c r="O61" s="13">
        <f>N61*VLOOKUP('Données projet'!$B$9,Paramètres!$A$1:$I$89,3,0)*VLOOKUP('Données projet'!$B$9,Paramètres!$A$1:$I$89,5,0)</f>
        <v>6.7984728957526396E-14</v>
      </c>
      <c r="P61" s="13">
        <f t="shared" si="33"/>
        <v>1.0682447123141398E-12</v>
      </c>
      <c r="Q61" s="20">
        <f t="shared" si="53"/>
        <v>1.978932943548152E-12</v>
      </c>
      <c r="R61" s="59">
        <f t="shared" si="0"/>
        <v>293.3333333333353</v>
      </c>
      <c r="S61" s="59">
        <f ca="1">AVERAGE(OFFSET($R$3,0,0,'Données projet'!$E$9+1,1))-AVERAGE(OFFSET($H$3,0,0,'Données projet'!$E$9+1,1))</f>
        <v>149.5086927376081</v>
      </c>
      <c r="T61" s="59">
        <f t="shared" si="34"/>
        <v>364.59164590134498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34.617000378001514</v>
      </c>
      <c r="AA61" s="21">
        <f>EXP(-LN(2)/25)*AA60+(1-EXP(-LN(2)/25))/(LN(2)/25)*Calculateur!V61*Calculateur!X61*VLOOKUP('Données projet'!$B$9,Paramètres!$A$1:$I$89,3,0)*0.475*44/12</f>
        <v>19.347808476011064</v>
      </c>
      <c r="AB61" s="21">
        <f>EXP(-LN(2)/2)*AB60+(1-EXP(-LN(2)/2))/(LN(2)/2)*V61*Y61*VLOOKUP('Données projet'!$B$9,Paramètres!$A$1:$I$89,3,0)*0.475*44/12</f>
        <v>3.2541973719812829E-3</v>
      </c>
      <c r="AC61" s="22">
        <f t="shared" si="3"/>
        <v>53.968063051384554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0</v>
      </c>
      <c r="AO61" s="59">
        <f t="shared" si="36"/>
        <v>0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4.4000000000000004</v>
      </c>
      <c r="BD61" s="12">
        <f>IF('Données projet'!$A$88&gt;35,BD60+BC61-BL60,IF(A61&lt;'Données projet'!$A$88,$BA$205^A61,IF(A61='Données projet'!$A$88,'Données projet'!$B$88,BD60+BC61-BL60)))</f>
        <v>196.20000000000002</v>
      </c>
      <c r="BE61" s="13">
        <f>BD61*VLOOKUP('Données projet'!$B$11,Paramètres!$A$1:$I$89,3,0)*VLOOKUP('Données projet'!$B$11,Paramètres!$A$1:$I$89,5,0)</f>
        <v>159.15744000000004</v>
      </c>
      <c r="BF61" s="13">
        <f t="shared" si="37"/>
        <v>40.652415288145676</v>
      </c>
      <c r="BG61" s="20">
        <f t="shared" si="7"/>
        <v>348.00216462685376</v>
      </c>
      <c r="BH61" s="59">
        <f t="shared" si="8"/>
        <v>641.33549796018701</v>
      </c>
      <c r="BI61" s="59">
        <f ca="1">AVERAGE(OFFSET($BH$3,0,0,'Données projet'!$E$11+1,1))-AVERAGE(OFFSET($H$3,0,0,'Données projet'!$E$11+1,1))</f>
        <v>175.73034516698141</v>
      </c>
      <c r="BJ61" s="59">
        <f t="shared" si="38"/>
        <v>203.59461632821052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2.558631861193692</v>
      </c>
      <c r="BR61" s="21">
        <f>EXP(-LN(2)/2)*BR60+(1-EXP(-LN(2)/2))/(LN(2)/2)*BL61*BO61*VLOOKUP('Données projet'!$B$11,Paramètres!$A$1:$I$89,3,0)*0.475*44/12</f>
        <v>4.9817849646547881E-4</v>
      </c>
      <c r="BS61" s="22">
        <f t="shared" si="9"/>
        <v>2.5591300396901575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7.8</v>
      </c>
      <c r="BY61" s="12">
        <f>IF('Données projet'!$A$114&gt;35,BY60+BX61-CG60,IF(A61&lt;'Données projet'!$A$114,$BV$205^A61,IF(A61='Données projet'!$A$114,'Données projet'!$B$114,BY60+BX61-CG60)))</f>
        <v>219.40000000000015</v>
      </c>
      <c r="BZ61" s="13">
        <f>BY61*VLOOKUP('Données projet'!$B$12,Paramètres!$A$1:$I$89,3,0)*VLOOKUP('Données projet'!$B$12,Paramètres!$A$1:$I$89,5,0)</f>
        <v>184.82256000000015</v>
      </c>
      <c r="CA61" s="13">
        <f t="shared" si="39"/>
        <v>46.393460348969121</v>
      </c>
      <c r="CB61" s="20">
        <f t="shared" si="10"/>
        <v>402.70123544112147</v>
      </c>
      <c r="CC61" s="59">
        <f t="shared" si="11"/>
        <v>696.03456877445478</v>
      </c>
      <c r="CD61" s="59">
        <f ca="1">AVERAGE(OFFSET($CC$3,0,0,'Données projet'!$E$12+1,1))-AVERAGE(OFFSET($H$3,0,0,'Données projet'!$E$12+1,1))</f>
        <v>258.28817640749349</v>
      </c>
      <c r="CE61" s="59">
        <f t="shared" si="40"/>
        <v>158.16416492761954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11.794896162754288</v>
      </c>
      <c r="CM61" s="21">
        <f>EXP(-LN(2)/2)*CM60+(1-EXP(-LN(2)/2))/(LN(2)/2)*CG61*CJ61*VLOOKUP('Données projet'!$B$12,Paramètres!$A$1:$I$89,3,0)*0.475*44/12</f>
        <v>1.0758108622938687</v>
      </c>
      <c r="CN61" s="22">
        <f t="shared" si="12"/>
        <v>12.870707025048157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1.1368683772161603E-13</v>
      </c>
      <c r="O62" s="13">
        <f>N62*VLOOKUP('Données projet'!$B$9,Paramètres!$A$1:$I$89,3,0)*VLOOKUP('Données projet'!$B$9,Paramètres!$A$1:$I$89,5,0)</f>
        <v>6.7984728957526396E-14</v>
      </c>
      <c r="P62" s="13">
        <f t="shared" si="33"/>
        <v>1.0682447123141398E-12</v>
      </c>
      <c r="Q62" s="20">
        <f t="shared" si="53"/>
        <v>1.978932943548152E-12</v>
      </c>
      <c r="R62" s="59">
        <f t="shared" si="0"/>
        <v>293.3333333333353</v>
      </c>
      <c r="S62" s="59">
        <f ca="1">AVERAGE(OFFSET($R$3,0,0,'Données projet'!$E$9+1,1))-AVERAGE(OFFSET($H$3,0,0,'Données projet'!$E$9+1,1))</f>
        <v>149.5086927376081</v>
      </c>
      <c r="T62" s="59">
        <f t="shared" si="34"/>
        <v>364.59164590134498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33.938182114874273</v>
      </c>
      <c r="AA62" s="21">
        <f>EXP(-LN(2)/25)*AA61+(1-EXP(-LN(2)/25))/(LN(2)/25)*Calculateur!V62*Calculateur!X62*VLOOKUP('Données projet'!$B$9,Paramètres!$A$1:$I$89,3,0)*0.475*44/12</f>
        <v>18.818741635777513</v>
      </c>
      <c r="AB62" s="21">
        <f>EXP(-LN(2)/2)*AB61+(1-EXP(-LN(2)/2))/(LN(2)/2)*V62*Y62*VLOOKUP('Données projet'!$B$9,Paramètres!$A$1:$I$89,3,0)*0.475*44/12</f>
        <v>2.301065029047407E-3</v>
      </c>
      <c r="AC62" s="22">
        <f t="shared" si="3"/>
        <v>52.759224815680831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0</v>
      </c>
      <c r="AO62" s="59">
        <f t="shared" si="36"/>
        <v>0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4.4000000000000004</v>
      </c>
      <c r="BD62" s="12">
        <f>IF('Données projet'!$A$88&gt;35,BD61+BC62-BL61,IF(A62&lt;'Données projet'!$A$88,$BA$205^A62,IF(A62='Données projet'!$A$88,'Données projet'!$B$88,BD61+BC62-BL61)))</f>
        <v>200.60000000000002</v>
      </c>
      <c r="BE62" s="13">
        <f>BD62*VLOOKUP('Données projet'!$B$11,Paramètres!$A$1:$I$89,3,0)*VLOOKUP('Données projet'!$B$11,Paramètres!$A$1:$I$89,5,0)</f>
        <v>162.72672000000003</v>
      </c>
      <c r="BF62" s="13">
        <f t="shared" si="37"/>
        <v>41.456928544487127</v>
      </c>
      <c r="BG62" s="20">
        <f t="shared" si="7"/>
        <v>355.61985454831506</v>
      </c>
      <c r="BH62" s="59">
        <f t="shared" si="8"/>
        <v>648.95318788164832</v>
      </c>
      <c r="BI62" s="59">
        <f ca="1">AVERAGE(OFFSET($BH$3,0,0,'Données projet'!$E$11+1,1))-AVERAGE(OFFSET($H$3,0,0,'Données projet'!$E$11+1,1))</f>
        <v>175.73034516698141</v>
      </c>
      <c r="BJ62" s="59">
        <f t="shared" si="38"/>
        <v>203.59461632821052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2.4886659383967489</v>
      </c>
      <c r="BR62" s="21">
        <f>EXP(-LN(2)/2)*BR61+(1-EXP(-LN(2)/2))/(LN(2)/2)*BL62*BO62*VLOOKUP('Données projet'!$B$11,Paramètres!$A$1:$I$89,3,0)*0.475*44/12</f>
        <v>3.5226539309205857E-4</v>
      </c>
      <c r="BS62" s="22">
        <f t="shared" si="9"/>
        <v>2.4890182037898407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7.8</v>
      </c>
      <c r="BY62" s="12">
        <f>IF('Données projet'!$A$114&gt;35,BY61+BX62-CG61,IF(A62&lt;'Données projet'!$A$114,$BV$205^A62,IF(A62='Données projet'!$A$114,'Données projet'!$B$114,BY61+BX62-CG61)))</f>
        <v>227.20000000000016</v>
      </c>
      <c r="BZ62" s="13">
        <f>BY62*VLOOKUP('Données projet'!$B$12,Paramètres!$A$1:$I$89,3,0)*VLOOKUP('Données projet'!$B$12,Paramètres!$A$1:$I$89,5,0)</f>
        <v>191.39328000000015</v>
      </c>
      <c r="CA62" s="13">
        <f t="shared" si="39"/>
        <v>47.847856170442995</v>
      </c>
      <c r="CB62" s="20">
        <f t="shared" si="10"/>
        <v>416.67831216352187</v>
      </c>
      <c r="CC62" s="59">
        <f t="shared" si="11"/>
        <v>710.01164549685518</v>
      </c>
      <c r="CD62" s="59">
        <f ca="1">AVERAGE(OFFSET($CC$3,0,0,'Données projet'!$E$12+1,1))-AVERAGE(OFFSET($H$3,0,0,'Données projet'!$E$12+1,1))</f>
        <v>258.28817640749349</v>
      </c>
      <c r="CE62" s="59">
        <f t="shared" si="40"/>
        <v>158.16416492761954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11.472364106917141</v>
      </c>
      <c r="CM62" s="21">
        <f>EXP(-LN(2)/2)*CM61+(1-EXP(-LN(2)/2))/(LN(2)/2)*CG62*CJ62*VLOOKUP('Données projet'!$B$12,Paramètres!$A$1:$I$89,3,0)*0.475*44/12</f>
        <v>0.76071315600214162</v>
      </c>
      <c r="CN62" s="22">
        <f t="shared" si="12"/>
        <v>12.233077262919283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1.1368683772161603E-13</v>
      </c>
      <c r="O63" s="13">
        <f>N63*VLOOKUP('Données projet'!$B$9,Paramètres!$A$1:$I$89,3,0)*VLOOKUP('Données projet'!$B$9,Paramètres!$A$1:$I$89,5,0)</f>
        <v>6.7984728957526396E-14</v>
      </c>
      <c r="P63" s="13">
        <f t="shared" si="33"/>
        <v>1.0682447123141398E-12</v>
      </c>
      <c r="Q63" s="20">
        <f t="shared" si="53"/>
        <v>1.978932943548152E-12</v>
      </c>
      <c r="R63" s="59">
        <f t="shared" si="0"/>
        <v>293.3333333333353</v>
      </c>
      <c r="S63" s="59">
        <f ca="1">AVERAGE(OFFSET($R$3,0,0,'Données projet'!$E$9+1,1))-AVERAGE(OFFSET($H$3,0,0,'Données projet'!$E$9+1,1))</f>
        <v>149.5086927376081</v>
      </c>
      <c r="T63" s="59">
        <f t="shared" si="34"/>
        <v>364.59164590134498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33.272675063848702</v>
      </c>
      <c r="AA63" s="21">
        <f>EXP(-LN(2)/25)*AA62+(1-EXP(-LN(2)/25))/(LN(2)/25)*Calculateur!V63*Calculateur!X63*VLOOKUP('Données projet'!$B$9,Paramètres!$A$1:$I$89,3,0)*0.475*44/12</f>
        <v>18.304142156112565</v>
      </c>
      <c r="AB63" s="21">
        <f>EXP(-LN(2)/2)*AB62+(1-EXP(-LN(2)/2))/(LN(2)/2)*V63*Y63*VLOOKUP('Données projet'!$B$9,Paramètres!$A$1:$I$89,3,0)*0.475*44/12</f>
        <v>1.6270986859906415E-3</v>
      </c>
      <c r="AC63" s="22">
        <f t="shared" si="3"/>
        <v>51.578444318647264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0</v>
      </c>
      <c r="AO63" s="59">
        <f t="shared" si="36"/>
        <v>0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205</v>
      </c>
      <c r="BB63" s="12">
        <f>VLOOKUP(A63,'Données projet'!$A$87:$I$107,9,0)</f>
        <v>4.4000000000000004</v>
      </c>
      <c r="BC63" s="12">
        <f t="array" ref="BC63">INDEX(BB:BB,MIN(IF(ISNUMBER(BB63:BB259),ROW(BB63:BB259),"")))</f>
        <v>4.4000000000000004</v>
      </c>
      <c r="BD63" s="12">
        <f>IF('Données projet'!$A$88&gt;35,BD62+BC63-BL62,IF(A63&lt;'Données projet'!$A$88,$BA$205^A63,IF(A63='Données projet'!$A$88,'Données projet'!$B$88,BD62+BC63-BL62)))</f>
        <v>205.00000000000003</v>
      </c>
      <c r="BE63" s="13">
        <f>BD63*VLOOKUP('Données projet'!$B$11,Paramètres!$A$1:$I$89,3,0)*VLOOKUP('Données projet'!$B$11,Paramètres!$A$1:$I$89,5,0)</f>
        <v>166.29600000000005</v>
      </c>
      <c r="BF63" s="13">
        <f t="shared" si="37"/>
        <v>42.259390211399776</v>
      </c>
      <c r="BG63" s="20">
        <f t="shared" si="7"/>
        <v>363.2339712848547</v>
      </c>
      <c r="BH63" s="59">
        <f t="shared" si="8"/>
        <v>656.56730461818802</v>
      </c>
      <c r="BI63" s="59">
        <f ca="1">AVERAGE(OFFSET($BH$3,0,0,'Données projet'!$E$11+1,1))-AVERAGE(OFFSET($H$3,0,0,'Données projet'!$E$11+1,1))</f>
        <v>175.73034516698141</v>
      </c>
      <c r="BJ63" s="59">
        <f t="shared" si="38"/>
        <v>203.59461632821052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20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2.4206132374380358</v>
      </c>
      <c r="BR63" s="21">
        <f>EXP(-LN(2)/2)*BR62+(1-EXP(-LN(2)/2))/(LN(2)/2)*BL63*BO63*VLOOKUP('Données projet'!$B$11,Paramètres!$A$1:$I$89,3,0)*0.475*44/12</f>
        <v>2.490892482327394E-4</v>
      </c>
      <c r="BS63" s="22">
        <f t="shared" si="9"/>
        <v>2.4208623266862683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235</v>
      </c>
      <c r="BW63" s="12">
        <f>VLOOKUP(A63,'Données projet'!$A$113:$I$133,9,0)</f>
        <v>7.8</v>
      </c>
      <c r="BX63" s="12">
        <f t="array" ref="BX63">INDEX(BW:BW,MIN(IF(ISNUMBER(BW63:BW259),ROW(BW63:BW259),"")))</f>
        <v>7.8</v>
      </c>
      <c r="BY63" s="12">
        <f>IF('Données projet'!$A$114&gt;35,BY62+BX63-CG62,IF(A63&lt;'Données projet'!$A$114,$BV$205^A63,IF(A63='Données projet'!$A$114,'Données projet'!$B$114,BY62+BX63-CG62)))</f>
        <v>235.00000000000017</v>
      </c>
      <c r="BZ63" s="13">
        <f>BY63*VLOOKUP('Données projet'!$B$12,Paramètres!$A$1:$I$89,3,0)*VLOOKUP('Données projet'!$B$12,Paramètres!$A$1:$I$89,5,0)</f>
        <v>197.96400000000017</v>
      </c>
      <c r="CA63" s="13">
        <f t="shared" si="39"/>
        <v>49.296450435147804</v>
      </c>
      <c r="CB63" s="20">
        <f t="shared" si="10"/>
        <v>430.64528450788265</v>
      </c>
      <c r="CC63" s="59">
        <f t="shared" si="11"/>
        <v>723.97861784121596</v>
      </c>
      <c r="CD63" s="59">
        <f ca="1">AVERAGE(OFFSET($CC$3,0,0,'Données projet'!$E$12+1,1))-AVERAGE(OFFSET($H$3,0,0,'Données projet'!$E$12+1,1))</f>
        <v>258.28817640749349</v>
      </c>
      <c r="CE63" s="59">
        <f t="shared" si="40"/>
        <v>158.16416492761954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42</v>
      </c>
      <c r="CH63" s="16">
        <f>IF(ISNA(VLOOKUP(A63,'Données projet'!$A$113:$I$133,5,0)),0%,VLOOKUP(A63,'Données projet'!$A$113:$I$133,5,0)*VLOOKUP('Données projet'!$B$12,Paramètres!$A$1:$I$89,7,0))</f>
        <v>0.129</v>
      </c>
      <c r="CI63" s="16">
        <f>IF(ISNA(VLOOKUP(A63,'Données projet'!$A$113:$I$133,6,0)),0%,VLOOKUP(A63,'Données projet'!$A$113:$I$133,6,0)*VLOOKUP('Données projet'!$B$12,Paramètres!$A$1:$I$89,7,0))</f>
        <v>0.30099999999999999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5.0455030061391435</v>
      </c>
      <c r="CL63" s="21">
        <f>EXP(-LN(2)/25)*CL62+(1-EXP(-LN(2)/25))/(LN(2)/25)*Calculateur!CG63*Calculateur!CI63*VLOOKUP('Données projet'!$B$12,Paramètres!$A$1:$I$89,3,0)*0.475*44/12</f>
        <v>22.885137896513498</v>
      </c>
      <c r="CM63" s="21">
        <f>EXP(-LN(2)/2)*CM62+(1-EXP(-LN(2)/2))/(LN(2)/2)*CG63*CJ63*VLOOKUP('Données projet'!$B$12,Paramètres!$A$1:$I$89,3,0)*0.475*44/12</f>
        <v>0.53790543114693434</v>
      </c>
      <c r="CN63" s="22">
        <f t="shared" si="12"/>
        <v>28.468546333799576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1.1368683772161603E-13</v>
      </c>
      <c r="O64" s="13">
        <f>N64*VLOOKUP('Données projet'!$B$9,Paramètres!$A$1:$I$89,3,0)*VLOOKUP('Données projet'!$B$9,Paramètres!$A$1:$I$89,5,0)</f>
        <v>6.7984728957526396E-14</v>
      </c>
      <c r="P64" s="13">
        <f t="shared" si="33"/>
        <v>1.0682447123141398E-12</v>
      </c>
      <c r="Q64" s="20">
        <f t="shared" si="53"/>
        <v>1.978932943548152E-12</v>
      </c>
      <c r="R64" s="59">
        <f t="shared" si="0"/>
        <v>293.3333333333353</v>
      </c>
      <c r="S64" s="59">
        <f ca="1">AVERAGE(OFFSET($R$3,0,0,'Données projet'!$E$9+1,1))-AVERAGE(OFFSET($H$3,0,0,'Données projet'!$E$9+1,1))</f>
        <v>149.5086927376081</v>
      </c>
      <c r="T64" s="59">
        <f t="shared" si="34"/>
        <v>364.59164590134498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32.62021820017452</v>
      </c>
      <c r="AA64" s="21">
        <f>EXP(-LN(2)/25)*AA63+(1-EXP(-LN(2)/25))/(LN(2)/25)*Calculateur!V64*Calculateur!X64*VLOOKUP('Données projet'!$B$9,Paramètres!$A$1:$I$89,3,0)*0.475*44/12</f>
        <v>17.803614426280667</v>
      </c>
      <c r="AB64" s="21">
        <f>EXP(-LN(2)/2)*AB63+(1-EXP(-LN(2)/2))/(LN(2)/2)*V64*Y64*VLOOKUP('Données projet'!$B$9,Paramètres!$A$1:$I$89,3,0)*0.475*44/12</f>
        <v>1.1505325145237035E-3</v>
      </c>
      <c r="AC64" s="22">
        <f t="shared" si="3"/>
        <v>50.42498315896971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0</v>
      </c>
      <c r="AO64" s="59">
        <f t="shared" si="36"/>
        <v>0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3.2</v>
      </c>
      <c r="BD64" s="12">
        <f>IF('Données projet'!$A$88&gt;35,BD63+BC64-BL63,IF(A64&lt;'Données projet'!$A$88,$BA$205^A64,IF(A64='Données projet'!$A$88,'Données projet'!$B$88,BD63+BC64-BL63)))</f>
        <v>188.20000000000002</v>
      </c>
      <c r="BE64" s="13">
        <f>BD64*VLOOKUP('Données projet'!$B$11,Paramètres!$A$1:$I$89,3,0)*VLOOKUP('Données projet'!$B$11,Paramètres!$A$1:$I$89,5,0)</f>
        <v>152.66784000000004</v>
      </c>
      <c r="BF64" s="13">
        <f t="shared" si="37"/>
        <v>39.184238379220069</v>
      </c>
      <c r="BG64" s="20">
        <f t="shared" si="7"/>
        <v>334.14236984380835</v>
      </c>
      <c r="BH64" s="59">
        <f t="shared" si="8"/>
        <v>627.47570317714167</v>
      </c>
      <c r="BI64" s="59">
        <f ca="1">AVERAGE(OFFSET($BH$3,0,0,'Données projet'!$E$11+1,1))-AVERAGE(OFFSET($H$3,0,0,'Données projet'!$E$11+1,1))</f>
        <v>175.73034516698141</v>
      </c>
      <c r="BJ64" s="59">
        <f t="shared" si="38"/>
        <v>203.59461632821052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2.3544214411657749</v>
      </c>
      <c r="BR64" s="21">
        <f>EXP(-LN(2)/2)*BR63+(1-EXP(-LN(2)/2))/(LN(2)/2)*BL64*BO64*VLOOKUP('Données projet'!$B$11,Paramètres!$A$1:$I$89,3,0)*0.475*44/12</f>
        <v>1.7613269654602928E-4</v>
      </c>
      <c r="BS64" s="22">
        <f t="shared" si="9"/>
        <v>2.3545975738623208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</v>
      </c>
      <c r="BY64" s="12">
        <f>IF('Données projet'!$A$114&gt;35,BY63+BX64-CG63,IF(A64&lt;'Données projet'!$A$114,$BV$205^A64,IF(A64='Données projet'!$A$114,'Données projet'!$B$114,BY63+BX64-CG63)))</f>
        <v>200.00000000000017</v>
      </c>
      <c r="BZ64" s="13">
        <f>BY64*VLOOKUP('Données projet'!$B$12,Paramètres!$A$1:$I$89,3,0)*VLOOKUP('Données projet'!$B$12,Paramètres!$A$1:$I$89,5,0)</f>
        <v>168.48000000000016</v>
      </c>
      <c r="CA64" s="13">
        <f t="shared" si="39"/>
        <v>42.749416405385382</v>
      </c>
      <c r="CB64" s="20">
        <f t="shared" si="10"/>
        <v>367.89123357271313</v>
      </c>
      <c r="CC64" s="59">
        <f t="shared" si="11"/>
        <v>661.22456690604645</v>
      </c>
      <c r="CD64" s="59">
        <f ca="1">AVERAGE(OFFSET($CC$3,0,0,'Données projet'!$E$12+1,1))-AVERAGE(OFFSET($H$3,0,0,'Données projet'!$E$12+1,1))</f>
        <v>258.28817640749349</v>
      </c>
      <c r="CE64" s="59">
        <f t="shared" si="40"/>
        <v>158.16416492761954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4.9465637696417151</v>
      </c>
      <c r="CL64" s="21">
        <f>EXP(-LN(2)/25)*CL63+(1-EXP(-LN(2)/25))/(LN(2)/25)*Calculateur!CG64*Calculateur!CI64*VLOOKUP('Données projet'!$B$12,Paramètres!$A$1:$I$89,3,0)*0.475*44/12</f>
        <v>22.259342597256239</v>
      </c>
      <c r="CM64" s="21">
        <f>EXP(-LN(2)/2)*CM63+(1-EXP(-LN(2)/2))/(LN(2)/2)*CG64*CJ64*VLOOKUP('Données projet'!$B$12,Paramètres!$A$1:$I$89,3,0)*0.475*44/12</f>
        <v>0.38035657800107081</v>
      </c>
      <c r="CN64" s="22">
        <f t="shared" si="12"/>
        <v>27.586262944899026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1.1368683772161603E-13</v>
      </c>
      <c r="O65" s="13">
        <f>N65*VLOOKUP('Données projet'!$B$9,Paramètres!$A$1:$I$89,3,0)*VLOOKUP('Données projet'!$B$9,Paramètres!$A$1:$I$89,5,0)</f>
        <v>6.7984728957526396E-14</v>
      </c>
      <c r="P65" s="13">
        <f t="shared" si="33"/>
        <v>1.0682447123141398E-12</v>
      </c>
      <c r="Q65" s="20">
        <f t="shared" si="53"/>
        <v>1.978932943548152E-12</v>
      </c>
      <c r="R65" s="59">
        <f t="shared" si="0"/>
        <v>293.3333333333353</v>
      </c>
      <c r="S65" s="59">
        <f ca="1">AVERAGE(OFFSET($R$3,0,0,'Données projet'!$E$9+1,1))-AVERAGE(OFFSET($H$3,0,0,'Données projet'!$E$9+1,1))</f>
        <v>149.5086927376081</v>
      </c>
      <c r="T65" s="59">
        <f t="shared" si="34"/>
        <v>364.59164590134498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31.980555617637595</v>
      </c>
      <c r="AA65" s="21">
        <f>EXP(-LN(2)/25)*AA64+(1-EXP(-LN(2)/25))/(LN(2)/25)*Calculateur!V65*Calculateur!X65*VLOOKUP('Données projet'!$B$9,Paramètres!$A$1:$I$89,3,0)*0.475*44/12</f>
        <v>17.316773653542629</v>
      </c>
      <c r="AB65" s="21">
        <f>EXP(-LN(2)/2)*AB64+(1-EXP(-LN(2)/2))/(LN(2)/2)*V65*Y65*VLOOKUP('Données projet'!$B$9,Paramètres!$A$1:$I$89,3,0)*0.475*44/12</f>
        <v>8.1354934299532073E-4</v>
      </c>
      <c r="AC65" s="22">
        <f t="shared" si="3"/>
        <v>49.298142820523218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0</v>
      </c>
      <c r="AO65" s="59">
        <f t="shared" si="36"/>
        <v>0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3.2</v>
      </c>
      <c r="BD65" s="12">
        <f>IF('Données projet'!$A$88&gt;35,BD64+BC65-BL64,IF(A65&lt;'Données projet'!$A$88,$BA$205^A65,IF(A65='Données projet'!$A$88,'Données projet'!$B$88,BD64+BC65-BL64)))</f>
        <v>191.4</v>
      </c>
      <c r="BE65" s="13">
        <f>BD65*VLOOKUP('Données projet'!$B$11,Paramètres!$A$1:$I$89,3,0)*VLOOKUP('Données projet'!$B$11,Paramètres!$A$1:$I$89,5,0)</f>
        <v>155.26368000000002</v>
      </c>
      <c r="BF65" s="13">
        <f t="shared" si="37"/>
        <v>39.77236412265178</v>
      </c>
      <c r="BG65" s="20">
        <f t="shared" si="7"/>
        <v>339.68777684695186</v>
      </c>
      <c r="BH65" s="59">
        <f t="shared" si="8"/>
        <v>633.02111018028518</v>
      </c>
      <c r="BI65" s="59">
        <f ca="1">AVERAGE(OFFSET($BH$3,0,0,'Données projet'!$E$11+1,1))-AVERAGE(OFFSET($H$3,0,0,'Données projet'!$E$11+1,1))</f>
        <v>175.73034516698141</v>
      </c>
      <c r="BJ65" s="59">
        <f t="shared" si="38"/>
        <v>203.59461632821052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2.2900396630434541</v>
      </c>
      <c r="BR65" s="21">
        <f>EXP(-LN(2)/2)*BR64+(1-EXP(-LN(2)/2))/(LN(2)/2)*BL65*BO65*VLOOKUP('Données projet'!$B$11,Paramètres!$A$1:$I$89,3,0)*0.475*44/12</f>
        <v>1.245446241163697E-4</v>
      </c>
      <c r="BS65" s="22">
        <f t="shared" si="9"/>
        <v>2.2901642076675706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</v>
      </c>
      <c r="BY65" s="12">
        <f>IF('Données projet'!$A$114&gt;35,BY64+BX65-CG64,IF(A65&lt;'Données projet'!$A$114,$BV$205^A65,IF(A65='Données projet'!$A$114,'Données projet'!$B$114,BY64+BX65-CG64)))</f>
        <v>207.00000000000017</v>
      </c>
      <c r="BZ65" s="13">
        <f>BY65*VLOOKUP('Données projet'!$B$12,Paramètres!$A$1:$I$89,3,0)*VLOOKUP('Données projet'!$B$12,Paramètres!$A$1:$I$89,5,0)</f>
        <v>174.37680000000017</v>
      </c>
      <c r="CA65" s="13">
        <f t="shared" si="39"/>
        <v>44.068826244106432</v>
      </c>
      <c r="CB65" s="20">
        <f t="shared" si="10"/>
        <v>380.45946570848565</v>
      </c>
      <c r="CC65" s="59">
        <f t="shared" si="11"/>
        <v>673.79279904181897</v>
      </c>
      <c r="CD65" s="59">
        <f ca="1">AVERAGE(OFFSET($CC$3,0,0,'Données projet'!$E$12+1,1))-AVERAGE(OFFSET($H$3,0,0,'Données projet'!$E$12+1,1))</f>
        <v>258.28817640749349</v>
      </c>
      <c r="CE65" s="59">
        <f t="shared" si="40"/>
        <v>158.16416492761954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4.8495646712250258</v>
      </c>
      <c r="CL65" s="21">
        <f>EXP(-LN(2)/25)*CL64+(1-EXP(-LN(2)/25))/(LN(2)/25)*Calculateur!CG65*Calculateur!CI65*VLOOKUP('Données projet'!$B$12,Paramètres!$A$1:$I$89,3,0)*0.475*44/12</f>
        <v>21.650659703366316</v>
      </c>
      <c r="CM65" s="21">
        <f>EXP(-LN(2)/2)*CM64+(1-EXP(-LN(2)/2))/(LN(2)/2)*CG65*CJ65*VLOOKUP('Données projet'!$B$12,Paramètres!$A$1:$I$89,3,0)*0.475*44/12</f>
        <v>0.26895271557346717</v>
      </c>
      <c r="CN65" s="22">
        <f t="shared" si="12"/>
        <v>26.769177090164806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1.1368683772161603E-13</v>
      </c>
      <c r="O66" s="13">
        <f>N66*VLOOKUP('Données projet'!$B$9,Paramètres!$A$1:$I$89,3,0)*VLOOKUP('Données projet'!$B$9,Paramètres!$A$1:$I$89,5,0)</f>
        <v>6.7984728957526396E-14</v>
      </c>
      <c r="P66" s="13">
        <f t="shared" si="33"/>
        <v>1.0682447123141398E-12</v>
      </c>
      <c r="Q66" s="20">
        <f t="shared" si="53"/>
        <v>1.978932943548152E-12</v>
      </c>
      <c r="R66" s="59">
        <f t="shared" si="0"/>
        <v>293.3333333333353</v>
      </c>
      <c r="S66" s="59">
        <f ca="1">AVERAGE(OFFSET($R$3,0,0,'Données projet'!$E$9+1,1))-AVERAGE(OFFSET($H$3,0,0,'Données projet'!$E$9+1,1))</f>
        <v>149.5086927376081</v>
      </c>
      <c r="T66" s="59">
        <f t="shared" si="34"/>
        <v>364.59164590134498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31.353436428188569</v>
      </c>
      <c r="AA66" s="21">
        <f>EXP(-LN(2)/25)*AA65+(1-EXP(-LN(2)/25))/(LN(2)/25)*Calculateur!V66*Calculateur!X66*VLOOKUP('Données projet'!$B$9,Paramètres!$A$1:$I$89,3,0)*0.475*44/12</f>
        <v>16.843245567336957</v>
      </c>
      <c r="AB66" s="21">
        <f>EXP(-LN(2)/2)*AB65+(1-EXP(-LN(2)/2))/(LN(2)/2)*V66*Y66*VLOOKUP('Données projet'!$B$9,Paramètres!$A$1:$I$89,3,0)*0.475*44/12</f>
        <v>5.7526625726185175E-4</v>
      </c>
      <c r="AC66" s="22">
        <f t="shared" si="3"/>
        <v>48.197257261782788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0</v>
      </c>
      <c r="AO66" s="59">
        <f t="shared" si="36"/>
        <v>0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3.2</v>
      </c>
      <c r="BD66" s="12">
        <f>IF('Données projet'!$A$88&gt;35,BD65+BC66-BL65,IF(A66&lt;'Données projet'!$A$88,$BA$205^A66,IF(A66='Données projet'!$A$88,'Données projet'!$B$88,BD65+BC66-BL65)))</f>
        <v>194.6</v>
      </c>
      <c r="BE66" s="13">
        <f>BD66*VLOOKUP('Données projet'!$B$11,Paramètres!$A$1:$I$89,3,0)*VLOOKUP('Données projet'!$B$11,Paramètres!$A$1:$I$89,5,0)</f>
        <v>157.85952</v>
      </c>
      <c r="BF66" s="13">
        <f t="shared" si="37"/>
        <v>40.35934638209347</v>
      </c>
      <c r="BG66" s="20">
        <f t="shared" si="7"/>
        <v>345.23119228214608</v>
      </c>
      <c r="BH66" s="59">
        <f t="shared" si="8"/>
        <v>638.5645256154794</v>
      </c>
      <c r="BI66" s="59">
        <f ca="1">AVERAGE(OFFSET($BH$3,0,0,'Données projet'!$E$11+1,1))-AVERAGE(OFFSET($H$3,0,0,'Données projet'!$E$11+1,1))</f>
        <v>175.73034516698141</v>
      </c>
      <c r="BJ66" s="59">
        <f t="shared" si="38"/>
        <v>203.59461632821052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2.2274184080295787</v>
      </c>
      <c r="BR66" s="21">
        <f>EXP(-LN(2)/2)*BR65+(1-EXP(-LN(2)/2))/(LN(2)/2)*BL66*BO66*VLOOKUP('Données projet'!$B$11,Paramètres!$A$1:$I$89,3,0)*0.475*44/12</f>
        <v>8.8066348273014642E-5</v>
      </c>
      <c r="BS66" s="22">
        <f t="shared" si="9"/>
        <v>2.2275064743778517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</v>
      </c>
      <c r="BY66" s="12">
        <f>IF('Données projet'!$A$114&gt;35,BY65+BX66-CG65,IF(A66&lt;'Données projet'!$A$114,$BV$205^A66,IF(A66='Données projet'!$A$114,'Données projet'!$B$114,BY65+BX66-CG65)))</f>
        <v>214.00000000000017</v>
      </c>
      <c r="BZ66" s="13">
        <f>BY66*VLOOKUP('Données projet'!$B$12,Paramètres!$A$1:$I$89,3,0)*VLOOKUP('Données projet'!$B$12,Paramètres!$A$1:$I$89,5,0)</f>
        <v>180.27360000000016</v>
      </c>
      <c r="CA66" s="13">
        <f t="shared" si="39"/>
        <v>45.38305174393809</v>
      </c>
      <c r="CB66" s="20">
        <f t="shared" si="10"/>
        <v>393.01866845402577</v>
      </c>
      <c r="CC66" s="59">
        <f t="shared" si="11"/>
        <v>686.35200178735909</v>
      </c>
      <c r="CD66" s="59">
        <f ca="1">AVERAGE(OFFSET($CC$3,0,0,'Données projet'!$E$12+1,1))-AVERAGE(OFFSET($H$3,0,0,'Données projet'!$E$12+1,1))</f>
        <v>258.28817640749349</v>
      </c>
      <c r="CE66" s="59">
        <f t="shared" si="40"/>
        <v>158.16416492761954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4.7544676659646798</v>
      </c>
      <c r="CL66" s="21">
        <f>EXP(-LN(2)/25)*CL65+(1-EXP(-LN(2)/25))/(LN(2)/25)*Calculateur!CG66*Calculateur!CI66*VLOOKUP('Données projet'!$B$12,Paramètres!$A$1:$I$89,3,0)*0.475*44/12</f>
        <v>21.058621275219053</v>
      </c>
      <c r="CM66" s="21">
        <f>EXP(-LN(2)/2)*CM65+(1-EXP(-LN(2)/2))/(LN(2)/2)*CG66*CJ66*VLOOKUP('Données projet'!$B$12,Paramètres!$A$1:$I$89,3,0)*0.475*44/12</f>
        <v>0.19017828900053541</v>
      </c>
      <c r="CN66" s="22">
        <f t="shared" si="12"/>
        <v>26.003267230184267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1.1368683772161603E-13</v>
      </c>
      <c r="O67" s="13">
        <f>N67*VLOOKUP('Données projet'!$B$9,Paramètres!$A$1:$I$89,3,0)*VLOOKUP('Données projet'!$B$9,Paramètres!$A$1:$I$89,5,0)</f>
        <v>6.7984728957526396E-14</v>
      </c>
      <c r="P67" s="13">
        <f t="shared" si="33"/>
        <v>1.0682447123141398E-12</v>
      </c>
      <c r="Q67" s="20">
        <f t="shared" ref="Q67:Q98" si="54">(O67+P67)*0.475*44/12</f>
        <v>1.978932943548152E-12</v>
      </c>
      <c r="R67" s="59">
        <f t="shared" ref="R67:R130" si="55">Q67+(I67+J67)*44/12</f>
        <v>293.3333333333353</v>
      </c>
      <c r="S67" s="59">
        <f ca="1">AVERAGE(OFFSET($R$3,0,0,'Données projet'!$E$9+1,1))-AVERAGE(OFFSET($H$3,0,0,'Données projet'!$E$9+1,1))</f>
        <v>149.5086927376081</v>
      </c>
      <c r="T67" s="59">
        <f t="shared" si="34"/>
        <v>364.59164590134498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30.738614663539703</v>
      </c>
      <c r="AA67" s="21">
        <f>EXP(-LN(2)/25)*AA66+(1-EXP(-LN(2)/25))/(LN(2)/25)*Calculateur!V67*Calculateur!X67*VLOOKUP('Données projet'!$B$9,Paramètres!$A$1:$I$89,3,0)*0.475*44/12</f>
        <v>16.382666131550341</v>
      </c>
      <c r="AB67" s="21">
        <f>EXP(-LN(2)/2)*AB66+(1-EXP(-LN(2)/2))/(LN(2)/2)*V67*Y67*VLOOKUP('Données projet'!$B$9,Paramètres!$A$1:$I$89,3,0)*0.475*44/12</f>
        <v>4.0677467149766037E-4</v>
      </c>
      <c r="AC67" s="22">
        <f t="shared" si="3"/>
        <v>47.121687569761541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0</v>
      </c>
      <c r="AO67" s="59">
        <f t="shared" si="36"/>
        <v>0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3.2</v>
      </c>
      <c r="BD67" s="12">
        <f>IF('Données projet'!$A$88&gt;35,BD66+BC67-BL66,IF(A67&lt;'Données projet'!$A$88,$BA$205^A67,IF(A67='Données projet'!$A$88,'Données projet'!$B$88,BD66+BC67-BL66)))</f>
        <v>197.79999999999998</v>
      </c>
      <c r="BE67" s="13">
        <f>BD67*VLOOKUP('Données projet'!$B$11,Paramètres!$A$1:$I$89,3,0)*VLOOKUP('Données projet'!$B$11,Paramètres!$A$1:$I$89,5,0)</f>
        <v>160.45535999999998</v>
      </c>
      <c r="BF67" s="13">
        <f t="shared" si="37"/>
        <v>40.945206131528849</v>
      </c>
      <c r="BG67" s="20">
        <f t="shared" si="7"/>
        <v>350.77265267907933</v>
      </c>
      <c r="BH67" s="59">
        <f t="shared" si="8"/>
        <v>644.10598601241259</v>
      </c>
      <c r="BI67" s="59">
        <f ca="1">AVERAGE(OFFSET($BH$3,0,0,'Données projet'!$E$11+1,1))-AVERAGE(OFFSET($H$3,0,0,'Données projet'!$E$11+1,1))</f>
        <v>175.73034516698141</v>
      </c>
      <c r="BJ67" s="59">
        <f t="shared" si="38"/>
        <v>203.59461632821052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2.1665095345271665</v>
      </c>
      <c r="BR67" s="21">
        <f>EXP(-LN(2)/2)*BR66+(1-EXP(-LN(2)/2))/(LN(2)/2)*BL67*BO67*VLOOKUP('Données projet'!$B$11,Paramètres!$A$1:$I$89,3,0)*0.475*44/12</f>
        <v>6.2272312058184851E-5</v>
      </c>
      <c r="BS67" s="22">
        <f t="shared" si="9"/>
        <v>2.1665718068392246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</v>
      </c>
      <c r="BY67" s="12">
        <f>IF('Données projet'!$A$114&gt;35,BY66+BX67-CG66,IF(A67&lt;'Données projet'!$A$114,$BV$205^A67,IF(A67='Données projet'!$A$114,'Données projet'!$B$114,BY66+BX67-CG66)))</f>
        <v>221.00000000000017</v>
      </c>
      <c r="BZ67" s="13">
        <f>BY67*VLOOKUP('Données projet'!$B$12,Paramètres!$A$1:$I$89,3,0)*VLOOKUP('Données projet'!$B$12,Paramètres!$A$1:$I$89,5,0)</f>
        <v>186.17040000000017</v>
      </c>
      <c r="CA67" s="13">
        <f t="shared" si="39"/>
        <v>46.69228193379606</v>
      </c>
      <c r="CB67" s="20">
        <f t="shared" si="10"/>
        <v>405.56917103469505</v>
      </c>
      <c r="CC67" s="59">
        <f t="shared" si="11"/>
        <v>698.9025043680283</v>
      </c>
      <c r="CD67" s="59">
        <f ca="1">AVERAGE(OFFSET($CC$3,0,0,'Données projet'!$E$12+1,1))-AVERAGE(OFFSET($H$3,0,0,'Données projet'!$E$12+1,1))</f>
        <v>258.28817640749349</v>
      </c>
      <c r="CE67" s="59">
        <f t="shared" si="40"/>
        <v>158.16416492761954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4.6612354549740438</v>
      </c>
      <c r="CL67" s="21">
        <f>EXP(-LN(2)/25)*CL66+(1-EXP(-LN(2)/25))/(LN(2)/25)*Calculateur!CG67*Calculateur!CI67*VLOOKUP('Données projet'!$B$12,Paramètres!$A$1:$I$89,3,0)*0.475*44/12</f>
        <v>20.482772169023427</v>
      </c>
      <c r="CM67" s="21">
        <f>EXP(-LN(2)/2)*CM66+(1-EXP(-LN(2)/2))/(LN(2)/2)*CG67*CJ67*VLOOKUP('Données projet'!$B$12,Paramètres!$A$1:$I$89,3,0)*0.475*44/12</f>
        <v>0.13447635778673359</v>
      </c>
      <c r="CN67" s="22">
        <f t="shared" si="12"/>
        <v>25.278483981784206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1.1368683772161603E-13</v>
      </c>
      <c r="O68" s="13">
        <f>N68*VLOOKUP('Données projet'!$B$9,Paramètres!$A$1:$I$89,3,0)*VLOOKUP('Données projet'!$B$9,Paramètres!$A$1:$I$89,5,0)</f>
        <v>6.7984728957526396E-14</v>
      </c>
      <c r="P68" s="13">
        <f t="shared" si="33"/>
        <v>1.0682447123141398E-12</v>
      </c>
      <c r="Q68" s="20">
        <f t="shared" si="54"/>
        <v>1.978932943548152E-12</v>
      </c>
      <c r="R68" s="59">
        <f t="shared" si="55"/>
        <v>293.3333333333353</v>
      </c>
      <c r="S68" s="59">
        <f ca="1">AVERAGE(OFFSET($R$3,0,0,'Données projet'!$E$9+1,1))-AVERAGE(OFFSET($H$3,0,0,'Données projet'!$E$9+1,1))</f>
        <v>149.5086927376081</v>
      </c>
      <c r="T68" s="59">
        <f t="shared" si="34"/>
        <v>364.59164590134498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30.135849178691355</v>
      </c>
      <c r="AA68" s="21">
        <f>EXP(-LN(2)/25)*AA67+(1-EXP(-LN(2)/25))/(LN(2)/25)*Calculateur!V68*Calculateur!X68*VLOOKUP('Données projet'!$B$9,Paramètres!$A$1:$I$89,3,0)*0.475*44/12</f>
        <v>15.934681264656128</v>
      </c>
      <c r="AB68" s="21">
        <f>EXP(-LN(2)/2)*AB67+(1-EXP(-LN(2)/2))/(LN(2)/2)*V68*Y68*VLOOKUP('Données projet'!$B$9,Paramètres!$A$1:$I$89,3,0)*0.475*44/12</f>
        <v>2.8763312863092587E-4</v>
      </c>
      <c r="AC68" s="22">
        <f t="shared" ref="AC68:AC131" si="57">SUM(Z68:AB68)</f>
        <v>46.070818076476108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0</v>
      </c>
      <c r="AO68" s="59">
        <f t="shared" si="36"/>
        <v>0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3.2</v>
      </c>
      <c r="BD68" s="12">
        <f>IF('Données projet'!$A$88&gt;35,BD67+BC68-BL67,IF(A68&lt;'Données projet'!$A$88,$BA$205^A68,IF(A68='Données projet'!$A$88,'Données projet'!$B$88,BD67+BC68-BL67)))</f>
        <v>200.99999999999997</v>
      </c>
      <c r="BE68" s="13">
        <f>BD68*VLOOKUP('Données projet'!$B$11,Paramètres!$A$1:$I$89,3,0)*VLOOKUP('Données projet'!$B$11,Paramètres!$A$1:$I$89,5,0)</f>
        <v>163.05119999999997</v>
      </c>
      <c r="BF68" s="13">
        <f t="shared" si="37"/>
        <v>41.529963627394977</v>
      </c>
      <c r="BG68" s="20">
        <f t="shared" ref="BG68:BG131" si="61">(BE68+BF68)*0.475*44/12</f>
        <v>356.31219331771285</v>
      </c>
      <c r="BH68" s="59">
        <f t="shared" ref="BH68:BH131" si="62">BG68+(AY68+AZ68)*44/12</f>
        <v>649.64552665104611</v>
      </c>
      <c r="BI68" s="59">
        <f ca="1">AVERAGE(OFFSET($BH$3,0,0,'Données projet'!$E$11+1,1))-AVERAGE(OFFSET($H$3,0,0,'Données projet'!$E$11+1,1))</f>
        <v>175.73034516698141</v>
      </c>
      <c r="BJ68" s="59">
        <f t="shared" si="38"/>
        <v>203.59461632821052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2.1072662173737364</v>
      </c>
      <c r="BR68" s="21">
        <f>EXP(-LN(2)/2)*BR67+(1-EXP(-LN(2)/2))/(LN(2)/2)*BL68*BO68*VLOOKUP('Données projet'!$B$11,Paramètres!$A$1:$I$89,3,0)*0.475*44/12</f>
        <v>4.4033174136507321E-5</v>
      </c>
      <c r="BS68" s="22">
        <f t="shared" ref="BS68:BS131" si="63">SUM(BP68:BR68)</f>
        <v>2.1073102505478731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7</v>
      </c>
      <c r="BY68" s="12">
        <f>IF('Données projet'!$A$114&gt;35,BY67+BX68-CG67,IF(A68&lt;'Données projet'!$A$114,$BV$205^A68,IF(A68='Données projet'!$A$114,'Données projet'!$B$114,BY67+BX68-CG67)))</f>
        <v>228.00000000000017</v>
      </c>
      <c r="BZ68" s="13">
        <f>BY68*VLOOKUP('Données projet'!$B$12,Paramètres!$A$1:$I$89,3,0)*VLOOKUP('Données projet'!$B$12,Paramètres!$A$1:$I$89,5,0)</f>
        <v>192.06720000000016</v>
      </c>
      <c r="CA68" s="13">
        <f t="shared" si="39"/>
        <v>47.996693187894678</v>
      </c>
      <c r="CB68" s="20">
        <f t="shared" ref="CB68:CB131" si="64">(BZ68+CA68)*0.475*44/12</f>
        <v>418.11128063558346</v>
      </c>
      <c r="CC68" s="59">
        <f t="shared" ref="CC68:CC131" si="65">CB68+(BT68+BU68)*44/12</f>
        <v>711.44461396891677</v>
      </c>
      <c r="CD68" s="59">
        <f ca="1">AVERAGE(OFFSET($CC$3,0,0,'Données projet'!$E$12+1,1))-AVERAGE(OFFSET($H$3,0,0,'Données projet'!$E$12+1,1))</f>
        <v>258.28817640749349</v>
      </c>
      <c r="CE68" s="59">
        <f t="shared" si="40"/>
        <v>158.16416492761954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4.5698314707749006</v>
      </c>
      <c r="CL68" s="21">
        <f>EXP(-LN(2)/25)*CL67+(1-EXP(-LN(2)/25))/(LN(2)/25)*Calculateur!CG68*Calculateur!CI68*VLOOKUP('Données projet'!$B$12,Paramètres!$A$1:$I$89,3,0)*0.475*44/12</f>
        <v>19.922669686919306</v>
      </c>
      <c r="CM68" s="21">
        <f>EXP(-LN(2)/2)*CM67+(1-EXP(-LN(2)/2))/(LN(2)/2)*CG68*CJ68*VLOOKUP('Données projet'!$B$12,Paramètres!$A$1:$I$89,3,0)*0.475*44/12</f>
        <v>9.5089144500267703E-2</v>
      </c>
      <c r="CN68" s="22">
        <f t="shared" ref="CN68:CN131" si="66">SUM(CK68:CM68)</f>
        <v>24.587590302194474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1.1368683772161603E-13</v>
      </c>
      <c r="O69" s="13">
        <f>N69*VLOOKUP('Données projet'!$B$9,Paramètres!$A$1:$I$89,3,0)*VLOOKUP('Données projet'!$B$9,Paramètres!$A$1:$I$89,5,0)</f>
        <v>6.7984728957526396E-14</v>
      </c>
      <c r="P69" s="13">
        <f t="shared" ref="P69:P132" si="87">EXP(-1.0587+0.8836*LN(O69)+0.284)</f>
        <v>1.0682447123141398E-12</v>
      </c>
      <c r="Q69" s="20">
        <f t="shared" si="54"/>
        <v>1.978932943548152E-12</v>
      </c>
      <c r="R69" s="59">
        <f t="shared" si="55"/>
        <v>293.3333333333353</v>
      </c>
      <c r="S69" s="59">
        <f ca="1">AVERAGE(OFFSET($R$3,0,0,'Données projet'!$E$9+1,1))-AVERAGE(OFFSET($H$3,0,0,'Données projet'!$E$9+1,1))</f>
        <v>149.5086927376081</v>
      </c>
      <c r="T69" s="59">
        <f t="shared" ref="T69:T132" si="88">$T$3</f>
        <v>364.59164590134498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29.544903557350239</v>
      </c>
      <c r="AA69" s="21">
        <f>EXP(-LN(2)/25)*AA68+(1-EXP(-LN(2)/25))/(LN(2)/25)*Calculateur!V69*Calculateur!X69*VLOOKUP('Données projet'!$B$9,Paramètres!$A$1:$I$89,3,0)*0.475*44/12</f>
        <v>15.498946567505637</v>
      </c>
      <c r="AB69" s="21">
        <f>EXP(-LN(2)/2)*AB68+(1-EXP(-LN(2)/2))/(LN(2)/2)*V69*Y69*VLOOKUP('Données projet'!$B$9,Paramètres!$A$1:$I$89,3,0)*0.475*44/12</f>
        <v>2.0338733574883018E-4</v>
      </c>
      <c r="AC69" s="22">
        <f t="shared" si="57"/>
        <v>45.044053512191631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0</v>
      </c>
      <c r="AO69" s="59">
        <f t="shared" ref="AO69:AO132" si="90">$AO$3</f>
        <v>0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3.2</v>
      </c>
      <c r="BD69" s="12">
        <f>IF('Données projet'!$A$88&gt;35,BD68+BC69-BL68,IF(A69&lt;'Données projet'!$A$88,$BA$205^A69,IF(A69='Données projet'!$A$88,'Données projet'!$B$88,BD68+BC69-BL68)))</f>
        <v>204.19999999999996</v>
      </c>
      <c r="BE69" s="13">
        <f>BD69*VLOOKUP('Données projet'!$B$11,Paramètres!$A$1:$I$89,3,0)*VLOOKUP('Données projet'!$B$11,Paramètres!$A$1:$I$89,5,0)</f>
        <v>165.64703999999998</v>
      </c>
      <c r="BF69" s="13">
        <f t="shared" ref="BF69:BF132" si="91">EXP(-1.0587+0.8836*LN(BE69)+0.284)</f>
        <v>42.11363844415591</v>
      </c>
      <c r="BG69" s="20">
        <f t="shared" si="61"/>
        <v>361.84984829023819</v>
      </c>
      <c r="BH69" s="59">
        <f t="shared" si="62"/>
        <v>655.1831816235715</v>
      </c>
      <c r="BI69" s="59">
        <f ca="1">AVERAGE(OFFSET($BH$3,0,0,'Données projet'!$E$11+1,1))-AVERAGE(OFFSET($H$3,0,0,'Données projet'!$E$11+1,1))</f>
        <v>175.73034516698141</v>
      </c>
      <c r="BJ69" s="59">
        <f t="shared" ref="BJ69:BJ132" si="92">$BJ$3</f>
        <v>203.59461632821052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2.0496429118433372</v>
      </c>
      <c r="BR69" s="21">
        <f>EXP(-LN(2)/2)*BR68+(1-EXP(-LN(2)/2))/(LN(2)/2)*BL69*BO69*VLOOKUP('Données projet'!$B$11,Paramètres!$A$1:$I$89,3,0)*0.475*44/12</f>
        <v>3.1136156029092425E-5</v>
      </c>
      <c r="BS69" s="22">
        <f t="shared" si="63"/>
        <v>2.0496740479993663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7</v>
      </c>
      <c r="BY69" s="12">
        <f>IF('Données projet'!$A$114&gt;35,BY68+BX69-CG68,IF(A69&lt;'Données projet'!$A$114,$BV$205^A69,IF(A69='Données projet'!$A$114,'Données projet'!$B$114,BY68+BX69-CG68)))</f>
        <v>235.00000000000017</v>
      </c>
      <c r="BZ69" s="13">
        <f>BY69*VLOOKUP('Données projet'!$B$12,Paramètres!$A$1:$I$89,3,0)*VLOOKUP('Données projet'!$B$12,Paramètres!$A$1:$I$89,5,0)</f>
        <v>197.96400000000017</v>
      </c>
      <c r="CA69" s="13">
        <f t="shared" ref="CA69:CA132" si="93">EXP(-1.0587+0.8836*LN(BZ69)+0.284)</f>
        <v>49.296450435147804</v>
      </c>
      <c r="CB69" s="20">
        <f t="shared" si="64"/>
        <v>430.64528450788265</v>
      </c>
      <c r="CC69" s="59">
        <f t="shared" si="65"/>
        <v>723.97861784121596</v>
      </c>
      <c r="CD69" s="59">
        <f ca="1">AVERAGE(OFFSET($CC$3,0,0,'Données projet'!$E$12+1,1))-AVERAGE(OFFSET($H$3,0,0,'Données projet'!$E$12+1,1))</f>
        <v>258.28817640749349</v>
      </c>
      <c r="CE69" s="59">
        <f t="shared" ref="CE69:CE132" si="94">$CE$3</f>
        <v>158.16416492761954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4.4802198629549768</v>
      </c>
      <c r="CL69" s="21">
        <f>EXP(-LN(2)/25)*CL68+(1-EXP(-LN(2)/25))/(LN(2)/25)*Calculateur!CG69*Calculateur!CI69*VLOOKUP('Données projet'!$B$12,Paramètres!$A$1:$I$89,3,0)*0.475*44/12</f>
        <v>19.377883236642834</v>
      </c>
      <c r="CM69" s="21">
        <f>EXP(-LN(2)/2)*CM68+(1-EXP(-LN(2)/2))/(LN(2)/2)*CG69*CJ69*VLOOKUP('Données projet'!$B$12,Paramètres!$A$1:$I$89,3,0)*0.475*44/12</f>
        <v>6.7238178893366793E-2</v>
      </c>
      <c r="CN69" s="22">
        <f t="shared" si="66"/>
        <v>23.925341278491178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1.1368683772161603E-13</v>
      </c>
      <c r="O70" s="13">
        <f>N70*VLOOKUP('Données projet'!$B$9,Paramètres!$A$1:$I$89,3,0)*VLOOKUP('Données projet'!$B$9,Paramètres!$A$1:$I$89,5,0)</f>
        <v>6.7984728957526396E-14</v>
      </c>
      <c r="P70" s="13">
        <f t="shared" si="87"/>
        <v>1.0682447123141398E-12</v>
      </c>
      <c r="Q70" s="20">
        <f t="shared" si="54"/>
        <v>1.978932943548152E-12</v>
      </c>
      <c r="R70" s="59">
        <f t="shared" si="55"/>
        <v>293.3333333333353</v>
      </c>
      <c r="S70" s="59">
        <f ca="1">AVERAGE(OFFSET($R$3,0,0,'Données projet'!$E$9+1,1))-AVERAGE(OFFSET($H$3,0,0,'Données projet'!$E$9+1,1))</f>
        <v>149.5086927376081</v>
      </c>
      <c r="T70" s="59">
        <f t="shared" si="88"/>
        <v>364.59164590134498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28.965546019202382</v>
      </c>
      <c r="AA70" s="21">
        <f>EXP(-LN(2)/25)*AA69+(1-EXP(-LN(2)/25))/(LN(2)/25)*Calculateur!V70*Calculateur!X70*VLOOKUP('Données projet'!$B$9,Paramètres!$A$1:$I$89,3,0)*0.475*44/12</f>
        <v>15.075127058563019</v>
      </c>
      <c r="AB70" s="21">
        <f>EXP(-LN(2)/2)*AB69+(1-EXP(-LN(2)/2))/(LN(2)/2)*V70*Y70*VLOOKUP('Données projet'!$B$9,Paramètres!$A$1:$I$89,3,0)*0.475*44/12</f>
        <v>1.4381656431546294E-4</v>
      </c>
      <c r="AC70" s="22">
        <f t="shared" si="57"/>
        <v>44.040816894329723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0</v>
      </c>
      <c r="AO70" s="59">
        <f t="shared" si="90"/>
        <v>0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3.2</v>
      </c>
      <c r="BD70" s="12">
        <f>IF('Données projet'!$A$88&gt;35,BD69+BC70-BL69,IF(A70&lt;'Données projet'!$A$88,$BA$205^A70,IF(A70='Données projet'!$A$88,'Données projet'!$B$88,BD69+BC70-BL69)))</f>
        <v>207.39999999999995</v>
      </c>
      <c r="BE70" s="13">
        <f>BD70*VLOOKUP('Données projet'!$B$11,Paramètres!$A$1:$I$89,3,0)*VLOOKUP('Données projet'!$B$11,Paramètres!$A$1:$I$89,5,0)</f>
        <v>168.24287999999996</v>
      </c>
      <c r="BF70" s="13">
        <f t="shared" si="91"/>
        <v>42.696249507583119</v>
      </c>
      <c r="BG70" s="20">
        <f t="shared" si="61"/>
        <v>367.38565055904047</v>
      </c>
      <c r="BH70" s="59">
        <f t="shared" si="62"/>
        <v>660.71898389237379</v>
      </c>
      <c r="BI70" s="59">
        <f ca="1">AVERAGE(OFFSET($BH$3,0,0,'Données projet'!$E$11+1,1))-AVERAGE(OFFSET($H$3,0,0,'Données projet'!$E$11+1,1))</f>
        <v>175.73034516698141</v>
      </c>
      <c r="BJ70" s="59">
        <f t="shared" si="92"/>
        <v>203.59461632821052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1.9935953186329449</v>
      </c>
      <c r="BR70" s="21">
        <f>EXP(-LN(2)/2)*BR69+(1-EXP(-LN(2)/2))/(LN(2)/2)*BL70*BO70*VLOOKUP('Données projet'!$B$11,Paramètres!$A$1:$I$89,3,0)*0.475*44/12</f>
        <v>2.201658706825366E-5</v>
      </c>
      <c r="BS70" s="22">
        <f t="shared" si="63"/>
        <v>1.9936173352200133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7</v>
      </c>
      <c r="BY70" s="12">
        <f>IF('Données projet'!$A$114&gt;35,BY69+BX70-CG69,IF(A70&lt;'Données projet'!$A$114,$BV$205^A70,IF(A70='Données projet'!$A$114,'Données projet'!$B$114,BY69+BX70-CG69)))</f>
        <v>242.00000000000017</v>
      </c>
      <c r="BZ70" s="13">
        <f>BY70*VLOOKUP('Données projet'!$B$12,Paramètres!$A$1:$I$89,3,0)*VLOOKUP('Données projet'!$B$12,Paramètres!$A$1:$I$89,5,0)</f>
        <v>203.86080000000015</v>
      </c>
      <c r="CA70" s="13">
        <f t="shared" si="93"/>
        <v>50.591708220421786</v>
      </c>
      <c r="CB70" s="20">
        <f t="shared" si="64"/>
        <v>443.17145181723487</v>
      </c>
      <c r="CC70" s="59">
        <f t="shared" si="65"/>
        <v>736.50478515056818</v>
      </c>
      <c r="CD70" s="59">
        <f ca="1">AVERAGE(OFFSET($CC$3,0,0,'Données projet'!$E$12+1,1))-AVERAGE(OFFSET($H$3,0,0,'Données projet'!$E$12+1,1))</f>
        <v>258.28817640749349</v>
      </c>
      <c r="CE70" s="59">
        <f t="shared" si="94"/>
        <v>158.16416492761954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4.3923654841067181</v>
      </c>
      <c r="CL70" s="21">
        <f>EXP(-LN(2)/25)*CL69+(1-EXP(-LN(2)/25))/(LN(2)/25)*Calculateur!CG70*Calculateur!CI70*VLOOKUP('Données projet'!$B$12,Paramètres!$A$1:$I$89,3,0)*0.475*44/12</f>
        <v>18.847994000498247</v>
      </c>
      <c r="CM70" s="21">
        <f>EXP(-LN(2)/2)*CM69+(1-EXP(-LN(2)/2))/(LN(2)/2)*CG70*CJ70*VLOOKUP('Données projet'!$B$12,Paramètres!$A$1:$I$89,3,0)*0.475*44/12</f>
        <v>4.7544572250133851E-2</v>
      </c>
      <c r="CN70" s="22">
        <f t="shared" si="66"/>
        <v>23.287904056855101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1.1368683772161603E-13</v>
      </c>
      <c r="O71" s="13">
        <f>N71*VLOOKUP('Données projet'!$B$9,Paramètres!$A$1:$I$89,3,0)*VLOOKUP('Données projet'!$B$9,Paramètres!$A$1:$I$89,5,0)</f>
        <v>6.7984728957526396E-14</v>
      </c>
      <c r="P71" s="13">
        <f t="shared" si="87"/>
        <v>1.0682447123141398E-12</v>
      </c>
      <c r="Q71" s="20">
        <f t="shared" si="54"/>
        <v>1.978932943548152E-12</v>
      </c>
      <c r="R71" s="59">
        <f t="shared" si="55"/>
        <v>293.3333333333353</v>
      </c>
      <c r="S71" s="59">
        <f ca="1">AVERAGE(OFFSET($R$3,0,0,'Données projet'!$E$9+1,1))-AVERAGE(OFFSET($H$3,0,0,'Données projet'!$E$9+1,1))</f>
        <v>149.5086927376081</v>
      </c>
      <c r="T71" s="59">
        <f t="shared" si="88"/>
        <v>364.59164590134498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28.397549329004399</v>
      </c>
      <c r="AA71" s="21">
        <f>EXP(-LN(2)/25)*AA70+(1-EXP(-LN(2)/25))/(LN(2)/25)*Calculateur!V71*Calculateur!X71*VLOOKUP('Données projet'!$B$9,Paramètres!$A$1:$I$89,3,0)*0.475*44/12</f>
        <v>14.662896916380136</v>
      </c>
      <c r="AB71" s="21">
        <f>EXP(-LN(2)/2)*AB70+(1-EXP(-LN(2)/2))/(LN(2)/2)*V71*Y71*VLOOKUP('Données projet'!$B$9,Paramètres!$A$1:$I$89,3,0)*0.475*44/12</f>
        <v>1.0169366787441509E-4</v>
      </c>
      <c r="AC71" s="22">
        <f t="shared" si="57"/>
        <v>43.060547939052405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0</v>
      </c>
      <c r="AO71" s="59">
        <f t="shared" si="90"/>
        <v>0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3.2</v>
      </c>
      <c r="BD71" s="12">
        <f>IF('Données projet'!$A$88&gt;35,BD70+BC71-BL70,IF(A71&lt;'Données projet'!$A$88,$BA$205^A71,IF(A71='Données projet'!$A$88,'Données projet'!$B$88,BD70+BC71-BL70)))</f>
        <v>210.59999999999994</v>
      </c>
      <c r="BE71" s="13">
        <f>BD71*VLOOKUP('Données projet'!$B$11,Paramètres!$A$1:$I$89,3,0)*VLOOKUP('Données projet'!$B$11,Paramètres!$A$1:$I$89,5,0)</f>
        <v>170.83871999999997</v>
      </c>
      <c r="BF71" s="13">
        <f t="shared" si="91"/>
        <v>43.277815125923688</v>
      </c>
      <c r="BG71" s="20">
        <f t="shared" si="61"/>
        <v>372.91963201098366</v>
      </c>
      <c r="BH71" s="59">
        <f t="shared" si="62"/>
        <v>666.25296534431698</v>
      </c>
      <c r="BI71" s="59">
        <f ca="1">AVERAGE(OFFSET($BH$3,0,0,'Données projet'!$E$11+1,1))-AVERAGE(OFFSET($H$3,0,0,'Données projet'!$E$11+1,1))</f>
        <v>175.73034516698141</v>
      </c>
      <c r="BJ71" s="59">
        <f t="shared" si="92"/>
        <v>203.59461632821052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1.9390803498063056</v>
      </c>
      <c r="BR71" s="21">
        <f>EXP(-LN(2)/2)*BR70+(1-EXP(-LN(2)/2))/(LN(2)/2)*BL71*BO71*VLOOKUP('Données projet'!$B$11,Paramètres!$A$1:$I$89,3,0)*0.475*44/12</f>
        <v>1.5568078014546213E-5</v>
      </c>
      <c r="BS71" s="22">
        <f t="shared" si="63"/>
        <v>1.9390959178843201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7</v>
      </c>
      <c r="BY71" s="12">
        <f>IF('Données projet'!$A$114&gt;35,BY70+BX71-CG70,IF(A71&lt;'Données projet'!$A$114,$BV$205^A71,IF(A71='Données projet'!$A$114,'Données projet'!$B$114,BY70+BX71-CG70)))</f>
        <v>249.00000000000017</v>
      </c>
      <c r="BZ71" s="13">
        <f>BY71*VLOOKUP('Données projet'!$B$12,Paramètres!$A$1:$I$89,3,0)*VLOOKUP('Données projet'!$B$12,Paramètres!$A$1:$I$89,5,0)</f>
        <v>209.75760000000014</v>
      </c>
      <c r="CA71" s="13">
        <f t="shared" si="93"/>
        <v>51.8826116395485</v>
      </c>
      <c r="CB71" s="20">
        <f t="shared" si="64"/>
        <v>455.69003527221383</v>
      </c>
      <c r="CC71" s="59">
        <f t="shared" si="65"/>
        <v>749.02336860554715</v>
      </c>
      <c r="CD71" s="59">
        <f ca="1">AVERAGE(OFFSET($CC$3,0,0,'Données projet'!$E$12+1,1))-AVERAGE(OFFSET($H$3,0,0,'Données projet'!$E$12+1,1))</f>
        <v>258.28817640749349</v>
      </c>
      <c r="CE71" s="59">
        <f t="shared" si="94"/>
        <v>158.16416492761954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4.3062338760417935</v>
      </c>
      <c r="CL71" s="21">
        <f>EXP(-LN(2)/25)*CL70+(1-EXP(-LN(2)/25))/(LN(2)/25)*Calculateur!CG71*Calculateur!CI71*VLOOKUP('Données projet'!$B$12,Paramètres!$A$1:$I$89,3,0)*0.475*44/12</f>
        <v>18.332594613381694</v>
      </c>
      <c r="CM71" s="21">
        <f>EXP(-LN(2)/2)*CM70+(1-EXP(-LN(2)/2))/(LN(2)/2)*CG71*CJ71*VLOOKUP('Données projet'!$B$12,Paramètres!$A$1:$I$89,3,0)*0.475*44/12</f>
        <v>3.3619089446683396E-2</v>
      </c>
      <c r="CN71" s="22">
        <f t="shared" si="66"/>
        <v>22.672447578870173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1.1368683772161603E-13</v>
      </c>
      <c r="O72" s="13">
        <f>N72*VLOOKUP('Données projet'!$B$9,Paramètres!$A$1:$I$89,3,0)*VLOOKUP('Données projet'!$B$9,Paramètres!$A$1:$I$89,5,0)</f>
        <v>6.7984728957526396E-14</v>
      </c>
      <c r="P72" s="13">
        <f t="shared" si="87"/>
        <v>1.0682447123141398E-12</v>
      </c>
      <c r="Q72" s="20">
        <f t="shared" si="54"/>
        <v>1.978932943548152E-12</v>
      </c>
      <c r="R72" s="59">
        <f t="shared" si="55"/>
        <v>293.3333333333353</v>
      </c>
      <c r="S72" s="59">
        <f ca="1">AVERAGE(OFFSET($R$3,0,0,'Données projet'!$E$9+1,1))-AVERAGE(OFFSET($H$3,0,0,'Données projet'!$E$9+1,1))</f>
        <v>149.5086927376081</v>
      </c>
      <c r="T72" s="59">
        <f t="shared" si="88"/>
        <v>364.59164590134498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27.840690707457426</v>
      </c>
      <c r="AA72" s="21">
        <f>EXP(-LN(2)/25)*AA71+(1-EXP(-LN(2)/25))/(LN(2)/25)*Calculateur!V72*Calculateur!X72*VLOOKUP('Données projet'!$B$9,Paramètres!$A$1:$I$89,3,0)*0.475*44/12</f>
        <v>14.261939229113485</v>
      </c>
      <c r="AB72" s="21">
        <f>EXP(-LN(2)/2)*AB71+(1-EXP(-LN(2)/2))/(LN(2)/2)*V72*Y72*VLOOKUP('Données projet'!$B$9,Paramètres!$A$1:$I$89,3,0)*0.475*44/12</f>
        <v>7.1908282157731468E-5</v>
      </c>
      <c r="AC72" s="22">
        <f t="shared" si="57"/>
        <v>42.102701844853073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0</v>
      </c>
      <c r="AO72" s="59">
        <f t="shared" si="90"/>
        <v>0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3.2</v>
      </c>
      <c r="BD72" s="12">
        <f>IF('Données projet'!$A$88&gt;35,BD71+BC72-BL71,IF(A72&lt;'Données projet'!$A$88,$BA$205^A72,IF(A72='Données projet'!$A$88,'Données projet'!$B$88,BD71+BC72-BL71)))</f>
        <v>213.79999999999993</v>
      </c>
      <c r="BE72" s="13">
        <f>BD72*VLOOKUP('Données projet'!$B$11,Paramètres!$A$1:$I$89,3,0)*VLOOKUP('Données projet'!$B$11,Paramètres!$A$1:$I$89,5,0)</f>
        <v>173.43455999999995</v>
      </c>
      <c r="BF72" s="13">
        <f t="shared" si="91"/>
        <v>43.858353019120436</v>
      </c>
      <c r="BG72" s="20">
        <f t="shared" si="61"/>
        <v>378.45182350830129</v>
      </c>
      <c r="BH72" s="59">
        <f t="shared" si="62"/>
        <v>671.7851568416346</v>
      </c>
      <c r="BI72" s="59">
        <f ca="1">AVERAGE(OFFSET($BH$3,0,0,'Données projet'!$E$11+1,1))-AVERAGE(OFFSET($H$3,0,0,'Données projet'!$E$11+1,1))</f>
        <v>175.73034516698141</v>
      </c>
      <c r="BJ72" s="59">
        <f t="shared" si="92"/>
        <v>203.59461632821052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1.8860560956690484</v>
      </c>
      <c r="BR72" s="21">
        <f>EXP(-LN(2)/2)*BR71+(1-EXP(-LN(2)/2))/(LN(2)/2)*BL72*BO72*VLOOKUP('Données projet'!$B$11,Paramètres!$A$1:$I$89,3,0)*0.475*44/12</f>
        <v>1.100829353412683E-5</v>
      </c>
      <c r="BS72" s="22">
        <f t="shared" si="63"/>
        <v>1.8860671039625825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7</v>
      </c>
      <c r="BY72" s="12">
        <f>IF('Données projet'!$A$114&gt;35,BY71+BX72-CG71,IF(A72&lt;'Données projet'!$A$114,$BV$205^A72,IF(A72='Données projet'!$A$114,'Données projet'!$B$114,BY71+BX72-CG71)))</f>
        <v>256.00000000000017</v>
      </c>
      <c r="BZ72" s="13">
        <f>BY72*VLOOKUP('Données projet'!$B$12,Paramètres!$A$1:$I$89,3,0)*VLOOKUP('Données projet'!$B$12,Paramètres!$A$1:$I$89,5,0)</f>
        <v>215.65440000000015</v>
      </c>
      <c r="CA72" s="13">
        <f t="shared" si="93"/>
        <v>53.169297166239964</v>
      </c>
      <c r="CB72" s="20">
        <f t="shared" si="64"/>
        <v>468.2012725645348</v>
      </c>
      <c r="CC72" s="59">
        <f t="shared" si="65"/>
        <v>761.53460589786812</v>
      </c>
      <c r="CD72" s="59">
        <f ca="1">AVERAGE(OFFSET($CC$3,0,0,'Données projet'!$E$12+1,1))-AVERAGE(OFFSET($H$3,0,0,'Données projet'!$E$12+1,1))</f>
        <v>258.28817640749349</v>
      </c>
      <c r="CE72" s="59">
        <f t="shared" si="94"/>
        <v>158.16416492761954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4.221791256275929</v>
      </c>
      <c r="CL72" s="21">
        <f>EXP(-LN(2)/25)*CL71+(1-EXP(-LN(2)/25))/(LN(2)/25)*Calculateur!CG72*Calculateur!CI72*VLOOKUP('Données projet'!$B$12,Paramètres!$A$1:$I$89,3,0)*0.475*44/12</f>
        <v>17.831288849609521</v>
      </c>
      <c r="CM72" s="21">
        <f>EXP(-LN(2)/2)*CM71+(1-EXP(-LN(2)/2))/(LN(2)/2)*CG72*CJ72*VLOOKUP('Données projet'!$B$12,Paramètres!$A$1:$I$89,3,0)*0.475*44/12</f>
        <v>2.3772286125066926E-2</v>
      </c>
      <c r="CN72" s="22">
        <f t="shared" si="66"/>
        <v>22.076852392010515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1.1368683772161603E-13</v>
      </c>
      <c r="O73" s="13">
        <f>N73*VLOOKUP('Données projet'!$B$9,Paramètres!$A$1:$I$89,3,0)*VLOOKUP('Données projet'!$B$9,Paramètres!$A$1:$I$89,5,0)</f>
        <v>6.7984728957526396E-14</v>
      </c>
      <c r="P73" s="13">
        <f t="shared" si="87"/>
        <v>1.0682447123141398E-12</v>
      </c>
      <c r="Q73" s="20">
        <f t="shared" si="54"/>
        <v>1.978932943548152E-12</v>
      </c>
      <c r="R73" s="59">
        <f t="shared" si="55"/>
        <v>293.3333333333353</v>
      </c>
      <c r="S73" s="59">
        <f ca="1">AVERAGE(OFFSET($R$3,0,0,'Données projet'!$E$9+1,1))-AVERAGE(OFFSET($H$3,0,0,'Données projet'!$E$9+1,1))</f>
        <v>149.5086927376081</v>
      </c>
      <c r="T73" s="59">
        <f t="shared" si="88"/>
        <v>364.59164590134498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27.294751743828769</v>
      </c>
      <c r="AA73" s="21">
        <f>EXP(-LN(2)/25)*AA72+(1-EXP(-LN(2)/25))/(LN(2)/25)*Calculateur!V73*Calculateur!X73*VLOOKUP('Données projet'!$B$9,Paramètres!$A$1:$I$89,3,0)*0.475*44/12</f>
        <v>13.871945750890589</v>
      </c>
      <c r="AB73" s="21">
        <f>EXP(-LN(2)/2)*AB72+(1-EXP(-LN(2)/2))/(LN(2)/2)*V73*Y73*VLOOKUP('Données projet'!$B$9,Paramètres!$A$1:$I$89,3,0)*0.475*44/12</f>
        <v>5.0846833937207546E-5</v>
      </c>
      <c r="AC73" s="22">
        <f t="shared" si="57"/>
        <v>41.166748341553294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0</v>
      </c>
      <c r="AO73" s="59">
        <f t="shared" si="90"/>
        <v>0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217</v>
      </c>
      <c r="BB73" s="12">
        <f>VLOOKUP(A73,'Données projet'!$A$87:$I$107,9,0)</f>
        <v>3.2</v>
      </c>
      <c r="BC73" s="12">
        <f t="array" ref="BC73">INDEX(BB:BB,MIN(IF(ISNUMBER(BB73:BB269),ROW(BB73:BB269),"")))</f>
        <v>3.2</v>
      </c>
      <c r="BD73" s="12">
        <f>IF('Données projet'!$A$88&gt;35,BD72+BC73-BL72,IF(A73&lt;'Données projet'!$A$88,$BA$205^A73,IF(A73='Données projet'!$A$88,'Données projet'!$B$88,BD72+BC73-BL72)))</f>
        <v>216.99999999999991</v>
      </c>
      <c r="BE73" s="13">
        <f>BD73*VLOOKUP('Données projet'!$B$11,Paramètres!$A$1:$I$89,3,0)*VLOOKUP('Données projet'!$B$11,Paramètres!$A$1:$I$89,5,0)</f>
        <v>176.03039999999996</v>
      </c>
      <c r="BF73" s="13">
        <f t="shared" si="91"/>
        <v>44.437880346232944</v>
      </c>
      <c r="BG73" s="20">
        <f t="shared" si="61"/>
        <v>383.98225493635567</v>
      </c>
      <c r="BH73" s="59">
        <f t="shared" si="62"/>
        <v>677.31558826968899</v>
      </c>
      <c r="BI73" s="59">
        <f ca="1">AVERAGE(OFFSET($BH$3,0,0,'Données projet'!$E$11+1,1))-AVERAGE(OFFSET($H$3,0,0,'Données projet'!$E$11+1,1))</f>
        <v>175.73034516698141</v>
      </c>
      <c r="BJ73" s="59">
        <f t="shared" si="92"/>
        <v>203.59461632821052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16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1.8344817925495989</v>
      </c>
      <c r="BR73" s="21">
        <f>EXP(-LN(2)/2)*BR72+(1-EXP(-LN(2)/2))/(LN(2)/2)*BL73*BO73*VLOOKUP('Données projet'!$B$11,Paramètres!$A$1:$I$89,3,0)*0.475*44/12</f>
        <v>7.7840390072731064E-6</v>
      </c>
      <c r="BS73" s="22">
        <f t="shared" si="63"/>
        <v>1.8344895765886062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7</v>
      </c>
      <c r="BX73" s="12">
        <f t="array" ref="BX73">INDEX(BW:BW,MIN(IF(ISNUMBER(BW73:BW269),ROW(BW73:BW269),"")))</f>
        <v>7</v>
      </c>
      <c r="BY73" s="12">
        <f>IF('Données projet'!$A$114&gt;35,BY72+BX73-CG72,IF(A73&lt;'Données projet'!$A$114,$BV$205^A73,IF(A73='Données projet'!$A$114,'Données projet'!$B$114,BY72+BX73-CG72)))</f>
        <v>263.00000000000017</v>
      </c>
      <c r="BZ73" s="13">
        <f>BY73*VLOOKUP('Données projet'!$B$12,Paramètres!$A$1:$I$89,3,0)*VLOOKUP('Données projet'!$B$12,Paramètres!$A$1:$I$89,5,0)</f>
        <v>221.55120000000016</v>
      </c>
      <c r="CA73" s="13">
        <f t="shared" si="93"/>
        <v>54.451893386016536</v>
      </c>
      <c r="CB73" s="20">
        <f t="shared" si="64"/>
        <v>480.70538764731236</v>
      </c>
      <c r="CC73" s="59">
        <f t="shared" si="65"/>
        <v>774.03872098064562</v>
      </c>
      <c r="CD73" s="59">
        <f ca="1">AVERAGE(OFFSET($CC$3,0,0,'Données projet'!$E$12+1,1))-AVERAGE(OFFSET($H$3,0,0,'Données projet'!$E$12+1,1))</f>
        <v>258.28817640749349</v>
      </c>
      <c r="CE73" s="59">
        <f t="shared" si="94"/>
        <v>158.16416492761954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42</v>
      </c>
      <c r="CH73" s="16">
        <f>IF(ISNA(VLOOKUP(A73,'Données projet'!$A$113:$I$133,5,0)),0%,VLOOKUP(A73,'Données projet'!$A$113:$I$133,5,0)*VLOOKUP('Données projet'!$B$12,Paramètres!$A$1:$I$89,7,0))</f>
        <v>0.15049999999999999</v>
      </c>
      <c r="CI73" s="16">
        <f>IF(ISNA(VLOOKUP(A73,'Données projet'!$A$113:$I$133,6,0)),0%,VLOOKUP(A73,'Données projet'!$A$113:$I$133,6,0)*VLOOKUP('Données projet'!$B$12,Paramètres!$A$1:$I$89,7,0))</f>
        <v>0.27950000000000003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10.025424678607759</v>
      </c>
      <c r="CL73" s="21">
        <f>EXP(-LN(2)/25)*CL72+(1-EXP(-LN(2)/25))/(LN(2)/25)*Calculateur!CG73*Calculateur!CI73*VLOOKUP('Données projet'!$B$12,Paramètres!$A$1:$I$89,3,0)*0.475*44/12</f>
        <v>28.23257135132954</v>
      </c>
      <c r="CM73" s="21">
        <f>EXP(-LN(2)/2)*CM72+(1-EXP(-LN(2)/2))/(LN(2)/2)*CG73*CJ73*VLOOKUP('Données projet'!$B$12,Paramètres!$A$1:$I$89,3,0)*0.475*44/12</f>
        <v>1.6809544723341698E-2</v>
      </c>
      <c r="CN73" s="22">
        <f t="shared" si="66"/>
        <v>38.274805574660647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1.1368683772161603E-13</v>
      </c>
      <c r="O74" s="13">
        <f>N74*VLOOKUP('Données projet'!$B$9,Paramètres!$A$1:$I$89,3,0)*VLOOKUP('Données projet'!$B$9,Paramètres!$A$1:$I$89,5,0)</f>
        <v>6.7984728957526396E-14</v>
      </c>
      <c r="P74" s="13">
        <f t="shared" si="87"/>
        <v>1.0682447123141398E-12</v>
      </c>
      <c r="Q74" s="20">
        <f t="shared" si="54"/>
        <v>1.978932943548152E-12</v>
      </c>
      <c r="R74" s="59">
        <f t="shared" si="55"/>
        <v>293.3333333333353</v>
      </c>
      <c r="S74" s="59">
        <f ca="1">AVERAGE(OFFSET($R$3,0,0,'Données projet'!$E$9+1,1))-AVERAGE(OFFSET($H$3,0,0,'Données projet'!$E$9+1,1))</f>
        <v>149.5086927376081</v>
      </c>
      <c r="T74" s="59">
        <f t="shared" si="88"/>
        <v>364.59164590134498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26.759518310286982</v>
      </c>
      <c r="AA74" s="21">
        <f>EXP(-LN(2)/25)*AA73+(1-EXP(-LN(2)/25))/(LN(2)/25)*Calculateur!V74*Calculateur!X74*VLOOKUP('Données projet'!$B$9,Paramètres!$A$1:$I$89,3,0)*0.475*44/12</f>
        <v>13.492616664838563</v>
      </c>
      <c r="AB74" s="21">
        <f>EXP(-LN(2)/2)*AB73+(1-EXP(-LN(2)/2))/(LN(2)/2)*V74*Y74*VLOOKUP('Données projet'!$B$9,Paramètres!$A$1:$I$89,3,0)*0.475*44/12</f>
        <v>3.5954141078865734E-5</v>
      </c>
      <c r="AC74" s="22">
        <f t="shared" si="57"/>
        <v>40.252170929266619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0</v>
      </c>
      <c r="AO74" s="59">
        <f t="shared" si="90"/>
        <v>0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2.5</v>
      </c>
      <c r="BD74" s="12">
        <f>IF('Données projet'!$A$88&gt;35,BD73+BC74-BL73,IF(A74&lt;'Données projet'!$A$88,$BA$205^A74,IF(A74='Données projet'!$A$88,'Données projet'!$B$88,BD73+BC74-BL73)))</f>
        <v>203.49999999999991</v>
      </c>
      <c r="BE74" s="13">
        <f>BD74*VLOOKUP('Données projet'!$B$11,Paramètres!$A$1:$I$89,3,0)*VLOOKUP('Données projet'!$B$11,Paramètres!$A$1:$I$89,5,0)</f>
        <v>165.07919999999996</v>
      </c>
      <c r="BF74" s="13">
        <f t="shared" si="91"/>
        <v>41.986051122111817</v>
      </c>
      <c r="BG74" s="20">
        <f t="shared" si="61"/>
        <v>360.6386457043447</v>
      </c>
      <c r="BH74" s="59">
        <f t="shared" si="62"/>
        <v>653.97197903767801</v>
      </c>
      <c r="BI74" s="59">
        <f ca="1">AVERAGE(OFFSET($BH$3,0,0,'Données projet'!$E$11+1,1))-AVERAGE(OFFSET($H$3,0,0,'Données projet'!$E$11+1,1))</f>
        <v>175.73034516698141</v>
      </c>
      <c r="BJ74" s="59">
        <f t="shared" si="92"/>
        <v>203.59461632821052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1.7843177914611255</v>
      </c>
      <c r="BR74" s="21">
        <f>EXP(-LN(2)/2)*BR73+(1-EXP(-LN(2)/2))/(LN(2)/2)*BL74*BO74*VLOOKUP('Données projet'!$B$11,Paramètres!$A$1:$I$89,3,0)*0.475*44/12</f>
        <v>5.5041467670634151E-6</v>
      </c>
      <c r="BS74" s="22">
        <f t="shared" si="63"/>
        <v>1.7843232956078925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6.1</v>
      </c>
      <c r="BY74" s="12">
        <f>IF('Données projet'!$A$114&gt;35,BY73+BX74-CG73,IF(A74&lt;'Données projet'!$A$114,$BV$205^A74,IF(A74='Données projet'!$A$114,'Données projet'!$B$114,BY73+BX74-CG73)))</f>
        <v>227.10000000000019</v>
      </c>
      <c r="BZ74" s="13">
        <f>BY74*VLOOKUP('Données projet'!$B$12,Paramètres!$A$1:$I$89,3,0)*VLOOKUP('Données projet'!$B$12,Paramètres!$A$1:$I$89,5,0)</f>
        <v>191.30904000000018</v>
      </c>
      <c r="CA74" s="13">
        <f t="shared" si="93"/>
        <v>47.829247258074801</v>
      </c>
      <c r="CB74" s="20">
        <f t="shared" si="64"/>
        <v>416.49918364114723</v>
      </c>
      <c r="CC74" s="59">
        <f t="shared" si="65"/>
        <v>709.83251697448054</v>
      </c>
      <c r="CD74" s="59">
        <f ca="1">AVERAGE(OFFSET($CC$3,0,0,'Données projet'!$E$12+1,1))-AVERAGE(OFFSET($H$3,0,0,'Données projet'!$E$12+1,1))</f>
        <v>258.28817640749349</v>
      </c>
      <c r="CE74" s="59">
        <f t="shared" si="94"/>
        <v>158.16416492761954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9.8288322155655177</v>
      </c>
      <c r="CL74" s="21">
        <f>EXP(-LN(2)/25)*CL73+(1-EXP(-LN(2)/25))/(LN(2)/25)*Calculateur!CG74*Calculateur!CI74*VLOOKUP('Données projet'!$B$12,Paramètres!$A$1:$I$89,3,0)*0.475*44/12</f>
        <v>27.460550203041034</v>
      </c>
      <c r="CM74" s="21">
        <f>EXP(-LN(2)/2)*CM73+(1-EXP(-LN(2)/2))/(LN(2)/2)*CG74*CJ74*VLOOKUP('Données projet'!$B$12,Paramètres!$A$1:$I$89,3,0)*0.475*44/12</f>
        <v>1.1886143062533463E-2</v>
      </c>
      <c r="CN74" s="22">
        <f t="shared" si="66"/>
        <v>37.301268561669083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1.1368683772161603E-13</v>
      </c>
      <c r="O75" s="13">
        <f>N75*VLOOKUP('Données projet'!$B$9,Paramètres!$A$1:$I$89,3,0)*VLOOKUP('Données projet'!$B$9,Paramètres!$A$1:$I$89,5,0)</f>
        <v>6.7984728957526396E-14</v>
      </c>
      <c r="P75" s="13">
        <f t="shared" si="87"/>
        <v>1.0682447123141398E-12</v>
      </c>
      <c r="Q75" s="20">
        <f t="shared" si="54"/>
        <v>1.978932943548152E-12</v>
      </c>
      <c r="R75" s="59">
        <f t="shared" si="55"/>
        <v>293.3333333333353</v>
      </c>
      <c r="S75" s="59">
        <f ca="1">AVERAGE(OFFSET($R$3,0,0,'Données projet'!$E$9+1,1))-AVERAGE(OFFSET($H$3,0,0,'Données projet'!$E$9+1,1))</f>
        <v>149.5086927376081</v>
      </c>
      <c r="T75" s="59">
        <f t="shared" si="88"/>
        <v>364.59164590134498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26.234780477916789</v>
      </c>
      <c r="AA75" s="21">
        <f>EXP(-LN(2)/25)*AA74+(1-EXP(-LN(2)/25))/(LN(2)/25)*Calculateur!V75*Calculateur!X75*VLOOKUP('Données projet'!$B$9,Paramètres!$A$1:$I$89,3,0)*0.475*44/12</f>
        <v>13.12366035259268</v>
      </c>
      <c r="AB75" s="21">
        <f>EXP(-LN(2)/2)*AB74+(1-EXP(-LN(2)/2))/(LN(2)/2)*V75*Y75*VLOOKUP('Données projet'!$B$9,Paramètres!$A$1:$I$89,3,0)*0.475*44/12</f>
        <v>2.5423416968603773E-5</v>
      </c>
      <c r="AC75" s="22">
        <f t="shared" si="57"/>
        <v>39.358466253926437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0</v>
      </c>
      <c r="AO75" s="59">
        <f t="shared" si="90"/>
        <v>0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2.5</v>
      </c>
      <c r="BD75" s="12">
        <f>IF('Données projet'!$A$88&gt;35,BD74+BC75-BL74,IF(A75&lt;'Données projet'!$A$88,$BA$205^A75,IF(A75='Données projet'!$A$88,'Données projet'!$B$88,BD74+BC75-BL74)))</f>
        <v>205.99999999999991</v>
      </c>
      <c r="BE75" s="13">
        <f>BD75*VLOOKUP('Données projet'!$B$11,Paramètres!$A$1:$I$89,3,0)*VLOOKUP('Données projet'!$B$11,Paramètres!$A$1:$I$89,5,0)</f>
        <v>167.10719999999995</v>
      </c>
      <c r="BF75" s="13">
        <f t="shared" si="91"/>
        <v>42.44148687166966</v>
      </c>
      <c r="BG75" s="20">
        <f t="shared" si="61"/>
        <v>364.96396296815789</v>
      </c>
      <c r="BH75" s="59">
        <f t="shared" si="62"/>
        <v>658.2972963014912</v>
      </c>
      <c r="BI75" s="59">
        <f ca="1">AVERAGE(OFFSET($BH$3,0,0,'Données projet'!$E$11+1,1))-AVERAGE(OFFSET($H$3,0,0,'Données projet'!$E$11+1,1))</f>
        <v>175.73034516698141</v>
      </c>
      <c r="BJ75" s="59">
        <f t="shared" si="92"/>
        <v>203.59461632821052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1.7355255276204264</v>
      </c>
      <c r="BR75" s="21">
        <f>EXP(-LN(2)/2)*BR74+(1-EXP(-LN(2)/2))/(LN(2)/2)*BL75*BO75*VLOOKUP('Données projet'!$B$11,Paramètres!$A$1:$I$89,3,0)*0.475*44/12</f>
        <v>3.8920195036365532E-6</v>
      </c>
      <c r="BS75" s="22">
        <f t="shared" si="63"/>
        <v>1.73552941963993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6.1</v>
      </c>
      <c r="BY75" s="12">
        <f>IF('Données projet'!$A$114&gt;35,BY74+BX75-CG74,IF(A75&lt;'Données projet'!$A$114,$BV$205^A75,IF(A75='Données projet'!$A$114,'Données projet'!$B$114,BY74+BX75-CG74)))</f>
        <v>233.20000000000019</v>
      </c>
      <c r="BZ75" s="13">
        <f>BY75*VLOOKUP('Données projet'!$B$12,Paramètres!$A$1:$I$89,3,0)*VLOOKUP('Données projet'!$B$12,Paramètres!$A$1:$I$89,5,0)</f>
        <v>196.44768000000019</v>
      </c>
      <c r="CA75" s="13">
        <f t="shared" si="93"/>
        <v>48.962662901204943</v>
      </c>
      <c r="CB75" s="20">
        <f t="shared" si="64"/>
        <v>427.42301388626561</v>
      </c>
      <c r="CC75" s="59">
        <f t="shared" si="65"/>
        <v>720.75634721959887</v>
      </c>
      <c r="CD75" s="59">
        <f ca="1">AVERAGE(OFFSET($CC$3,0,0,'Données projet'!$E$12+1,1))-AVERAGE(OFFSET($H$3,0,0,'Données projet'!$E$12+1,1))</f>
        <v>258.28817640749349</v>
      </c>
      <c r="CE75" s="59">
        <f t="shared" si="94"/>
        <v>158.16416492761954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9.6360948108139723</v>
      </c>
      <c r="CL75" s="21">
        <f>EXP(-LN(2)/25)*CL74+(1-EXP(-LN(2)/25))/(LN(2)/25)*Calculateur!CG75*Calculateur!CI75*VLOOKUP('Données projet'!$B$12,Paramètres!$A$1:$I$89,3,0)*0.475*44/12</f>
        <v>26.709640013651303</v>
      </c>
      <c r="CM75" s="21">
        <f>EXP(-LN(2)/2)*CM74+(1-EXP(-LN(2)/2))/(LN(2)/2)*CG75*CJ75*VLOOKUP('Données projet'!$B$12,Paramètres!$A$1:$I$89,3,0)*0.475*44/12</f>
        <v>8.4047723616708491E-3</v>
      </c>
      <c r="CN75" s="22">
        <f t="shared" si="66"/>
        <v>36.354139596826947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1.1368683772161603E-13</v>
      </c>
      <c r="O76" s="13">
        <f>N76*VLOOKUP('Données projet'!$B$9,Paramètres!$A$1:$I$89,3,0)*VLOOKUP('Données projet'!$B$9,Paramètres!$A$1:$I$89,5,0)</f>
        <v>6.7984728957526396E-14</v>
      </c>
      <c r="P76" s="13">
        <f t="shared" si="87"/>
        <v>1.0682447123141398E-12</v>
      </c>
      <c r="Q76" s="20">
        <f t="shared" si="54"/>
        <v>1.978932943548152E-12</v>
      </c>
      <c r="R76" s="59">
        <f t="shared" si="55"/>
        <v>293.3333333333353</v>
      </c>
      <c r="S76" s="59">
        <f ca="1">AVERAGE(OFFSET($R$3,0,0,'Données projet'!$E$9+1,1))-AVERAGE(OFFSET($H$3,0,0,'Données projet'!$E$9+1,1))</f>
        <v>149.5086927376081</v>
      </c>
      <c r="T76" s="59">
        <f t="shared" si="88"/>
        <v>364.59164590134498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25.720332434380904</v>
      </c>
      <c r="AA76" s="21">
        <f>EXP(-LN(2)/25)*AA75+(1-EXP(-LN(2)/25))/(LN(2)/25)*Calculateur!V76*Calculateur!X76*VLOOKUP('Données projet'!$B$9,Paramètres!$A$1:$I$89,3,0)*0.475*44/12</f>
        <v>12.76479317010773</v>
      </c>
      <c r="AB76" s="21">
        <f>EXP(-LN(2)/2)*AB75+(1-EXP(-LN(2)/2))/(LN(2)/2)*V76*Y76*VLOOKUP('Données projet'!$B$9,Paramètres!$A$1:$I$89,3,0)*0.475*44/12</f>
        <v>1.7977070539432867E-5</v>
      </c>
      <c r="AC76" s="22">
        <f t="shared" si="57"/>
        <v>38.485143581559171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0</v>
      </c>
      <c r="AO76" s="59">
        <f t="shared" si="90"/>
        <v>0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2.5</v>
      </c>
      <c r="BD76" s="12">
        <f>IF('Données projet'!$A$88&gt;35,BD75+BC76-BL75,IF(A76&lt;'Données projet'!$A$88,$BA$205^A76,IF(A76='Données projet'!$A$88,'Données projet'!$B$88,BD75+BC76-BL75)))</f>
        <v>208.49999999999991</v>
      </c>
      <c r="BE76" s="13">
        <f>BD76*VLOOKUP('Données projet'!$B$11,Paramètres!$A$1:$I$89,3,0)*VLOOKUP('Données projet'!$B$11,Paramètres!$A$1:$I$89,5,0)</f>
        <v>169.13519999999994</v>
      </c>
      <c r="BF76" s="13">
        <f t="shared" si="91"/>
        <v>42.896279700467929</v>
      </c>
      <c r="BG76" s="20">
        <f t="shared" si="61"/>
        <v>369.28816047831486</v>
      </c>
      <c r="BH76" s="59">
        <f t="shared" si="62"/>
        <v>662.62149381164818</v>
      </c>
      <c r="BI76" s="59">
        <f ca="1">AVERAGE(OFFSET($BH$3,0,0,'Données projet'!$E$11+1,1))-AVERAGE(OFFSET($H$3,0,0,'Données projet'!$E$11+1,1))</f>
        <v>175.73034516698141</v>
      </c>
      <c r="BJ76" s="59">
        <f t="shared" si="92"/>
        <v>203.59461632821052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1.688067490800325</v>
      </c>
      <c r="BR76" s="21">
        <f>EXP(-LN(2)/2)*BR75+(1-EXP(-LN(2)/2))/(LN(2)/2)*BL76*BO76*VLOOKUP('Données projet'!$B$11,Paramètres!$A$1:$I$89,3,0)*0.475*44/12</f>
        <v>2.7520733835317076E-6</v>
      </c>
      <c r="BS76" s="22">
        <f t="shared" si="63"/>
        <v>1.6880702428737087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6.1</v>
      </c>
      <c r="BY76" s="12">
        <f>IF('Données projet'!$A$114&gt;35,BY75+BX76-CG75,IF(A76&lt;'Données projet'!$A$114,$BV$205^A76,IF(A76='Données projet'!$A$114,'Données projet'!$B$114,BY75+BX76-CG75)))</f>
        <v>239.30000000000018</v>
      </c>
      <c r="BZ76" s="13">
        <f>BY76*VLOOKUP('Données projet'!$B$12,Paramètres!$A$1:$I$89,3,0)*VLOOKUP('Données projet'!$B$12,Paramètres!$A$1:$I$89,5,0)</f>
        <v>201.58632000000014</v>
      </c>
      <c r="CA76" s="13">
        <f t="shared" si="93"/>
        <v>50.092632389255762</v>
      </c>
      <c r="CB76" s="20">
        <f t="shared" si="64"/>
        <v>438.34084207795399</v>
      </c>
      <c r="CC76" s="59">
        <f t="shared" si="65"/>
        <v>731.67417541128725</v>
      </c>
      <c r="CD76" s="59">
        <f ca="1">AVERAGE(OFFSET($CC$3,0,0,'Données projet'!$E$12+1,1))-AVERAGE(OFFSET($H$3,0,0,'Données projet'!$E$12+1,1))</f>
        <v>258.28817640749349</v>
      </c>
      <c r="CE76" s="59">
        <f t="shared" si="94"/>
        <v>158.16416492761954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9.4471368690113966</v>
      </c>
      <c r="CL76" s="21">
        <f>EXP(-LN(2)/25)*CL75+(1-EXP(-LN(2)/25))/(LN(2)/25)*Calculateur!CG76*Calculateur!CI76*VLOOKUP('Données projet'!$B$12,Paramètres!$A$1:$I$89,3,0)*0.475*44/12</f>
        <v>25.979263502879085</v>
      </c>
      <c r="CM76" s="21">
        <f>EXP(-LN(2)/2)*CM75+(1-EXP(-LN(2)/2))/(LN(2)/2)*CG76*CJ76*VLOOKUP('Données projet'!$B$12,Paramètres!$A$1:$I$89,3,0)*0.475*44/12</f>
        <v>5.9430715312667314E-3</v>
      </c>
      <c r="CN76" s="22">
        <f t="shared" si="66"/>
        <v>35.43234344342175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1.1368683772161603E-13</v>
      </c>
      <c r="O77" s="13">
        <f>N77*VLOOKUP('Données projet'!$B$9,Paramètres!$A$1:$I$89,3,0)*VLOOKUP('Données projet'!$B$9,Paramètres!$A$1:$I$89,5,0)</f>
        <v>6.7984728957526396E-14</v>
      </c>
      <c r="P77" s="13">
        <f t="shared" si="87"/>
        <v>1.0682447123141398E-12</v>
      </c>
      <c r="Q77" s="20">
        <f t="shared" si="54"/>
        <v>1.978932943548152E-12</v>
      </c>
      <c r="R77" s="59">
        <f t="shared" si="55"/>
        <v>293.3333333333353</v>
      </c>
      <c r="S77" s="59">
        <f ca="1">AVERAGE(OFFSET($R$3,0,0,'Données projet'!$E$9+1,1))-AVERAGE(OFFSET($H$3,0,0,'Données projet'!$E$9+1,1))</f>
        <v>149.5086927376081</v>
      </c>
      <c r="T77" s="59">
        <f t="shared" si="88"/>
        <v>364.59164590134498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25.215972403196432</v>
      </c>
      <c r="AA77" s="21">
        <f>EXP(-LN(2)/25)*AA76+(1-EXP(-LN(2)/25))/(LN(2)/25)*Calculateur!V77*Calculateur!X77*VLOOKUP('Données projet'!$B$9,Paramètres!$A$1:$I$89,3,0)*0.475*44/12</f>
        <v>12.415739229599835</v>
      </c>
      <c r="AB77" s="21">
        <f>EXP(-LN(2)/2)*AB76+(1-EXP(-LN(2)/2))/(LN(2)/2)*V77*Y77*VLOOKUP('Données projet'!$B$9,Paramètres!$A$1:$I$89,3,0)*0.475*44/12</f>
        <v>1.2711708484301886E-5</v>
      </c>
      <c r="AC77" s="22">
        <f t="shared" si="57"/>
        <v>37.631724344504754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0</v>
      </c>
      <c r="AO77" s="59">
        <f t="shared" si="90"/>
        <v>0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2.5</v>
      </c>
      <c r="BD77" s="12">
        <f>IF('Données projet'!$A$88&gt;35,BD76+BC77-BL76,IF(A77&lt;'Données projet'!$A$88,$BA$205^A77,IF(A77='Données projet'!$A$88,'Données projet'!$B$88,BD76+BC77-BL76)))</f>
        <v>210.99999999999991</v>
      </c>
      <c r="BE77" s="13">
        <f>BD77*VLOOKUP('Données projet'!$B$11,Paramètres!$A$1:$I$89,3,0)*VLOOKUP('Données projet'!$B$11,Paramètres!$A$1:$I$89,5,0)</f>
        <v>171.16319999999993</v>
      </c>
      <c r="BF77" s="13">
        <f t="shared" si="91"/>
        <v>43.350438209113896</v>
      </c>
      <c r="BG77" s="20">
        <f t="shared" si="61"/>
        <v>373.61125321420656</v>
      </c>
      <c r="BH77" s="59">
        <f t="shared" si="62"/>
        <v>666.94458654753987</v>
      </c>
      <c r="BI77" s="59">
        <f ca="1">AVERAGE(OFFSET($BH$3,0,0,'Données projet'!$E$11+1,1))-AVERAGE(OFFSET($H$3,0,0,'Données projet'!$E$11+1,1))</f>
        <v>175.73034516698141</v>
      </c>
      <c r="BJ77" s="59">
        <f t="shared" si="92"/>
        <v>203.59461632821052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1.6419071964927789</v>
      </c>
      <c r="BR77" s="21">
        <f>EXP(-LN(2)/2)*BR76+(1-EXP(-LN(2)/2))/(LN(2)/2)*BL77*BO77*VLOOKUP('Données projet'!$B$11,Paramètres!$A$1:$I$89,3,0)*0.475*44/12</f>
        <v>1.9460097518182766E-6</v>
      </c>
      <c r="BS77" s="22">
        <f t="shared" si="63"/>
        <v>1.6419091425025307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6.1</v>
      </c>
      <c r="BY77" s="12">
        <f>IF('Données projet'!$A$114&gt;35,BY76+BX77-CG76,IF(A77&lt;'Données projet'!$A$114,$BV$205^A77,IF(A77='Données projet'!$A$114,'Données projet'!$B$114,BY76+BX77-CG76)))</f>
        <v>245.40000000000018</v>
      </c>
      <c r="BZ77" s="13">
        <f>BY77*VLOOKUP('Données projet'!$B$12,Paramètres!$A$1:$I$89,3,0)*VLOOKUP('Données projet'!$B$12,Paramètres!$A$1:$I$89,5,0)</f>
        <v>206.72496000000018</v>
      </c>
      <c r="CA77" s="13">
        <f t="shared" si="93"/>
        <v>51.219253669605088</v>
      </c>
      <c r="CB77" s="20">
        <f t="shared" si="64"/>
        <v>449.25283880789584</v>
      </c>
      <c r="CC77" s="59">
        <f t="shared" si="65"/>
        <v>742.5861721412291</v>
      </c>
      <c r="CD77" s="59">
        <f ca="1">AVERAGE(OFFSET($CC$3,0,0,'Données projet'!$E$12+1,1))-AVERAGE(OFFSET($H$3,0,0,'Données projet'!$E$12+1,1))</f>
        <v>258.28817640749349</v>
      </c>
      <c r="CE77" s="59">
        <f t="shared" si="94"/>
        <v>158.16416492761954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9.2618842771946053</v>
      </c>
      <c r="CL77" s="21">
        <f>EXP(-LN(2)/25)*CL76+(1-EXP(-LN(2)/25))/(LN(2)/25)*Calculateur!CG77*Calculateur!CI77*VLOOKUP('Données projet'!$B$12,Paramètres!$A$1:$I$89,3,0)*0.475*44/12</f>
        <v>25.268859176202767</v>
      </c>
      <c r="CM77" s="21">
        <f>EXP(-LN(2)/2)*CM76+(1-EXP(-LN(2)/2))/(LN(2)/2)*CG77*CJ77*VLOOKUP('Données projet'!$B$12,Paramètres!$A$1:$I$89,3,0)*0.475*44/12</f>
        <v>4.2023861808354246E-3</v>
      </c>
      <c r="CN77" s="22">
        <f t="shared" si="66"/>
        <v>34.534945839578207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1.1368683772161603E-13</v>
      </c>
      <c r="O78" s="13">
        <f>N78*VLOOKUP('Données projet'!$B$9,Paramètres!$A$1:$I$89,3,0)*VLOOKUP('Données projet'!$B$9,Paramètres!$A$1:$I$89,5,0)</f>
        <v>6.7984728957526396E-14</v>
      </c>
      <c r="P78" s="13">
        <f t="shared" si="87"/>
        <v>1.0682447123141398E-12</v>
      </c>
      <c r="Q78" s="20">
        <f t="shared" si="54"/>
        <v>1.978932943548152E-12</v>
      </c>
      <c r="R78" s="59">
        <f t="shared" si="55"/>
        <v>293.3333333333353</v>
      </c>
      <c r="S78" s="59">
        <f ca="1">AVERAGE(OFFSET($R$3,0,0,'Données projet'!$E$9+1,1))-AVERAGE(OFFSET($H$3,0,0,'Données projet'!$E$9+1,1))</f>
        <v>149.5086927376081</v>
      </c>
      <c r="T78" s="59">
        <f t="shared" si="88"/>
        <v>364.59164590134498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24.721502564594246</v>
      </c>
      <c r="AA78" s="21">
        <f>EXP(-LN(2)/25)*AA77+(1-EXP(-LN(2)/25))/(LN(2)/25)*Calculateur!V78*Calculateur!X78*VLOOKUP('Données projet'!$B$9,Paramètres!$A$1:$I$89,3,0)*0.475*44/12</f>
        <v>12.076230187451078</v>
      </c>
      <c r="AB78" s="21">
        <f>EXP(-LN(2)/2)*AB77+(1-EXP(-LN(2)/2))/(LN(2)/2)*V78*Y78*VLOOKUP('Données projet'!$B$9,Paramètres!$A$1:$I$89,3,0)*0.475*44/12</f>
        <v>8.9885352697164335E-6</v>
      </c>
      <c r="AC78" s="22">
        <f t="shared" si="57"/>
        <v>36.797741740580591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0</v>
      </c>
      <c r="AO78" s="59">
        <f t="shared" si="90"/>
        <v>0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2.5</v>
      </c>
      <c r="BD78" s="12">
        <f>IF('Données projet'!$A$88&gt;35,BD77+BC78-BL77,IF(A78&lt;'Données projet'!$A$88,$BA$205^A78,IF(A78='Données projet'!$A$88,'Données projet'!$B$88,BD77+BC78-BL77)))</f>
        <v>213.49999999999991</v>
      </c>
      <c r="BE78" s="13">
        <f>BD78*VLOOKUP('Données projet'!$B$11,Paramètres!$A$1:$I$89,3,0)*VLOOKUP('Données projet'!$B$11,Paramètres!$A$1:$I$89,5,0)</f>
        <v>173.19119999999992</v>
      </c>
      <c r="BF78" s="13">
        <f t="shared" si="91"/>
        <v>43.803970782681198</v>
      </c>
      <c r="BG78" s="20">
        <f t="shared" si="61"/>
        <v>377.93325577983632</v>
      </c>
      <c r="BH78" s="59">
        <f t="shared" si="62"/>
        <v>671.26658911316963</v>
      </c>
      <c r="BI78" s="59">
        <f ca="1">AVERAGE(OFFSET($BH$3,0,0,'Données projet'!$E$11+1,1))-AVERAGE(OFFSET($H$3,0,0,'Données projet'!$E$11+1,1))</f>
        <v>175.73034516698141</v>
      </c>
      <c r="BJ78" s="59">
        <f t="shared" si="92"/>
        <v>203.59461632821052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1.597009157860537</v>
      </c>
      <c r="BR78" s="21">
        <f>EXP(-LN(2)/2)*BR77+(1-EXP(-LN(2)/2))/(LN(2)/2)*BL78*BO78*VLOOKUP('Données projet'!$B$11,Paramètres!$A$1:$I$89,3,0)*0.475*44/12</f>
        <v>1.3760366917658538E-6</v>
      </c>
      <c r="BS78" s="22">
        <f t="shared" si="63"/>
        <v>1.5970105338972287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6.1</v>
      </c>
      <c r="BY78" s="12">
        <f>IF('Données projet'!$A$114&gt;35,BY77+BX78-CG77,IF(A78&lt;'Données projet'!$A$114,$BV$205^A78,IF(A78='Données projet'!$A$114,'Données projet'!$B$114,BY77+BX78-CG77)))</f>
        <v>251.50000000000017</v>
      </c>
      <c r="BZ78" s="13">
        <f>BY78*VLOOKUP('Données projet'!$B$12,Paramètres!$A$1:$I$89,3,0)*VLOOKUP('Données projet'!$B$12,Paramètres!$A$1:$I$89,5,0)</f>
        <v>211.86360000000013</v>
      </c>
      <c r="CA78" s="13">
        <f t="shared" si="93"/>
        <v>52.342619542649992</v>
      </c>
      <c r="CB78" s="20">
        <f t="shared" si="64"/>
        <v>460.15916570344893</v>
      </c>
      <c r="CC78" s="59">
        <f t="shared" si="65"/>
        <v>753.49249903678219</v>
      </c>
      <c r="CD78" s="59">
        <f ca="1">AVERAGE(OFFSET($CC$3,0,0,'Données projet'!$E$12+1,1))-AVERAGE(OFFSET($H$3,0,0,'Données projet'!$E$12+1,1))</f>
        <v>258.28817640749349</v>
      </c>
      <c r="CE78" s="59">
        <f t="shared" si="94"/>
        <v>158.16416492761954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9.0802643757104171</v>
      </c>
      <c r="CL78" s="21">
        <f>EXP(-LN(2)/25)*CL77+(1-EXP(-LN(2)/25))/(LN(2)/25)*Calculateur!CG78*Calculateur!CI78*VLOOKUP('Données projet'!$B$12,Paramètres!$A$1:$I$89,3,0)*0.475*44/12</f>
        <v>24.57788089319795</v>
      </c>
      <c r="CM78" s="21">
        <f>EXP(-LN(2)/2)*CM77+(1-EXP(-LN(2)/2))/(LN(2)/2)*CG78*CJ78*VLOOKUP('Données projet'!$B$12,Paramètres!$A$1:$I$89,3,0)*0.475*44/12</f>
        <v>2.9715357656333657E-3</v>
      </c>
      <c r="CN78" s="22">
        <f t="shared" si="66"/>
        <v>33.661116804674002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1.1368683772161603E-13</v>
      </c>
      <c r="O79" s="13">
        <f>N79*VLOOKUP('Données projet'!$B$9,Paramètres!$A$1:$I$89,3,0)*VLOOKUP('Données projet'!$B$9,Paramètres!$A$1:$I$89,5,0)</f>
        <v>6.7984728957526396E-14</v>
      </c>
      <c r="P79" s="13">
        <f t="shared" si="87"/>
        <v>1.0682447123141398E-12</v>
      </c>
      <c r="Q79" s="20">
        <f t="shared" si="54"/>
        <v>1.978932943548152E-12</v>
      </c>
      <c r="R79" s="59">
        <f t="shared" si="55"/>
        <v>293.3333333333353</v>
      </c>
      <c r="S79" s="59">
        <f ca="1">AVERAGE(OFFSET($R$3,0,0,'Données projet'!$E$9+1,1))-AVERAGE(OFFSET($H$3,0,0,'Données projet'!$E$9+1,1))</f>
        <v>149.5086927376081</v>
      </c>
      <c r="T79" s="59">
        <f t="shared" si="88"/>
        <v>364.59164590134498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24.236728977930227</v>
      </c>
      <c r="AA79" s="21">
        <f>EXP(-LN(2)/25)*AA78+(1-EXP(-LN(2)/25))/(LN(2)/25)*Calculateur!V79*Calculateur!X79*VLOOKUP('Données projet'!$B$9,Paramètres!$A$1:$I$89,3,0)*0.475*44/12</f>
        <v>11.746005037913882</v>
      </c>
      <c r="AB79" s="21">
        <f>EXP(-LN(2)/2)*AB78+(1-EXP(-LN(2)/2))/(LN(2)/2)*V79*Y79*VLOOKUP('Données projet'!$B$9,Paramètres!$A$1:$I$89,3,0)*0.475*44/12</f>
        <v>6.3558542421509432E-6</v>
      </c>
      <c r="AC79" s="22">
        <f t="shared" si="57"/>
        <v>35.982740371698348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0</v>
      </c>
      <c r="AO79" s="59">
        <f t="shared" si="90"/>
        <v>0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2.5</v>
      </c>
      <c r="BD79" s="12">
        <f>IF('Données projet'!$A$88&gt;35,BD78+BC79-BL78,IF(A79&lt;'Données projet'!$A$88,$BA$205^A79,IF(A79='Données projet'!$A$88,'Données projet'!$B$88,BD78+BC79-BL78)))</f>
        <v>215.99999999999991</v>
      </c>
      <c r="BE79" s="13">
        <f>BD79*VLOOKUP('Données projet'!$B$11,Paramètres!$A$1:$I$89,3,0)*VLOOKUP('Données projet'!$B$11,Paramètres!$A$1:$I$89,5,0)</f>
        <v>175.21919999999994</v>
      </c>
      <c r="BF79" s="13">
        <f t="shared" si="91"/>
        <v>44.256885598570207</v>
      </c>
      <c r="BG79" s="20">
        <f t="shared" si="61"/>
        <v>382.25418241750964</v>
      </c>
      <c r="BH79" s="59">
        <f t="shared" si="62"/>
        <v>675.58751575084295</v>
      </c>
      <c r="BI79" s="59">
        <f ca="1">AVERAGE(OFFSET($BH$3,0,0,'Données projet'!$E$11+1,1))-AVERAGE(OFFSET($H$3,0,0,'Données projet'!$E$11+1,1))</f>
        <v>175.73034516698141</v>
      </c>
      <c r="BJ79" s="59">
        <f t="shared" si="92"/>
        <v>203.59461632821052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1.553338858455779</v>
      </c>
      <c r="BR79" s="21">
        <f>EXP(-LN(2)/2)*BR78+(1-EXP(-LN(2)/2))/(LN(2)/2)*BL79*BO79*VLOOKUP('Données projet'!$B$11,Paramètres!$A$1:$I$89,3,0)*0.475*44/12</f>
        <v>9.730048759091383E-7</v>
      </c>
      <c r="BS79" s="22">
        <f t="shared" si="63"/>
        <v>1.553339831460655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6.1</v>
      </c>
      <c r="BY79" s="12">
        <f>IF('Données projet'!$A$114&gt;35,BY78+BX79-CG78,IF(A79&lt;'Données projet'!$A$114,$BV$205^A79,IF(A79='Données projet'!$A$114,'Données projet'!$B$114,BY78+BX79-CG78)))</f>
        <v>257.60000000000019</v>
      </c>
      <c r="BZ79" s="13">
        <f>BY79*VLOOKUP('Données projet'!$B$12,Paramètres!$A$1:$I$89,3,0)*VLOOKUP('Données projet'!$B$12,Paramètres!$A$1:$I$89,5,0)</f>
        <v>217.0022400000002</v>
      </c>
      <c r="CA79" s="13">
        <f t="shared" si="93"/>
        <v>53.462818050454864</v>
      </c>
      <c r="CB79" s="20">
        <f t="shared" si="64"/>
        <v>471.05997610454256</v>
      </c>
      <c r="CC79" s="59">
        <f t="shared" si="65"/>
        <v>764.39330943787581</v>
      </c>
      <c r="CD79" s="59">
        <f ca="1">AVERAGE(OFFSET($CC$3,0,0,'Données projet'!$E$12+1,1))-AVERAGE(OFFSET($H$3,0,0,'Données projet'!$E$12+1,1))</f>
        <v>258.28817640749349</v>
      </c>
      <c r="CE79" s="59">
        <f t="shared" si="94"/>
        <v>158.16416492761954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8.9022059297171321</v>
      </c>
      <c r="CL79" s="21">
        <f>EXP(-LN(2)/25)*CL78+(1-EXP(-LN(2)/25))/(LN(2)/25)*Calculateur!CG79*Calculateur!CI79*VLOOKUP('Données projet'!$B$12,Paramètres!$A$1:$I$89,3,0)*0.475*44/12</f>
        <v>23.905797447678868</v>
      </c>
      <c r="CM79" s="21">
        <f>EXP(-LN(2)/2)*CM78+(1-EXP(-LN(2)/2))/(LN(2)/2)*CG79*CJ79*VLOOKUP('Données projet'!$B$12,Paramètres!$A$1:$I$89,3,0)*0.475*44/12</f>
        <v>2.1011930904177123E-3</v>
      </c>
      <c r="CN79" s="22">
        <f t="shared" si="66"/>
        <v>32.810104570486416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1.1368683772161603E-13</v>
      </c>
      <c r="O80" s="13">
        <f>N80*VLOOKUP('Données projet'!$B$9,Paramètres!$A$1:$I$89,3,0)*VLOOKUP('Données projet'!$B$9,Paramètres!$A$1:$I$89,5,0)</f>
        <v>6.7984728957526396E-14</v>
      </c>
      <c r="P80" s="13">
        <f t="shared" si="87"/>
        <v>1.0682447123141398E-12</v>
      </c>
      <c r="Q80" s="20">
        <f t="shared" si="54"/>
        <v>1.978932943548152E-12</v>
      </c>
      <c r="R80" s="59">
        <f t="shared" si="55"/>
        <v>293.3333333333353</v>
      </c>
      <c r="S80" s="59">
        <f ca="1">AVERAGE(OFFSET($R$3,0,0,'Données projet'!$E$9+1,1))-AVERAGE(OFFSET($H$3,0,0,'Données projet'!$E$9+1,1))</f>
        <v>149.5086927376081</v>
      </c>
      <c r="T80" s="59">
        <f t="shared" si="88"/>
        <v>364.59164590134498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23.761461505617998</v>
      </c>
      <c r="AA80" s="21">
        <f>EXP(-LN(2)/25)*AA79+(1-EXP(-LN(2)/25))/(LN(2)/25)*Calculateur!V80*Calculateur!X80*VLOOKUP('Données projet'!$B$9,Paramètres!$A$1:$I$89,3,0)*0.475*44/12</f>
        <v>11.424809912456569</v>
      </c>
      <c r="AB80" s="21">
        <f>EXP(-LN(2)/2)*AB79+(1-EXP(-LN(2)/2))/(LN(2)/2)*V80*Y80*VLOOKUP('Données projet'!$B$9,Paramètres!$A$1:$I$89,3,0)*0.475*44/12</f>
        <v>4.4942676348582168E-6</v>
      </c>
      <c r="AC80" s="22">
        <f t="shared" si="57"/>
        <v>35.186275912342204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0</v>
      </c>
      <c r="AO80" s="59">
        <f t="shared" si="90"/>
        <v>0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2.5</v>
      </c>
      <c r="BD80" s="12">
        <f>IF('Données projet'!$A$88&gt;35,BD79+BC80-BL79,IF(A80&lt;'Données projet'!$A$88,$BA$205^A80,IF(A80='Données projet'!$A$88,'Données projet'!$B$88,BD79+BC80-BL79)))</f>
        <v>218.49999999999991</v>
      </c>
      <c r="BE80" s="13">
        <f>BD80*VLOOKUP('Données projet'!$B$11,Paramètres!$A$1:$I$89,3,0)*VLOOKUP('Données projet'!$B$11,Paramètres!$A$1:$I$89,5,0)</f>
        <v>177.24719999999994</v>
      </c>
      <c r="BF80" s="13">
        <f t="shared" si="91"/>
        <v>44.709190633994481</v>
      </c>
      <c r="BG80" s="20">
        <f t="shared" si="61"/>
        <v>386.57404702087359</v>
      </c>
      <c r="BH80" s="59">
        <f t="shared" si="62"/>
        <v>679.90738035420691</v>
      </c>
      <c r="BI80" s="59">
        <f ca="1">AVERAGE(OFFSET($BH$3,0,0,'Données projet'!$E$11+1,1))-AVERAGE(OFFSET($H$3,0,0,'Données projet'!$E$11+1,1))</f>
        <v>175.73034516698141</v>
      </c>
      <c r="BJ80" s="59">
        <f t="shared" si="92"/>
        <v>203.59461632821052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1.5108627256847653</v>
      </c>
      <c r="BR80" s="21">
        <f>EXP(-LN(2)/2)*BR79+(1-EXP(-LN(2)/2))/(LN(2)/2)*BL80*BO80*VLOOKUP('Données projet'!$B$11,Paramètres!$A$1:$I$89,3,0)*0.475*44/12</f>
        <v>6.8801834588292689E-7</v>
      </c>
      <c r="BS80" s="22">
        <f t="shared" si="63"/>
        <v>1.5108634137031112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6.1</v>
      </c>
      <c r="BY80" s="12">
        <f>IF('Données projet'!$A$114&gt;35,BY79+BX80-CG79,IF(A80&lt;'Données projet'!$A$114,$BV$205^A80,IF(A80='Données projet'!$A$114,'Données projet'!$B$114,BY79+BX80-CG79)))</f>
        <v>263.70000000000022</v>
      </c>
      <c r="BZ80" s="13">
        <f>BY80*VLOOKUP('Données projet'!$B$12,Paramètres!$A$1:$I$89,3,0)*VLOOKUP('Données projet'!$B$12,Paramètres!$A$1:$I$89,5,0)</f>
        <v>222.14088000000024</v>
      </c>
      <c r="CA80" s="13">
        <f t="shared" si="93"/>
        <v>54.579932827549101</v>
      </c>
      <c r="CB80" s="20">
        <f t="shared" si="64"/>
        <v>481.95541567464835</v>
      </c>
      <c r="CC80" s="59">
        <f t="shared" si="65"/>
        <v>775.28874900798166</v>
      </c>
      <c r="CD80" s="59">
        <f ca="1">AVERAGE(OFFSET($CC$3,0,0,'Données projet'!$E$12+1,1))-AVERAGE(OFFSET($H$3,0,0,'Données projet'!$E$12+1,1))</f>
        <v>258.28817640749349</v>
      </c>
      <c r="CE80" s="59">
        <f t="shared" si="94"/>
        <v>158.16416492761954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8.7276391012448471</v>
      </c>
      <c r="CL80" s="21">
        <f>EXP(-LN(2)/25)*CL79+(1-EXP(-LN(2)/25))/(LN(2)/25)*Calculateur!CG80*Calculateur!CI80*VLOOKUP('Données projet'!$B$12,Paramètres!$A$1:$I$89,3,0)*0.475*44/12</f>
        <v>23.252092159320839</v>
      </c>
      <c r="CM80" s="21">
        <f>EXP(-LN(2)/2)*CM79+(1-EXP(-LN(2)/2))/(LN(2)/2)*CG80*CJ80*VLOOKUP('Données projet'!$B$12,Paramètres!$A$1:$I$89,3,0)*0.475*44/12</f>
        <v>1.4857678828166829E-3</v>
      </c>
      <c r="CN80" s="22">
        <f t="shared" si="66"/>
        <v>31.981217028448501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1.1368683772161603E-13</v>
      </c>
      <c r="O81" s="13">
        <f>N81*VLOOKUP('Données projet'!$B$9,Paramètres!$A$1:$I$89,3,0)*VLOOKUP('Données projet'!$B$9,Paramètres!$A$1:$I$89,5,0)</f>
        <v>6.7984728957526396E-14</v>
      </c>
      <c r="P81" s="13">
        <f t="shared" si="87"/>
        <v>1.0682447123141398E-12</v>
      </c>
      <c r="Q81" s="20">
        <f t="shared" si="54"/>
        <v>1.978932943548152E-12</v>
      </c>
      <c r="R81" s="59">
        <f t="shared" si="55"/>
        <v>293.3333333333353</v>
      </c>
      <c r="S81" s="59">
        <f ca="1">AVERAGE(OFFSET($R$3,0,0,'Données projet'!$E$9+1,1))-AVERAGE(OFFSET($H$3,0,0,'Données projet'!$E$9+1,1))</f>
        <v>149.5086927376081</v>
      </c>
      <c r="T81" s="59">
        <f t="shared" si="88"/>
        <v>364.59164590134498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23.295513738553275</v>
      </c>
      <c r="AA81" s="21">
        <f>EXP(-LN(2)/25)*AA80+(1-EXP(-LN(2)/25))/(LN(2)/25)*Calculateur!V81*Calculateur!X81*VLOOKUP('Données projet'!$B$9,Paramètres!$A$1:$I$89,3,0)*0.475*44/12</f>
        <v>11.112397884595802</v>
      </c>
      <c r="AB81" s="21">
        <f>EXP(-LN(2)/2)*AB80+(1-EXP(-LN(2)/2))/(LN(2)/2)*V81*Y81*VLOOKUP('Données projet'!$B$9,Paramètres!$A$1:$I$89,3,0)*0.475*44/12</f>
        <v>3.1779271210754716E-6</v>
      </c>
      <c r="AC81" s="22">
        <f t="shared" si="57"/>
        <v>34.407914801076195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0</v>
      </c>
      <c r="AO81" s="59">
        <f t="shared" si="90"/>
        <v>0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2.5</v>
      </c>
      <c r="BD81" s="12">
        <f>IF('Données projet'!$A$88&gt;35,BD80+BC81-BL80,IF(A81&lt;'Données projet'!$A$88,$BA$205^A81,IF(A81='Données projet'!$A$88,'Données projet'!$B$88,BD80+BC81-BL80)))</f>
        <v>220.99999999999991</v>
      </c>
      <c r="BE81" s="13">
        <f>BD81*VLOOKUP('Données projet'!$B$11,Paramètres!$A$1:$I$89,3,0)*VLOOKUP('Données projet'!$B$11,Paramètres!$A$1:$I$89,5,0)</f>
        <v>179.27519999999996</v>
      </c>
      <c r="BF81" s="13">
        <f t="shared" si="91"/>
        <v>45.160893673114614</v>
      </c>
      <c r="BG81" s="20">
        <f t="shared" si="61"/>
        <v>390.89286314734119</v>
      </c>
      <c r="BH81" s="59">
        <f t="shared" si="62"/>
        <v>684.2261964806745</v>
      </c>
      <c r="BI81" s="59">
        <f ca="1">AVERAGE(OFFSET($BH$3,0,0,'Données projet'!$E$11+1,1))-AVERAGE(OFFSET($H$3,0,0,'Données projet'!$E$11+1,1))</f>
        <v>175.73034516698141</v>
      </c>
      <c r="BJ81" s="59">
        <f t="shared" si="92"/>
        <v>203.59461632821052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1.4695481049980978</v>
      </c>
      <c r="BR81" s="21">
        <f>EXP(-LN(2)/2)*BR80+(1-EXP(-LN(2)/2))/(LN(2)/2)*BL81*BO81*VLOOKUP('Données projet'!$B$11,Paramètres!$A$1:$I$89,3,0)*0.475*44/12</f>
        <v>4.8650243795456915E-7</v>
      </c>
      <c r="BS81" s="22">
        <f t="shared" si="63"/>
        <v>1.4695485915005357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6.1</v>
      </c>
      <c r="BY81" s="12">
        <f>IF('Données projet'!$A$114&gt;35,BY80+BX81-CG80,IF(A81&lt;'Données projet'!$A$114,$BV$205^A81,IF(A81='Données projet'!$A$114,'Données projet'!$B$114,BY80+BX81-CG80)))</f>
        <v>269.80000000000024</v>
      </c>
      <c r="BZ81" s="13">
        <f>BY81*VLOOKUP('Données projet'!$B$12,Paramètres!$A$1:$I$89,3,0)*VLOOKUP('Données projet'!$B$12,Paramètres!$A$1:$I$89,5,0)</f>
        <v>227.27952000000025</v>
      </c>
      <c r="CA81" s="13">
        <f t="shared" si="93"/>
        <v>55.694043418351349</v>
      </c>
      <c r="CB81" s="20">
        <f t="shared" si="64"/>
        <v>492.84562295362895</v>
      </c>
      <c r="CC81" s="59">
        <f t="shared" si="65"/>
        <v>786.17895628696226</v>
      </c>
      <c r="CD81" s="59">
        <f ca="1">AVERAGE(OFFSET($CC$3,0,0,'Données projet'!$E$12+1,1))-AVERAGE(OFFSET($H$3,0,0,'Données projet'!$E$12+1,1))</f>
        <v>258.28817640749349</v>
      </c>
      <c r="CE81" s="59">
        <f t="shared" si="94"/>
        <v>158.16416492761954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8.5564954218036515</v>
      </c>
      <c r="CL81" s="21">
        <f>EXP(-LN(2)/25)*CL80+(1-EXP(-LN(2)/25))/(LN(2)/25)*Calculateur!CG81*Calculateur!CI81*VLOOKUP('Données projet'!$B$12,Paramètres!$A$1:$I$89,3,0)*0.475*44/12</f>
        <v>22.616262476449826</v>
      </c>
      <c r="CM81" s="21">
        <f>EXP(-LN(2)/2)*CM80+(1-EXP(-LN(2)/2))/(LN(2)/2)*CG81*CJ81*VLOOKUP('Données projet'!$B$12,Paramètres!$A$1:$I$89,3,0)*0.475*44/12</f>
        <v>1.0505965452088561E-3</v>
      </c>
      <c r="CN81" s="22">
        <f t="shared" si="66"/>
        <v>31.173808494798688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1.1368683772161603E-13</v>
      </c>
      <c r="O82" s="13">
        <f>N82*VLOOKUP('Données projet'!$B$9,Paramètres!$A$1:$I$89,3,0)*VLOOKUP('Données projet'!$B$9,Paramètres!$A$1:$I$89,5,0)</f>
        <v>6.7984728957526396E-14</v>
      </c>
      <c r="P82" s="13">
        <f t="shared" si="87"/>
        <v>1.0682447123141398E-12</v>
      </c>
      <c r="Q82" s="20">
        <f t="shared" si="54"/>
        <v>1.978932943548152E-12</v>
      </c>
      <c r="R82" s="59">
        <f t="shared" si="55"/>
        <v>293.3333333333353</v>
      </c>
      <c r="S82" s="59">
        <f ca="1">AVERAGE(OFFSET($R$3,0,0,'Données projet'!$E$9+1,1))-AVERAGE(OFFSET($H$3,0,0,'Données projet'!$E$9+1,1))</f>
        <v>149.5086927376081</v>
      </c>
      <c r="T82" s="59">
        <f t="shared" si="88"/>
        <v>364.59164590134498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22.838702923000618</v>
      </c>
      <c r="AA82" s="21">
        <f>EXP(-LN(2)/25)*AA81+(1-EXP(-LN(2)/25))/(LN(2)/25)*Calculateur!V82*Calculateur!X82*VLOOKUP('Données projet'!$B$9,Paramètres!$A$1:$I$89,3,0)*0.475*44/12</f>
        <v>10.808528780065924</v>
      </c>
      <c r="AB82" s="21">
        <f>EXP(-LN(2)/2)*AB81+(1-EXP(-LN(2)/2))/(LN(2)/2)*V82*Y82*VLOOKUP('Données projet'!$B$9,Paramètres!$A$1:$I$89,3,0)*0.475*44/12</f>
        <v>2.2471338174291084E-6</v>
      </c>
      <c r="AC82" s="22">
        <f t="shared" si="57"/>
        <v>33.647233950200352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0</v>
      </c>
      <c r="AO82" s="59">
        <f t="shared" si="90"/>
        <v>0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2.5</v>
      </c>
      <c r="BD82" s="12">
        <f>IF('Données projet'!$A$88&gt;35,BD81+BC82-BL81,IF(A82&lt;'Données projet'!$A$88,$BA$205^A82,IF(A82='Données projet'!$A$88,'Données projet'!$B$88,BD81+BC82-BL81)))</f>
        <v>223.49999999999991</v>
      </c>
      <c r="BE82" s="13">
        <f>BD82*VLOOKUP('Données projet'!$B$11,Paramètres!$A$1:$I$89,3,0)*VLOOKUP('Données projet'!$B$11,Paramètres!$A$1:$I$89,5,0)</f>
        <v>181.30319999999995</v>
      </c>
      <c r="BF82" s="13">
        <f t="shared" si="91"/>
        <v>45.612002313840037</v>
      </c>
      <c r="BG82" s="20">
        <f t="shared" si="61"/>
        <v>395.21064402993801</v>
      </c>
      <c r="BH82" s="59">
        <f t="shared" si="62"/>
        <v>688.54397736327132</v>
      </c>
      <c r="BI82" s="59">
        <f ca="1">AVERAGE(OFFSET($BH$3,0,0,'Données projet'!$E$11+1,1))-AVERAGE(OFFSET($H$3,0,0,'Données projet'!$E$11+1,1))</f>
        <v>175.73034516698141</v>
      </c>
      <c r="BJ82" s="59">
        <f t="shared" si="92"/>
        <v>203.59461632821052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1.4293632347867486</v>
      </c>
      <c r="BR82" s="21">
        <f>EXP(-LN(2)/2)*BR81+(1-EXP(-LN(2)/2))/(LN(2)/2)*BL82*BO82*VLOOKUP('Données projet'!$B$11,Paramètres!$A$1:$I$89,3,0)*0.475*44/12</f>
        <v>3.4400917294146344E-7</v>
      </c>
      <c r="BS82" s="22">
        <f t="shared" si="63"/>
        <v>1.4293635787959216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6.1</v>
      </c>
      <c r="BY82" s="12">
        <f>IF('Données projet'!$A$114&gt;35,BY81+BX82-CG81,IF(A82&lt;'Données projet'!$A$114,$BV$205^A82,IF(A82='Données projet'!$A$114,'Données projet'!$B$114,BY81+BX82-CG81)))</f>
        <v>275.90000000000026</v>
      </c>
      <c r="BZ82" s="13">
        <f>BY82*VLOOKUP('Données projet'!$B$12,Paramètres!$A$1:$I$89,3,0)*VLOOKUP('Données projet'!$B$12,Paramètres!$A$1:$I$89,5,0)</f>
        <v>232.41816000000026</v>
      </c>
      <c r="CA82" s="13">
        <f t="shared" si="93"/>
        <v>56.805225565077258</v>
      </c>
      <c r="CB82" s="20">
        <f t="shared" si="64"/>
        <v>503.73072985917673</v>
      </c>
      <c r="CC82" s="59">
        <f t="shared" si="65"/>
        <v>797.06406319251005</v>
      </c>
      <c r="CD82" s="59">
        <f ca="1">AVERAGE(OFFSET($CC$3,0,0,'Données projet'!$E$12+1,1))-AVERAGE(OFFSET($H$3,0,0,'Données projet'!$E$12+1,1))</f>
        <v>258.28817640749349</v>
      </c>
      <c r="CE82" s="59">
        <f t="shared" si="94"/>
        <v>158.16416492761954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8.3887077655289612</v>
      </c>
      <c r="CL82" s="21">
        <f>EXP(-LN(2)/25)*CL81+(1-EXP(-LN(2)/25))/(LN(2)/25)*Calculateur!CG82*Calculateur!CI82*VLOOKUP('Données projet'!$B$12,Paramètres!$A$1:$I$89,3,0)*0.475*44/12</f>
        <v>21.997819589693751</v>
      </c>
      <c r="CM82" s="21">
        <f>EXP(-LN(2)/2)*CM81+(1-EXP(-LN(2)/2))/(LN(2)/2)*CG82*CJ82*VLOOKUP('Données projet'!$B$12,Paramètres!$A$1:$I$89,3,0)*0.475*44/12</f>
        <v>7.4288394140834143E-4</v>
      </c>
      <c r="CN82" s="22">
        <f t="shared" si="66"/>
        <v>30.387270239164121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1.1368683772161603E-13</v>
      </c>
      <c r="O83" s="13">
        <f>N83*VLOOKUP('Données projet'!$B$9,Paramètres!$A$1:$I$89,3,0)*VLOOKUP('Données projet'!$B$9,Paramètres!$A$1:$I$89,5,0)</f>
        <v>6.7984728957526396E-14</v>
      </c>
      <c r="P83" s="13">
        <f t="shared" si="87"/>
        <v>1.0682447123141398E-12</v>
      </c>
      <c r="Q83" s="20">
        <f t="shared" si="54"/>
        <v>1.978932943548152E-12</v>
      </c>
      <c r="R83" s="59">
        <f t="shared" si="55"/>
        <v>293.3333333333353</v>
      </c>
      <c r="S83" s="59">
        <f ca="1">AVERAGE(OFFSET($R$3,0,0,'Données projet'!$E$9+1,1))-AVERAGE(OFFSET($H$3,0,0,'Données projet'!$E$9+1,1))</f>
        <v>149.5086927376081</v>
      </c>
      <c r="T83" s="59">
        <f t="shared" si="88"/>
        <v>364.59164590134498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22.390849888913863</v>
      </c>
      <c r="AA83" s="21">
        <f>EXP(-LN(2)/25)*AA82+(1-EXP(-LN(2)/25))/(LN(2)/25)*Calculateur!V83*Calculateur!X83*VLOOKUP('Données projet'!$B$9,Paramètres!$A$1:$I$89,3,0)*0.475*44/12</f>
        <v>10.512968992179196</v>
      </c>
      <c r="AB83" s="21">
        <f>EXP(-LN(2)/2)*AB82+(1-EXP(-LN(2)/2))/(LN(2)/2)*V83*Y83*VLOOKUP('Données projet'!$B$9,Paramètres!$A$1:$I$89,3,0)*0.475*44/12</f>
        <v>1.5889635605377358E-6</v>
      </c>
      <c r="AC83" s="22">
        <f t="shared" si="57"/>
        <v>32.903820470056623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0</v>
      </c>
      <c r="AO83" s="59">
        <f t="shared" si="90"/>
        <v>0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226</v>
      </c>
      <c r="BB83" s="12">
        <f>VLOOKUP(A83,'Données projet'!$A$87:$I$107,9,0)</f>
        <v>2.5</v>
      </c>
      <c r="BC83" s="12">
        <f t="array" ref="BC83">INDEX(BB:BB,MIN(IF(ISNUMBER(BB83:BB279),ROW(BB83:BB279),"")))</f>
        <v>2.5</v>
      </c>
      <c r="BD83" s="12">
        <f>IF('Données projet'!$A$88&gt;35,BD82+BC83-BL82,IF(A83&lt;'Données projet'!$A$88,$BA$205^A83,IF(A83='Données projet'!$A$88,'Données projet'!$B$88,BD82+BC83-BL82)))</f>
        <v>225.99999999999991</v>
      </c>
      <c r="BE83" s="13">
        <f>BD83*VLOOKUP('Données projet'!$B$11,Paramètres!$A$1:$I$89,3,0)*VLOOKUP('Données projet'!$B$11,Paramètres!$A$1:$I$89,5,0)</f>
        <v>183.33119999999994</v>
      </c>
      <c r="BF83" s="13">
        <f t="shared" si="91"/>
        <v>46.062523974317784</v>
      </c>
      <c r="BG83" s="20">
        <f t="shared" si="61"/>
        <v>399.52740258860331</v>
      </c>
      <c r="BH83" s="59">
        <f t="shared" si="62"/>
        <v>692.86073592193657</v>
      </c>
      <c r="BI83" s="59">
        <f ca="1">AVERAGE(OFFSET($BH$3,0,0,'Données projet'!$E$11+1,1))-AVERAGE(OFFSET($H$3,0,0,'Données projet'!$E$11+1,1))</f>
        <v>175.73034516698141</v>
      </c>
      <c r="BJ83" s="59">
        <f t="shared" si="92"/>
        <v>203.59461632821052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226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1.3902772219645594</v>
      </c>
      <c r="BR83" s="21">
        <f>EXP(-LN(2)/2)*BR82+(1-EXP(-LN(2)/2))/(LN(2)/2)*BL83*BO83*VLOOKUP('Données projet'!$B$11,Paramètres!$A$1:$I$89,3,0)*0.475*44/12</f>
        <v>2.4325121897728457E-7</v>
      </c>
      <c r="BS83" s="22">
        <f t="shared" si="63"/>
        <v>1.3902774652157783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282</v>
      </c>
      <c r="BW83" s="12">
        <f>VLOOKUP(A83,'Données projet'!$A$113:$I$133,9,0)</f>
        <v>6.1</v>
      </c>
      <c r="BX83" s="12">
        <f t="array" ref="BX83">INDEX(BW:BW,MIN(IF(ISNUMBER(BW83:BW279),ROW(BW83:BW279),"")))</f>
        <v>6.1</v>
      </c>
      <c r="BY83" s="12">
        <f>IF('Données projet'!$A$114&gt;35,BY82+BX83-CG82,IF(A83&lt;'Données projet'!$A$114,$BV$205^A83,IF(A83='Données projet'!$A$114,'Données projet'!$B$114,BY82+BX83-CG82)))</f>
        <v>282.00000000000028</v>
      </c>
      <c r="BZ83" s="13">
        <f>BY83*VLOOKUP('Données projet'!$B$12,Paramètres!$A$1:$I$89,3,0)*VLOOKUP('Données projet'!$B$12,Paramètres!$A$1:$I$89,5,0)</f>
        <v>237.55680000000027</v>
      </c>
      <c r="CA83" s="13">
        <f t="shared" si="93"/>
        <v>57.913551469467414</v>
      </c>
      <c r="CB83" s="20">
        <f t="shared" si="64"/>
        <v>514.61086214265617</v>
      </c>
      <c r="CC83" s="59">
        <f t="shared" si="65"/>
        <v>807.94419547598955</v>
      </c>
      <c r="CD83" s="59">
        <f ca="1">AVERAGE(OFFSET($CC$3,0,0,'Données projet'!$E$12+1,1))-AVERAGE(OFFSET($H$3,0,0,'Données projet'!$E$12+1,1))</f>
        <v>258.28817640749349</v>
      </c>
      <c r="CE83" s="59">
        <f t="shared" si="94"/>
        <v>158.16416492761954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42</v>
      </c>
      <c r="CH83" s="16">
        <f>IF(ISNA(VLOOKUP(A83,'Données projet'!$A$113:$I$133,5,0)),0%,VLOOKUP(A83,'Données projet'!$A$113:$I$133,5,0)*VLOOKUP('Données projet'!$B$12,Paramètres!$A$1:$I$89,7,0))</f>
        <v>0.17200000000000001</v>
      </c>
      <c r="CI83" s="16">
        <f>IF(ISNA(VLOOKUP(A83,'Données projet'!$A$113:$I$133,6,0)),0%,VLOOKUP(A83,'Données projet'!$A$113:$I$133,6,0)*VLOOKUP('Données projet'!$B$12,Paramètres!$A$1:$I$89,7,0))</f>
        <v>0.25800000000000001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14.95154766437231</v>
      </c>
      <c r="CL83" s="21">
        <f>EXP(-LN(2)/25)*CL82+(1-EXP(-LN(2)/25))/(LN(2)/25)*Calculateur!CG83*Calculateur!CI83*VLOOKUP('Données projet'!$B$12,Paramètres!$A$1:$I$89,3,0)*0.475*44/12</f>
        <v>31.447561932831739</v>
      </c>
      <c r="CM83" s="21">
        <f>EXP(-LN(2)/2)*CM82+(1-EXP(-LN(2)/2))/(LN(2)/2)*CG83*CJ83*VLOOKUP('Données projet'!$B$12,Paramètres!$A$1:$I$89,3,0)*0.475*44/12</f>
        <v>5.2529827260442807E-4</v>
      </c>
      <c r="CN83" s="22">
        <f t="shared" si="66"/>
        <v>46.399634895476652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1.1368683772161603E-13</v>
      </c>
      <c r="O84" s="13">
        <f>N84*VLOOKUP('Données projet'!$B$9,Paramètres!$A$1:$I$89,3,0)*VLOOKUP('Données projet'!$B$9,Paramètres!$A$1:$I$89,5,0)</f>
        <v>6.7984728957526396E-14</v>
      </c>
      <c r="P84" s="13">
        <f t="shared" si="87"/>
        <v>1.0682447123141398E-12</v>
      </c>
      <c r="Q84" s="20">
        <f t="shared" si="54"/>
        <v>1.978932943548152E-12</v>
      </c>
      <c r="R84" s="59">
        <f t="shared" si="55"/>
        <v>293.3333333333353</v>
      </c>
      <c r="S84" s="59">
        <f ca="1">AVERAGE(OFFSET($R$3,0,0,'Données projet'!$E$9+1,1))-AVERAGE(OFFSET($H$3,0,0,'Données projet'!$E$9+1,1))</f>
        <v>149.5086927376081</v>
      </c>
      <c r="T84" s="59">
        <f t="shared" si="88"/>
        <v>364.59164590134498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21.951778979662169</v>
      </c>
      <c r="AA84" s="21">
        <f>EXP(-LN(2)/25)*AA83+(1-EXP(-LN(2)/25))/(LN(2)/25)*Calculateur!V84*Calculateur!X84*VLOOKUP('Données projet'!$B$9,Paramètres!$A$1:$I$89,3,0)*0.475*44/12</f>
        <v>10.225491302235044</v>
      </c>
      <c r="AB84" s="21">
        <f>EXP(-LN(2)/2)*AB83+(1-EXP(-LN(2)/2))/(LN(2)/2)*V84*Y84*VLOOKUP('Données projet'!$B$9,Paramètres!$A$1:$I$89,3,0)*0.475*44/12</f>
        <v>1.1235669087145542E-6</v>
      </c>
      <c r="AC84" s="22">
        <f t="shared" si="57"/>
        <v>32.177271405464126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0</v>
      </c>
      <c r="AO84" s="59">
        <f t="shared" si="90"/>
        <v>0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-8.5265128291212022E-14</v>
      </c>
      <c r="BE84" s="13">
        <f>BD84*VLOOKUP('Données projet'!$B$11,Paramètres!$A$1:$I$89,3,0)*VLOOKUP('Données projet'!$B$11,Paramètres!$A$1:$I$89,5,0)</f>
        <v>-6.9167072069831198E-14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175.73034516698141</v>
      </c>
      <c r="BJ84" s="59">
        <f t="shared" si="92"/>
        <v>203.59461632821052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1.352260018218437</v>
      </c>
      <c r="BR84" s="21">
        <f>EXP(-LN(2)/2)*BR83+(1-EXP(-LN(2)/2))/(LN(2)/2)*BL84*BO84*VLOOKUP('Données projet'!$B$11,Paramètres!$A$1:$I$89,3,0)*0.475*44/12</f>
        <v>1.7200458647073172E-7</v>
      </c>
      <c r="BS84" s="22">
        <f t="shared" si="63"/>
        <v>1.3522601902230236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5.6</v>
      </c>
      <c r="BY84" s="12">
        <f>IF('Données projet'!$A$114&gt;35,BY83+BX84-CG83,IF(A84&lt;'Données projet'!$A$114,$BV$205^A84,IF(A84='Données projet'!$A$114,'Données projet'!$B$114,BY83+BX84-CG83)))</f>
        <v>245.60000000000031</v>
      </c>
      <c r="BZ84" s="13">
        <f>BY84*VLOOKUP('Données projet'!$B$12,Paramètres!$A$1:$I$89,3,0)*VLOOKUP('Données projet'!$B$12,Paramètres!$A$1:$I$89,5,0)</f>
        <v>206.89344000000025</v>
      </c>
      <c r="CA84" s="13">
        <f t="shared" si="93"/>
        <v>51.256136462199144</v>
      </c>
      <c r="CB84" s="20">
        <f t="shared" si="64"/>
        <v>449.61051233833058</v>
      </c>
      <c r="CC84" s="59">
        <f t="shared" si="65"/>
        <v>742.94384567166389</v>
      </c>
      <c r="CD84" s="59">
        <f ca="1">AVERAGE(OFFSET($CC$3,0,0,'Données projet'!$E$12+1,1))-AVERAGE(OFFSET($H$3,0,0,'Données projet'!$E$12+1,1))</f>
        <v>258.28817640749349</v>
      </c>
      <c r="CE84" s="59">
        <f t="shared" si="94"/>
        <v>158.16416492761954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14.658356934217563</v>
      </c>
      <c r="CL84" s="21">
        <f>EXP(-LN(2)/25)*CL83+(1-EXP(-LN(2)/25))/(LN(2)/25)*Calculateur!CG84*Calculateur!CI84*VLOOKUP('Données projet'!$B$12,Paramètres!$A$1:$I$89,3,0)*0.475*44/12</f>
        <v>30.587626698023048</v>
      </c>
      <c r="CM84" s="21">
        <f>EXP(-LN(2)/2)*CM83+(1-EXP(-LN(2)/2))/(LN(2)/2)*CG84*CJ84*VLOOKUP('Données projet'!$B$12,Paramètres!$A$1:$I$89,3,0)*0.475*44/12</f>
        <v>3.7144197070417071E-4</v>
      </c>
      <c r="CN84" s="22">
        <f t="shared" si="66"/>
        <v>45.246355074211316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1.1368683772161603E-13</v>
      </c>
      <c r="O85" s="13">
        <f>N85*VLOOKUP('Données projet'!$B$9,Paramètres!$A$1:$I$89,3,0)*VLOOKUP('Données projet'!$B$9,Paramètres!$A$1:$I$89,5,0)</f>
        <v>6.7984728957526396E-14</v>
      </c>
      <c r="P85" s="13">
        <f t="shared" si="87"/>
        <v>1.0682447123141398E-12</v>
      </c>
      <c r="Q85" s="20">
        <f t="shared" si="54"/>
        <v>1.978932943548152E-12</v>
      </c>
      <c r="R85" s="59">
        <f t="shared" si="55"/>
        <v>293.3333333333353</v>
      </c>
      <c r="S85" s="59">
        <f ca="1">AVERAGE(OFFSET($R$3,0,0,'Données projet'!$E$9+1,1))-AVERAGE(OFFSET($H$3,0,0,'Données projet'!$E$9+1,1))</f>
        <v>149.5086927376081</v>
      </c>
      <c r="T85" s="59">
        <f t="shared" si="88"/>
        <v>364.59164590134498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21.521317983134093</v>
      </c>
      <c r="AA85" s="21">
        <f>EXP(-LN(2)/25)*AA84+(1-EXP(-LN(2)/25))/(LN(2)/25)*Calculateur!V85*Calculateur!X85*VLOOKUP('Données projet'!$B$9,Paramètres!$A$1:$I$89,3,0)*0.475*44/12</f>
        <v>9.9458747048402092</v>
      </c>
      <c r="AB85" s="21">
        <f>EXP(-LN(2)/2)*AB84+(1-EXP(-LN(2)/2))/(LN(2)/2)*V85*Y85*VLOOKUP('Données projet'!$B$9,Paramètres!$A$1:$I$89,3,0)*0.475*44/12</f>
        <v>7.944817802688679E-7</v>
      </c>
      <c r="AC85" s="22">
        <f t="shared" si="57"/>
        <v>31.467193482456086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0</v>
      </c>
      <c r="AO85" s="59">
        <f t="shared" si="90"/>
        <v>0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-8.5265128291212022E-14</v>
      </c>
      <c r="BE85" s="13">
        <f>BD85*VLOOKUP('Données projet'!$B$11,Paramètres!$A$1:$I$89,3,0)*VLOOKUP('Données projet'!$B$11,Paramètres!$A$1:$I$89,5,0)</f>
        <v>-6.9167072069831198E-14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175.73034516698141</v>
      </c>
      <c r="BJ85" s="59">
        <f t="shared" si="92"/>
        <v>203.59461632821052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1.3152823969079901</v>
      </c>
      <c r="BR85" s="21">
        <f>EXP(-LN(2)/2)*BR84+(1-EXP(-LN(2)/2))/(LN(2)/2)*BL85*BO85*VLOOKUP('Données projet'!$B$11,Paramètres!$A$1:$I$89,3,0)*0.475*44/12</f>
        <v>1.2162560948864229E-7</v>
      </c>
      <c r="BS85" s="22">
        <f t="shared" si="63"/>
        <v>1.3152825185335997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5.6</v>
      </c>
      <c r="BY85" s="12">
        <f>IF('Données projet'!$A$114&gt;35,BY84+BX85-CG84,IF(A85&lt;'Données projet'!$A$114,$BV$205^A85,IF(A85='Données projet'!$A$114,'Données projet'!$B$114,BY84+BX85-CG84)))</f>
        <v>251.2000000000003</v>
      </c>
      <c r="BZ85" s="13">
        <f>BY85*VLOOKUP('Données projet'!$B$12,Paramètres!$A$1:$I$89,3,0)*VLOOKUP('Données projet'!$B$12,Paramètres!$A$1:$I$89,5,0)</f>
        <v>211.61088000000026</v>
      </c>
      <c r="CA85" s="13">
        <f t="shared" si="93"/>
        <v>52.287446798055811</v>
      </c>
      <c r="CB85" s="20">
        <f t="shared" si="64"/>
        <v>459.62291917328093</v>
      </c>
      <c r="CC85" s="59">
        <f t="shared" si="65"/>
        <v>752.95625250661419</v>
      </c>
      <c r="CD85" s="59">
        <f ca="1">AVERAGE(OFFSET($CC$3,0,0,'Données projet'!$E$12+1,1))-AVERAGE(OFFSET($H$3,0,0,'Données projet'!$E$12+1,1))</f>
        <v>258.28817640749349</v>
      </c>
      <c r="CE85" s="59">
        <f t="shared" si="94"/>
        <v>158.16416492761954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14.370915495452465</v>
      </c>
      <c r="CL85" s="21">
        <f>EXP(-LN(2)/25)*CL84+(1-EXP(-LN(2)/25))/(LN(2)/25)*Calculateur!CG85*Calculateur!CI85*VLOOKUP('Données projet'!$B$12,Paramètres!$A$1:$I$89,3,0)*0.475*44/12</f>
        <v>29.751206437432227</v>
      </c>
      <c r="CM85" s="21">
        <f>EXP(-LN(2)/2)*CM84+(1-EXP(-LN(2)/2))/(LN(2)/2)*CG85*CJ85*VLOOKUP('Données projet'!$B$12,Paramètres!$A$1:$I$89,3,0)*0.475*44/12</f>
        <v>2.6264913630221403E-4</v>
      </c>
      <c r="CN85" s="22">
        <f t="shared" si="66"/>
        <v>44.122384582020999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1.1368683772161603E-13</v>
      </c>
      <c r="O86" s="13">
        <f>N86*VLOOKUP('Données projet'!$B$9,Paramètres!$A$1:$I$89,3,0)*VLOOKUP('Données projet'!$B$9,Paramètres!$A$1:$I$89,5,0)</f>
        <v>6.7984728957526396E-14</v>
      </c>
      <c r="P86" s="13">
        <f t="shared" si="87"/>
        <v>1.0682447123141398E-12</v>
      </c>
      <c r="Q86" s="20">
        <f t="shared" si="54"/>
        <v>1.978932943548152E-12</v>
      </c>
      <c r="R86" s="59">
        <f t="shared" si="55"/>
        <v>293.3333333333353</v>
      </c>
      <c r="S86" s="59">
        <f ca="1">AVERAGE(OFFSET($R$3,0,0,'Données projet'!$E$9+1,1))-AVERAGE(OFFSET($H$3,0,0,'Données projet'!$E$9+1,1))</f>
        <v>149.5086927376081</v>
      </c>
      <c r="T86" s="59">
        <f t="shared" si="88"/>
        <v>364.59164590134498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21.099298064192649</v>
      </c>
      <c r="AA86" s="21">
        <f>EXP(-LN(2)/25)*AA85+(1-EXP(-LN(2)/25))/(LN(2)/25)*Calculateur!V86*Calculateur!X86*VLOOKUP('Données projet'!$B$9,Paramètres!$A$1:$I$89,3,0)*0.475*44/12</f>
        <v>9.6739042380055338</v>
      </c>
      <c r="AB86" s="21">
        <f>EXP(-LN(2)/2)*AB85+(1-EXP(-LN(2)/2))/(LN(2)/2)*V86*Y86*VLOOKUP('Données projet'!$B$9,Paramètres!$A$1:$I$89,3,0)*0.475*44/12</f>
        <v>5.617834543572771E-7</v>
      </c>
      <c r="AC86" s="22">
        <f t="shared" si="57"/>
        <v>30.773202863981638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0</v>
      </c>
      <c r="AO86" s="59">
        <f t="shared" si="90"/>
        <v>0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-8.5265128291212022E-14</v>
      </c>
      <c r="BE86" s="13">
        <f>BD86*VLOOKUP('Données projet'!$B$11,Paramètres!$A$1:$I$89,3,0)*VLOOKUP('Données projet'!$B$11,Paramètres!$A$1:$I$89,5,0)</f>
        <v>-6.9167072069831198E-14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175.73034516698141</v>
      </c>
      <c r="BJ86" s="59">
        <f t="shared" si="92"/>
        <v>203.59461632821052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1.279315930596846</v>
      </c>
      <c r="BR86" s="21">
        <f>EXP(-LN(2)/2)*BR85+(1-EXP(-LN(2)/2))/(LN(2)/2)*BL86*BO86*VLOOKUP('Données projet'!$B$11,Paramètres!$A$1:$I$89,3,0)*0.475*44/12</f>
        <v>8.6002293235365861E-8</v>
      </c>
      <c r="BS86" s="22">
        <f t="shared" si="63"/>
        <v>1.2793160165991393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5.6</v>
      </c>
      <c r="BY86" s="12">
        <f>IF('Données projet'!$A$114&gt;35,BY85+BX86-CG85,IF(A86&lt;'Données projet'!$A$114,$BV$205^A86,IF(A86='Données projet'!$A$114,'Données projet'!$B$114,BY85+BX86-CG85)))</f>
        <v>256.8000000000003</v>
      </c>
      <c r="BZ86" s="13">
        <f>BY86*VLOOKUP('Données projet'!$B$12,Paramètres!$A$1:$I$89,3,0)*VLOOKUP('Données projet'!$B$12,Paramètres!$A$1:$I$89,5,0)</f>
        <v>216.32832000000028</v>
      </c>
      <c r="CA86" s="13">
        <f t="shared" si="93"/>
        <v>53.316084217295248</v>
      </c>
      <c r="CB86" s="20">
        <f t="shared" si="64"/>
        <v>469.63067067845628</v>
      </c>
      <c r="CC86" s="59">
        <f t="shared" si="65"/>
        <v>762.9640040117896</v>
      </c>
      <c r="CD86" s="59">
        <f ca="1">AVERAGE(OFFSET($CC$3,0,0,'Données projet'!$E$12+1,1))-AVERAGE(OFFSET($H$3,0,0,'Données projet'!$E$12+1,1))</f>
        <v>258.28817640749349</v>
      </c>
      <c r="CE86" s="59">
        <f t="shared" si="94"/>
        <v>158.16416492761954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14.089110607979583</v>
      </c>
      <c r="CL86" s="21">
        <f>EXP(-LN(2)/25)*CL85+(1-EXP(-LN(2)/25))/(LN(2)/25)*Calculateur!CG86*Calculateur!CI86*VLOOKUP('Données projet'!$B$12,Paramètres!$A$1:$I$89,3,0)*0.475*44/12</f>
        <v>28.937658132852693</v>
      </c>
      <c r="CM86" s="21">
        <f>EXP(-LN(2)/2)*CM85+(1-EXP(-LN(2)/2))/(LN(2)/2)*CG86*CJ86*VLOOKUP('Données projet'!$B$12,Paramètres!$A$1:$I$89,3,0)*0.475*44/12</f>
        <v>1.8572098535208536E-4</v>
      </c>
      <c r="CN86" s="22">
        <f t="shared" si="66"/>
        <v>43.026954461817624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1.1368683772161603E-13</v>
      </c>
      <c r="O87" s="13">
        <f>N87*VLOOKUP('Données projet'!$B$9,Paramètres!$A$1:$I$89,3,0)*VLOOKUP('Données projet'!$B$9,Paramètres!$A$1:$I$89,5,0)</f>
        <v>6.7984728957526396E-14</v>
      </c>
      <c r="P87" s="13">
        <f t="shared" si="87"/>
        <v>1.0682447123141398E-12</v>
      </c>
      <c r="Q87" s="20">
        <f t="shared" si="54"/>
        <v>1.978932943548152E-12</v>
      </c>
      <c r="R87" s="59">
        <f t="shared" si="55"/>
        <v>293.3333333333353</v>
      </c>
      <c r="S87" s="59">
        <f ca="1">AVERAGE(OFFSET($R$3,0,0,'Données projet'!$E$9+1,1))-AVERAGE(OFFSET($H$3,0,0,'Données projet'!$E$9+1,1))</f>
        <v>149.5086927376081</v>
      </c>
      <c r="T87" s="59">
        <f t="shared" si="88"/>
        <v>364.59164590134498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20.68555369845491</v>
      </c>
      <c r="AA87" s="21">
        <f>EXP(-LN(2)/25)*AA86+(1-EXP(-LN(2)/25))/(LN(2)/25)*Calculateur!V87*Calculateur!X87*VLOOKUP('Données projet'!$B$9,Paramètres!$A$1:$I$89,3,0)*0.475*44/12</f>
        <v>9.4093708178887585</v>
      </c>
      <c r="AB87" s="21">
        <f>EXP(-LN(2)/2)*AB86+(1-EXP(-LN(2)/2))/(LN(2)/2)*V87*Y87*VLOOKUP('Données projet'!$B$9,Paramètres!$A$1:$I$89,3,0)*0.475*44/12</f>
        <v>3.9724089013443395E-7</v>
      </c>
      <c r="AC87" s="22">
        <f t="shared" si="57"/>
        <v>30.094924913584556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0</v>
      </c>
      <c r="AO87" s="59">
        <f t="shared" si="90"/>
        <v>0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-8.5265128291212022E-14</v>
      </c>
      <c r="BE87" s="13">
        <f>BD87*VLOOKUP('Données projet'!$B$11,Paramètres!$A$1:$I$89,3,0)*VLOOKUP('Données projet'!$B$11,Paramètres!$A$1:$I$89,5,0)</f>
        <v>-6.9167072069831198E-14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175.73034516698141</v>
      </c>
      <c r="BJ87" s="59">
        <f t="shared" si="92"/>
        <v>203.59461632821052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1.2443329691983744</v>
      </c>
      <c r="BR87" s="21">
        <f>EXP(-LN(2)/2)*BR86+(1-EXP(-LN(2)/2))/(LN(2)/2)*BL87*BO87*VLOOKUP('Données projet'!$B$11,Paramètres!$A$1:$I$89,3,0)*0.475*44/12</f>
        <v>6.0812804744321144E-8</v>
      </c>
      <c r="BS87" s="22">
        <f t="shared" si="63"/>
        <v>1.2443330300111792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5.6</v>
      </c>
      <c r="BY87" s="12">
        <f>IF('Données projet'!$A$114&gt;35,BY86+BX87-CG86,IF(A87&lt;'Données projet'!$A$114,$BV$205^A87,IF(A87='Données projet'!$A$114,'Données projet'!$B$114,BY86+BX87-CG86)))</f>
        <v>262.40000000000032</v>
      </c>
      <c r="BZ87" s="13">
        <f>BY87*VLOOKUP('Données projet'!$B$12,Paramètres!$A$1:$I$89,3,0)*VLOOKUP('Données projet'!$B$12,Paramètres!$A$1:$I$89,5,0)</f>
        <v>221.04576000000026</v>
      </c>
      <c r="CA87" s="13">
        <f t="shared" si="93"/>
        <v>54.3421137204191</v>
      </c>
      <c r="CB87" s="20">
        <f t="shared" si="64"/>
        <v>479.63388006306371</v>
      </c>
      <c r="CC87" s="59">
        <f t="shared" si="65"/>
        <v>772.96721339639703</v>
      </c>
      <c r="CD87" s="59">
        <f ca="1">AVERAGE(OFFSET($CC$3,0,0,'Données projet'!$E$12+1,1))-AVERAGE(OFFSET($H$3,0,0,'Données projet'!$E$12+1,1))</f>
        <v>258.28817640749349</v>
      </c>
      <c r="CE87" s="59">
        <f t="shared" si="94"/>
        <v>158.16416492761954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13.812831742466036</v>
      </c>
      <c r="CL87" s="21">
        <f>EXP(-LN(2)/25)*CL86+(1-EXP(-LN(2)/25))/(LN(2)/25)*Calculateur!CG87*Calculateur!CI87*VLOOKUP('Données projet'!$B$12,Paramètres!$A$1:$I$89,3,0)*0.475*44/12</f>
        <v>28.146356349444535</v>
      </c>
      <c r="CM87" s="21">
        <f>EXP(-LN(2)/2)*CM86+(1-EXP(-LN(2)/2))/(LN(2)/2)*CG87*CJ87*VLOOKUP('Données projet'!$B$12,Paramètres!$A$1:$I$89,3,0)*0.475*44/12</f>
        <v>1.3132456815110702E-4</v>
      </c>
      <c r="CN87" s="22">
        <f t="shared" si="66"/>
        <v>41.959319416478721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1.1368683772161603E-13</v>
      </c>
      <c r="O88" s="13">
        <f>N88*VLOOKUP('Données projet'!$B$9,Paramètres!$A$1:$I$89,3,0)*VLOOKUP('Données projet'!$B$9,Paramètres!$A$1:$I$89,5,0)</f>
        <v>6.7984728957526396E-14</v>
      </c>
      <c r="P88" s="13">
        <f t="shared" si="87"/>
        <v>1.0682447123141398E-12</v>
      </c>
      <c r="Q88" s="20">
        <f t="shared" si="54"/>
        <v>1.978932943548152E-12</v>
      </c>
      <c r="R88" s="59">
        <f t="shared" si="55"/>
        <v>293.3333333333353</v>
      </c>
      <c r="S88" s="59">
        <f ca="1">AVERAGE(OFFSET($R$3,0,0,'Données projet'!$E$9+1,1))-AVERAGE(OFFSET($H$3,0,0,'Données projet'!$E$9+1,1))</f>
        <v>149.5086927376081</v>
      </c>
      <c r="T88" s="59">
        <f t="shared" si="88"/>
        <v>364.59164590134498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20.279922607370146</v>
      </c>
      <c r="AA88" s="21">
        <f>EXP(-LN(2)/25)*AA87+(1-EXP(-LN(2)/25))/(LN(2)/25)*Calculateur!V88*Calculateur!X88*VLOOKUP('Données projet'!$B$9,Paramètres!$A$1:$I$89,3,0)*0.475*44/12</f>
        <v>9.1520710780562844</v>
      </c>
      <c r="AB88" s="21">
        <f>EXP(-LN(2)/2)*AB87+(1-EXP(-LN(2)/2))/(LN(2)/2)*V88*Y88*VLOOKUP('Données projet'!$B$9,Paramètres!$A$1:$I$89,3,0)*0.475*44/12</f>
        <v>2.8089172717863855E-7</v>
      </c>
      <c r="AC88" s="22">
        <f t="shared" si="57"/>
        <v>29.431993966318156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0</v>
      </c>
      <c r="AO88" s="59">
        <f t="shared" si="90"/>
        <v>0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-8.5265128291212022E-14</v>
      </c>
      <c r="BE88" s="13">
        <f>BD88*VLOOKUP('Données projet'!$B$11,Paramètres!$A$1:$I$89,3,0)*VLOOKUP('Données projet'!$B$11,Paramètres!$A$1:$I$89,5,0)</f>
        <v>-6.9167072069831198E-14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175.73034516698141</v>
      </c>
      <c r="BJ88" s="59">
        <f t="shared" si="92"/>
        <v>203.59461632821052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1.2103066187190179</v>
      </c>
      <c r="BR88" s="21">
        <f>EXP(-LN(2)/2)*BR87+(1-EXP(-LN(2)/2))/(LN(2)/2)*BL88*BO88*VLOOKUP('Données projet'!$B$11,Paramètres!$A$1:$I$89,3,0)*0.475*44/12</f>
        <v>4.3001146617682931E-8</v>
      </c>
      <c r="BS88" s="22">
        <f t="shared" si="63"/>
        <v>1.2103066617201645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5.6</v>
      </c>
      <c r="BY88" s="12">
        <f>IF('Données projet'!$A$114&gt;35,BY87+BX88-CG87,IF(A88&lt;'Données projet'!$A$114,$BV$205^A88,IF(A88='Données projet'!$A$114,'Données projet'!$B$114,BY87+BX88-CG87)))</f>
        <v>268.00000000000034</v>
      </c>
      <c r="BZ88" s="13">
        <f>BY88*VLOOKUP('Données projet'!$B$12,Paramètres!$A$1:$I$89,3,0)*VLOOKUP('Données projet'!$B$12,Paramètres!$A$1:$I$89,5,0)</f>
        <v>225.76320000000032</v>
      </c>
      <c r="CA88" s="13">
        <f t="shared" si="93"/>
        <v>55.365597375021501</v>
      </c>
      <c r="CB88" s="20">
        <f t="shared" si="64"/>
        <v>489.63265542816293</v>
      </c>
      <c r="CC88" s="59">
        <f t="shared" si="65"/>
        <v>782.96598876149619</v>
      </c>
      <c r="CD88" s="59">
        <f ca="1">AVERAGE(OFFSET($CC$3,0,0,'Données projet'!$E$12+1,1))-AVERAGE(OFFSET($H$3,0,0,'Données projet'!$E$12+1,1))</f>
        <v>258.28817640749349</v>
      </c>
      <c r="CE88" s="59">
        <f t="shared" si="94"/>
        <v>158.16416492761954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13.541970536991741</v>
      </c>
      <c r="CL88" s="21">
        <f>EXP(-LN(2)/25)*CL87+(1-EXP(-LN(2)/25))/(LN(2)/25)*Calculateur!CG88*Calculateur!CI88*VLOOKUP('Données projet'!$B$12,Paramètres!$A$1:$I$89,3,0)*0.475*44/12</f>
        <v>27.376692754916423</v>
      </c>
      <c r="CM88" s="21">
        <f>EXP(-LN(2)/2)*CM87+(1-EXP(-LN(2)/2))/(LN(2)/2)*CG88*CJ88*VLOOKUP('Données projet'!$B$12,Paramètres!$A$1:$I$89,3,0)*0.475*44/12</f>
        <v>9.2860492676042678E-5</v>
      </c>
      <c r="CN88" s="22">
        <f t="shared" si="66"/>
        <v>40.918756152400839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1.1368683772161603E-13</v>
      </c>
      <c r="O89" s="13">
        <f>N89*VLOOKUP('Données projet'!$B$9,Paramètres!$A$1:$I$89,3,0)*VLOOKUP('Données projet'!$B$9,Paramètres!$A$1:$I$89,5,0)</f>
        <v>6.7984728957526396E-14</v>
      </c>
      <c r="P89" s="13">
        <f t="shared" si="87"/>
        <v>1.0682447123141398E-12</v>
      </c>
      <c r="Q89" s="20">
        <f t="shared" si="54"/>
        <v>1.978932943548152E-12</v>
      </c>
      <c r="R89" s="59">
        <f t="shared" si="55"/>
        <v>293.3333333333353</v>
      </c>
      <c r="S89" s="59">
        <f ca="1">AVERAGE(OFFSET($R$3,0,0,'Données projet'!$E$9+1,1))-AVERAGE(OFFSET($H$3,0,0,'Données projet'!$E$9+1,1))</f>
        <v>149.5086927376081</v>
      </c>
      <c r="T89" s="59">
        <f t="shared" si="88"/>
        <v>364.59164590134498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19.882245694571019</v>
      </c>
      <c r="AA89" s="21">
        <f>EXP(-LN(2)/25)*AA88+(1-EXP(-LN(2)/25))/(LN(2)/25)*Calculateur!V89*Calculateur!X89*VLOOKUP('Données projet'!$B$9,Paramètres!$A$1:$I$89,3,0)*0.475*44/12</f>
        <v>8.9018072131403354</v>
      </c>
      <c r="AB89" s="21">
        <f>EXP(-LN(2)/2)*AB88+(1-EXP(-LN(2)/2))/(LN(2)/2)*V89*Y89*VLOOKUP('Données projet'!$B$9,Paramètres!$A$1:$I$89,3,0)*0.475*44/12</f>
        <v>1.9862044506721698E-7</v>
      </c>
      <c r="AC89" s="22">
        <f t="shared" si="57"/>
        <v>28.7840531063318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0</v>
      </c>
      <c r="AO89" s="59">
        <f t="shared" si="90"/>
        <v>0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-8.5265128291212022E-14</v>
      </c>
      <c r="BE89" s="13">
        <f>BD89*VLOOKUP('Données projet'!$B$11,Paramètres!$A$1:$I$89,3,0)*VLOOKUP('Données projet'!$B$11,Paramètres!$A$1:$I$89,5,0)</f>
        <v>-6.9167072069831198E-14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175.73034516698141</v>
      </c>
      <c r="BJ89" s="59">
        <f t="shared" si="92"/>
        <v>203.59461632821052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1.1772107205828874</v>
      </c>
      <c r="BR89" s="21">
        <f>EXP(-LN(2)/2)*BR88+(1-EXP(-LN(2)/2))/(LN(2)/2)*BL89*BO89*VLOOKUP('Données projet'!$B$11,Paramètres!$A$1:$I$89,3,0)*0.475*44/12</f>
        <v>3.0406402372160572E-8</v>
      </c>
      <c r="BS89" s="22">
        <f t="shared" si="63"/>
        <v>1.1772107509892897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5.6</v>
      </c>
      <c r="BY89" s="12">
        <f>IF('Données projet'!$A$114&gt;35,BY88+BX89-CG88,IF(A89&lt;'Données projet'!$A$114,$BV$205^A89,IF(A89='Données projet'!$A$114,'Données projet'!$B$114,BY88+BX89-CG88)))</f>
        <v>273.60000000000036</v>
      </c>
      <c r="BZ89" s="13">
        <f>BY89*VLOOKUP('Données projet'!$B$12,Paramètres!$A$1:$I$89,3,0)*VLOOKUP('Données projet'!$B$12,Paramètres!$A$1:$I$89,5,0)</f>
        <v>230.48064000000031</v>
      </c>
      <c r="CA89" s="13">
        <f t="shared" si="93"/>
        <v>56.386594506599842</v>
      </c>
      <c r="CB89" s="20">
        <f t="shared" si="64"/>
        <v>499.62710009899524</v>
      </c>
      <c r="CC89" s="59">
        <f t="shared" si="65"/>
        <v>792.9604334323285</v>
      </c>
      <c r="CD89" s="59">
        <f ca="1">AVERAGE(OFFSET($CC$3,0,0,'Données projet'!$E$12+1,1))-AVERAGE(OFFSET($H$3,0,0,'Données projet'!$E$12+1,1))</f>
        <v>258.28817640749349</v>
      </c>
      <c r="CE89" s="59">
        <f t="shared" si="94"/>
        <v>158.16416492761954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13.276420754547773</v>
      </c>
      <c r="CL89" s="21">
        <f>EXP(-LN(2)/25)*CL88+(1-EXP(-LN(2)/25))/(LN(2)/25)*Calculateur!CG89*Calculateur!CI89*VLOOKUP('Données projet'!$B$12,Paramètres!$A$1:$I$89,3,0)*0.475*44/12</f>
        <v>26.628075651855532</v>
      </c>
      <c r="CM89" s="21">
        <f>EXP(-LN(2)/2)*CM88+(1-EXP(-LN(2)/2))/(LN(2)/2)*CG89*CJ89*VLOOKUP('Données projet'!$B$12,Paramètres!$A$1:$I$89,3,0)*0.475*44/12</f>
        <v>6.5662284075553509E-5</v>
      </c>
      <c r="CN89" s="22">
        <f t="shared" si="66"/>
        <v>39.904562068687376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1.1368683772161603E-13</v>
      </c>
      <c r="O90" s="13">
        <f>N90*VLOOKUP('Données projet'!$B$9,Paramètres!$A$1:$I$89,3,0)*VLOOKUP('Données projet'!$B$9,Paramètres!$A$1:$I$89,5,0)</f>
        <v>6.7984728957526396E-14</v>
      </c>
      <c r="P90" s="13">
        <f t="shared" si="87"/>
        <v>1.0682447123141398E-12</v>
      </c>
      <c r="Q90" s="20">
        <f t="shared" si="54"/>
        <v>1.978932943548152E-12</v>
      </c>
      <c r="R90" s="59">
        <f t="shared" si="55"/>
        <v>293.3333333333353</v>
      </c>
      <c r="S90" s="59">
        <f ca="1">AVERAGE(OFFSET($R$3,0,0,'Données projet'!$E$9+1,1))-AVERAGE(OFFSET($H$3,0,0,'Données projet'!$E$9+1,1))</f>
        <v>149.5086927376081</v>
      </c>
      <c r="T90" s="59">
        <f t="shared" si="88"/>
        <v>364.59164590134498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19.492366983472916</v>
      </c>
      <c r="AA90" s="21">
        <f>EXP(-LN(2)/25)*AA89+(1-EXP(-LN(2)/25))/(LN(2)/25)*Calculateur!V90*Calculateur!X90*VLOOKUP('Données projet'!$B$9,Paramètres!$A$1:$I$89,3,0)*0.475*44/12</f>
        <v>8.6583868267713164</v>
      </c>
      <c r="AB90" s="21">
        <f>EXP(-LN(2)/2)*AB89+(1-EXP(-LN(2)/2))/(LN(2)/2)*V90*Y90*VLOOKUP('Données projet'!$B$9,Paramètres!$A$1:$I$89,3,0)*0.475*44/12</f>
        <v>1.4044586358931927E-7</v>
      </c>
      <c r="AC90" s="22">
        <f t="shared" si="57"/>
        <v>28.150753950690095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0</v>
      </c>
      <c r="AO90" s="59">
        <f t="shared" si="90"/>
        <v>0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-8.5265128291212022E-14</v>
      </c>
      <c r="BE90" s="13">
        <f>BD90*VLOOKUP('Données projet'!$B$11,Paramètres!$A$1:$I$89,3,0)*VLOOKUP('Données projet'!$B$11,Paramètres!$A$1:$I$89,5,0)</f>
        <v>-6.9167072069831198E-14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175.73034516698141</v>
      </c>
      <c r="BJ90" s="59">
        <f t="shared" si="92"/>
        <v>203.59461632821052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1.145019831521727</v>
      </c>
      <c r="BR90" s="21">
        <f>EXP(-LN(2)/2)*BR89+(1-EXP(-LN(2)/2))/(LN(2)/2)*BL90*BO90*VLOOKUP('Données projet'!$B$11,Paramètres!$A$1:$I$89,3,0)*0.475*44/12</f>
        <v>2.1500573308841465E-8</v>
      </c>
      <c r="BS90" s="22">
        <f t="shared" si="63"/>
        <v>1.1450198530223004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5.6</v>
      </c>
      <c r="BY90" s="12">
        <f>IF('Données projet'!$A$114&gt;35,BY89+BX90-CG89,IF(A90&lt;'Données projet'!$A$114,$BV$205^A90,IF(A90='Données projet'!$A$114,'Données projet'!$B$114,BY89+BX90-CG89)))</f>
        <v>279.20000000000039</v>
      </c>
      <c r="BZ90" s="13">
        <f>BY90*VLOOKUP('Données projet'!$B$12,Paramètres!$A$1:$I$89,3,0)*VLOOKUP('Données projet'!$B$12,Paramètres!$A$1:$I$89,5,0)</f>
        <v>235.19808000000037</v>
      </c>
      <c r="CA90" s="13">
        <f t="shared" si="93"/>
        <v>57.405161873303257</v>
      </c>
      <c r="CB90" s="20">
        <f t="shared" si="64"/>
        <v>509.61731292933717</v>
      </c>
      <c r="CC90" s="59">
        <f t="shared" si="65"/>
        <v>802.95064626267049</v>
      </c>
      <c r="CD90" s="59">
        <f ca="1">AVERAGE(OFFSET($CC$3,0,0,'Données projet'!$E$12+1,1))-AVERAGE(OFFSET($H$3,0,0,'Données projet'!$E$12+1,1))</f>
        <v>258.28817640749349</v>
      </c>
      <c r="CE90" s="59">
        <f t="shared" si="94"/>
        <v>158.16416492761954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13.016078241368159</v>
      </c>
      <c r="CL90" s="21">
        <f>EXP(-LN(2)/25)*CL89+(1-EXP(-LN(2)/25))/(LN(2)/25)*Calculateur!CG90*Calculateur!CI90*VLOOKUP('Données projet'!$B$12,Paramètres!$A$1:$I$89,3,0)*0.475*44/12</f>
        <v>25.899929522845902</v>
      </c>
      <c r="CM90" s="21">
        <f>EXP(-LN(2)/2)*CM89+(1-EXP(-LN(2)/2))/(LN(2)/2)*CG90*CJ90*VLOOKUP('Données projet'!$B$12,Paramètres!$A$1:$I$89,3,0)*0.475*44/12</f>
        <v>4.6430246338021339E-5</v>
      </c>
      <c r="CN90" s="22">
        <f t="shared" si="66"/>
        <v>38.916054194460393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1.1368683772161603E-13</v>
      </c>
      <c r="O91" s="13">
        <f>N91*VLOOKUP('Données projet'!$B$9,Paramètres!$A$1:$I$89,3,0)*VLOOKUP('Données projet'!$B$9,Paramètres!$A$1:$I$89,5,0)</f>
        <v>6.7984728957526396E-14</v>
      </c>
      <c r="P91" s="13">
        <f t="shared" si="87"/>
        <v>1.0682447123141398E-12</v>
      </c>
      <c r="Q91" s="20">
        <f t="shared" si="54"/>
        <v>1.978932943548152E-12</v>
      </c>
      <c r="R91" s="59">
        <f t="shared" si="55"/>
        <v>293.3333333333353</v>
      </c>
      <c r="S91" s="59">
        <f ca="1">AVERAGE(OFFSET($R$3,0,0,'Données projet'!$E$9+1,1))-AVERAGE(OFFSET($H$3,0,0,'Données projet'!$E$9+1,1))</f>
        <v>149.5086927376081</v>
      </c>
      <c r="T91" s="59">
        <f t="shared" si="88"/>
        <v>364.59164590134498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19.110133556096915</v>
      </c>
      <c r="AA91" s="21">
        <f>EXP(-LN(2)/25)*AA90+(1-EXP(-LN(2)/25))/(LN(2)/25)*Calculateur!V91*Calculateur!X91*VLOOKUP('Données projet'!$B$9,Paramètres!$A$1:$I$89,3,0)*0.475*44/12</f>
        <v>8.4216227836684805</v>
      </c>
      <c r="AB91" s="21">
        <f>EXP(-LN(2)/2)*AB90+(1-EXP(-LN(2)/2))/(LN(2)/2)*V91*Y91*VLOOKUP('Données projet'!$B$9,Paramètres!$A$1:$I$89,3,0)*0.475*44/12</f>
        <v>9.9310222533608488E-8</v>
      </c>
      <c r="AC91" s="22">
        <f t="shared" si="57"/>
        <v>27.531756439075618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0</v>
      </c>
      <c r="AO91" s="59">
        <f t="shared" si="90"/>
        <v>0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-8.5265128291212022E-14</v>
      </c>
      <c r="BE91" s="13">
        <f>BD91*VLOOKUP('Données projet'!$B$11,Paramètres!$A$1:$I$89,3,0)*VLOOKUP('Données projet'!$B$11,Paramètres!$A$1:$I$89,5,0)</f>
        <v>-6.9167072069831198E-14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175.73034516698141</v>
      </c>
      <c r="BJ91" s="59">
        <f t="shared" si="92"/>
        <v>203.59461632821052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1.1137092040147893</v>
      </c>
      <c r="BR91" s="21">
        <f>EXP(-LN(2)/2)*BR90+(1-EXP(-LN(2)/2))/(LN(2)/2)*BL91*BO91*VLOOKUP('Données projet'!$B$11,Paramètres!$A$1:$I$89,3,0)*0.475*44/12</f>
        <v>1.5203201186080286E-8</v>
      </c>
      <c r="BS91" s="22">
        <f t="shared" si="63"/>
        <v>1.1137092192179905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5.6</v>
      </c>
      <c r="BY91" s="12">
        <f>IF('Données projet'!$A$114&gt;35,BY90+BX91-CG90,IF(A91&lt;'Données projet'!$A$114,$BV$205^A91,IF(A91='Données projet'!$A$114,'Données projet'!$B$114,BY90+BX91-CG90)))</f>
        <v>284.80000000000041</v>
      </c>
      <c r="BZ91" s="13">
        <f>BY91*VLOOKUP('Données projet'!$B$12,Paramètres!$A$1:$I$89,3,0)*VLOOKUP('Données projet'!$B$12,Paramètres!$A$1:$I$89,5,0)</f>
        <v>239.91552000000036</v>
      </c>
      <c r="CA91" s="13">
        <f t="shared" si="93"/>
        <v>58.421353826263996</v>
      </c>
      <c r="CB91" s="20">
        <f t="shared" si="64"/>
        <v>519.60338858074385</v>
      </c>
      <c r="CC91" s="59">
        <f t="shared" si="65"/>
        <v>812.93672191407722</v>
      </c>
      <c r="CD91" s="59">
        <f ca="1">AVERAGE(OFFSET($CC$3,0,0,'Données projet'!$E$12+1,1))-AVERAGE(OFFSET($H$3,0,0,'Données projet'!$E$12+1,1))</f>
        <v>258.28817640749349</v>
      </c>
      <c r="CE91" s="59">
        <f t="shared" si="94"/>
        <v>158.16416492761954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12.760840886078743</v>
      </c>
      <c r="CL91" s="21">
        <f>EXP(-LN(2)/25)*CL90+(1-EXP(-LN(2)/25))/(LN(2)/25)*Calculateur!CG91*Calculateur!CI91*VLOOKUP('Données projet'!$B$12,Paramètres!$A$1:$I$89,3,0)*0.475*44/12</f>
        <v>25.191694588025584</v>
      </c>
      <c r="CM91" s="21">
        <f>EXP(-LN(2)/2)*CM90+(1-EXP(-LN(2)/2))/(LN(2)/2)*CG91*CJ91*VLOOKUP('Données projet'!$B$12,Paramètres!$A$1:$I$89,3,0)*0.475*44/12</f>
        <v>3.2831142037776754E-5</v>
      </c>
      <c r="CN91" s="22">
        <f t="shared" si="66"/>
        <v>37.952568305246359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1.1368683772161603E-13</v>
      </c>
      <c r="O92" s="13">
        <f>N92*VLOOKUP('Données projet'!$B$9,Paramètres!$A$1:$I$89,3,0)*VLOOKUP('Données projet'!$B$9,Paramètres!$A$1:$I$89,5,0)</f>
        <v>6.7984728957526396E-14</v>
      </c>
      <c r="P92" s="13">
        <f t="shared" si="87"/>
        <v>1.0682447123141398E-12</v>
      </c>
      <c r="Q92" s="20">
        <f t="shared" si="54"/>
        <v>1.978932943548152E-12</v>
      </c>
      <c r="R92" s="59">
        <f t="shared" si="55"/>
        <v>293.3333333333353</v>
      </c>
      <c r="S92" s="59">
        <f ca="1">AVERAGE(OFFSET($R$3,0,0,'Données projet'!$E$9+1,1))-AVERAGE(OFFSET($H$3,0,0,'Données projet'!$E$9+1,1))</f>
        <v>149.5086927376081</v>
      </c>
      <c r="T92" s="59">
        <f t="shared" si="88"/>
        <v>364.59164590134498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18.735395493092387</v>
      </c>
      <c r="AA92" s="21">
        <f>EXP(-LN(2)/25)*AA91+(1-EXP(-LN(2)/25))/(LN(2)/25)*Calculateur!V92*Calculateur!X92*VLOOKUP('Données projet'!$B$9,Paramètres!$A$1:$I$89,3,0)*0.475*44/12</f>
        <v>8.1913330657751722</v>
      </c>
      <c r="AB92" s="21">
        <f>EXP(-LN(2)/2)*AB91+(1-EXP(-LN(2)/2))/(LN(2)/2)*V92*Y92*VLOOKUP('Données projet'!$B$9,Paramètres!$A$1:$I$89,3,0)*0.475*44/12</f>
        <v>7.0222931794659637E-8</v>
      </c>
      <c r="AC92" s="22">
        <f t="shared" si="57"/>
        <v>26.926728629090491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0</v>
      </c>
      <c r="AO92" s="59">
        <f t="shared" si="90"/>
        <v>0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-8.5265128291212022E-14</v>
      </c>
      <c r="BE92" s="13">
        <f>BD92*VLOOKUP('Données projet'!$B$11,Paramètres!$A$1:$I$89,3,0)*VLOOKUP('Données projet'!$B$11,Paramètres!$A$1:$I$89,5,0)</f>
        <v>-6.9167072069831198E-14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175.73034516698141</v>
      </c>
      <c r="BJ92" s="59">
        <f t="shared" si="92"/>
        <v>203.59461632821052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1.0832547672635833</v>
      </c>
      <c r="BR92" s="21">
        <f>EXP(-LN(2)/2)*BR91+(1-EXP(-LN(2)/2))/(LN(2)/2)*BL92*BO92*VLOOKUP('Données projet'!$B$11,Paramètres!$A$1:$I$89,3,0)*0.475*44/12</f>
        <v>1.0750286654420733E-8</v>
      </c>
      <c r="BS92" s="22">
        <f t="shared" si="63"/>
        <v>1.0832547780138699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5.6</v>
      </c>
      <c r="BY92" s="12">
        <f>IF('Données projet'!$A$114&gt;35,BY91+BX92-CG91,IF(A92&lt;'Données projet'!$A$114,$BV$205^A92,IF(A92='Données projet'!$A$114,'Données projet'!$B$114,BY91+BX92-CG91)))</f>
        <v>290.40000000000043</v>
      </c>
      <c r="BZ92" s="13">
        <f>BY92*VLOOKUP('Données projet'!$B$12,Paramètres!$A$1:$I$89,3,0)*VLOOKUP('Données projet'!$B$12,Paramètres!$A$1:$I$89,5,0)</f>
        <v>244.63296000000037</v>
      </c>
      <c r="CA92" s="13">
        <f t="shared" si="93"/>
        <v>59.435222456963338</v>
      </c>
      <c r="CB92" s="20">
        <f t="shared" si="64"/>
        <v>529.58541777921175</v>
      </c>
      <c r="CC92" s="59">
        <f t="shared" si="65"/>
        <v>822.91875111254512</v>
      </c>
      <c r="CD92" s="59">
        <f ca="1">AVERAGE(OFFSET($CC$3,0,0,'Données projet'!$E$12+1,1))-AVERAGE(OFFSET($H$3,0,0,'Données projet'!$E$12+1,1))</f>
        <v>258.28817640749349</v>
      </c>
      <c r="CE92" s="59">
        <f t="shared" si="94"/>
        <v>158.16416492761954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12.510608579647137</v>
      </c>
      <c r="CL92" s="21">
        <f>EXP(-LN(2)/25)*CL91+(1-EXP(-LN(2)/25))/(LN(2)/25)*Calculateur!CG92*Calculateur!CI92*VLOOKUP('Données projet'!$B$12,Paramètres!$A$1:$I$89,3,0)*0.475*44/12</f>
        <v>24.502826374742384</v>
      </c>
      <c r="CM92" s="21">
        <f>EXP(-LN(2)/2)*CM91+(1-EXP(-LN(2)/2))/(LN(2)/2)*CG92*CJ92*VLOOKUP('Données projet'!$B$12,Paramètres!$A$1:$I$89,3,0)*0.475*44/12</f>
        <v>2.321512316901067E-5</v>
      </c>
      <c r="CN92" s="22">
        <f t="shared" si="66"/>
        <v>37.013458169512695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1.1368683772161603E-13</v>
      </c>
      <c r="O93" s="13">
        <f>N93*VLOOKUP('Données projet'!$B$9,Paramètres!$A$1:$I$89,3,0)*VLOOKUP('Données projet'!$B$9,Paramètres!$A$1:$I$89,5,0)</f>
        <v>6.7984728957526396E-14</v>
      </c>
      <c r="P93" s="13">
        <f t="shared" si="87"/>
        <v>1.0682447123141398E-12</v>
      </c>
      <c r="Q93" s="20">
        <f t="shared" si="54"/>
        <v>1.978932943548152E-12</v>
      </c>
      <c r="R93" s="59">
        <f t="shared" si="55"/>
        <v>293.3333333333353</v>
      </c>
      <c r="S93" s="59">
        <f ca="1">AVERAGE(OFFSET($R$3,0,0,'Données projet'!$E$9+1,1))-AVERAGE(OFFSET($H$3,0,0,'Données projet'!$E$9+1,1))</f>
        <v>149.5086927376081</v>
      </c>
      <c r="T93" s="59">
        <f t="shared" si="88"/>
        <v>364.59164590134498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18.368005814935728</v>
      </c>
      <c r="AA93" s="21">
        <f>EXP(-LN(2)/25)*AA92+(1-EXP(-LN(2)/25))/(LN(2)/25)*Calculateur!V93*Calculateur!X93*VLOOKUP('Données projet'!$B$9,Paramètres!$A$1:$I$89,3,0)*0.475*44/12</f>
        <v>7.9673406323280656</v>
      </c>
      <c r="AB93" s="21">
        <f>EXP(-LN(2)/2)*AB92+(1-EXP(-LN(2)/2))/(LN(2)/2)*V93*Y93*VLOOKUP('Données projet'!$B$9,Paramètres!$A$1:$I$89,3,0)*0.475*44/12</f>
        <v>4.9655111266804244E-8</v>
      </c>
      <c r="AC93" s="22">
        <f t="shared" si="57"/>
        <v>26.335346496918906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0</v>
      </c>
      <c r="AO93" s="59">
        <f t="shared" si="90"/>
        <v>0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-8.5265128291212022E-14</v>
      </c>
      <c r="BE93" s="13">
        <f>BD93*VLOOKUP('Données projet'!$B$11,Paramètres!$A$1:$I$89,3,0)*VLOOKUP('Données projet'!$B$11,Paramètres!$A$1:$I$89,5,0)</f>
        <v>-6.9167072069831198E-14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175.73034516698141</v>
      </c>
      <c r="BJ93" s="59">
        <f t="shared" si="92"/>
        <v>203.59461632821052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1.0536331086868682</v>
      </c>
      <c r="BR93" s="21">
        <f>EXP(-LN(2)/2)*BR92+(1-EXP(-LN(2)/2))/(LN(2)/2)*BL93*BO93*VLOOKUP('Données projet'!$B$11,Paramètres!$A$1:$I$89,3,0)*0.475*44/12</f>
        <v>7.6016005930401429E-9</v>
      </c>
      <c r="BS93" s="22">
        <f t="shared" si="63"/>
        <v>1.0536331162884689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296</v>
      </c>
      <c r="BW93" s="12">
        <f>VLOOKUP(A93,'Données projet'!$A$113:$I$133,9,0)</f>
        <v>5.6</v>
      </c>
      <c r="BX93" s="12">
        <f t="array" ref="BX93">INDEX(BW:BW,MIN(IF(ISNUMBER(BW93:BW289),ROW(BW93:BW289),"")))</f>
        <v>5.6</v>
      </c>
      <c r="BY93" s="12">
        <f>IF('Données projet'!$A$114&gt;35,BY92+BX93-CG92,IF(A93&lt;'Données projet'!$A$114,$BV$205^A93,IF(A93='Données projet'!$A$114,'Données projet'!$B$114,BY92+BX93-CG92)))</f>
        <v>296.00000000000045</v>
      </c>
      <c r="BZ93" s="13">
        <f>BY93*VLOOKUP('Données projet'!$B$12,Paramètres!$A$1:$I$89,3,0)*VLOOKUP('Données projet'!$B$12,Paramètres!$A$1:$I$89,5,0)</f>
        <v>249.35040000000041</v>
      </c>
      <c r="CA93" s="13">
        <f t="shared" si="93"/>
        <v>60.446817732908272</v>
      </c>
      <c r="CB93" s="20">
        <f t="shared" si="64"/>
        <v>539.56348755148258</v>
      </c>
      <c r="CC93" s="59">
        <f t="shared" si="65"/>
        <v>832.89682088481595</v>
      </c>
      <c r="CD93" s="59">
        <f ca="1">AVERAGE(OFFSET($CC$3,0,0,'Données projet'!$E$12+1,1))-AVERAGE(OFFSET($H$3,0,0,'Données projet'!$E$12+1,1))</f>
        <v>258.28817640749349</v>
      </c>
      <c r="CE93" s="59">
        <f t="shared" si="94"/>
        <v>158.16416492761954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42</v>
      </c>
      <c r="CH93" s="16">
        <f>IF(ISNA(VLOOKUP(A93,'Données projet'!$A$113:$I$133,5,0)),0%,VLOOKUP(A93,'Données projet'!$A$113:$I$133,5,0)*VLOOKUP('Données projet'!$B$12,Paramètres!$A$1:$I$89,7,0))</f>
        <v>0.19350000000000001</v>
      </c>
      <c r="CI93" s="16">
        <f>IF(ISNA(VLOOKUP(A93,'Données projet'!$A$113:$I$133,6,0)),0%,VLOOKUP(A93,'Données projet'!$A$113:$I$133,6,0)*VLOOKUP('Données projet'!$B$12,Paramètres!$A$1:$I$89,7,0))</f>
        <v>0.23650000000000002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19.833537685326739</v>
      </c>
      <c r="CL93" s="21">
        <f>EXP(-LN(2)/25)*CL92+(1-EXP(-LN(2)/25))/(LN(2)/25)*Calculateur!CG93*Calculateur!CI93*VLOOKUP('Données projet'!$B$12,Paramètres!$A$1:$I$89,3,0)*0.475*44/12</f>
        <v>33.046463019224532</v>
      </c>
      <c r="CM93" s="21">
        <f>EXP(-LN(2)/2)*CM92+(1-EXP(-LN(2)/2))/(LN(2)/2)*CG93*CJ93*VLOOKUP('Données projet'!$B$12,Paramètres!$A$1:$I$89,3,0)*0.475*44/12</f>
        <v>1.6415571018888377E-5</v>
      </c>
      <c r="CN93" s="22">
        <f t="shared" si="66"/>
        <v>52.880017120122289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1.1368683772161603E-13</v>
      </c>
      <c r="O94" s="13">
        <f>N94*VLOOKUP('Données projet'!$B$9,Paramètres!$A$1:$I$89,3,0)*VLOOKUP('Données projet'!$B$9,Paramètres!$A$1:$I$89,5,0)</f>
        <v>6.7984728957526396E-14</v>
      </c>
      <c r="P94" s="13">
        <f t="shared" si="87"/>
        <v>1.0682447123141398E-12</v>
      </c>
      <c r="Q94" s="20">
        <f t="shared" si="54"/>
        <v>1.978932943548152E-12</v>
      </c>
      <c r="R94" s="59">
        <f t="shared" si="55"/>
        <v>293.3333333333353</v>
      </c>
      <c r="S94" s="59">
        <f ca="1">AVERAGE(OFFSET($R$3,0,0,'Données projet'!$E$9+1,1))-AVERAGE(OFFSET($H$3,0,0,'Données projet'!$E$9+1,1))</f>
        <v>149.5086927376081</v>
      </c>
      <c r="T94" s="59">
        <f t="shared" si="88"/>
        <v>364.59164590134498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18.007820424282144</v>
      </c>
      <c r="AA94" s="21">
        <f>EXP(-LN(2)/25)*AA93+(1-EXP(-LN(2)/25))/(LN(2)/25)*Calculateur!V94*Calculateur!X94*VLOOKUP('Données projet'!$B$9,Paramètres!$A$1:$I$89,3,0)*0.475*44/12</f>
        <v>7.7494732837528204</v>
      </c>
      <c r="AB94" s="21">
        <f>EXP(-LN(2)/2)*AB93+(1-EXP(-LN(2)/2))/(LN(2)/2)*V94*Y94*VLOOKUP('Données projet'!$B$9,Paramètres!$A$1:$I$89,3,0)*0.475*44/12</f>
        <v>3.5111465897329818E-8</v>
      </c>
      <c r="AC94" s="22">
        <f t="shared" si="57"/>
        <v>25.75729374314643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0</v>
      </c>
      <c r="AO94" s="59">
        <f t="shared" si="90"/>
        <v>0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-8.5265128291212022E-14</v>
      </c>
      <c r="BE94" s="13">
        <f>BD94*VLOOKUP('Données projet'!$B$11,Paramètres!$A$1:$I$89,3,0)*VLOOKUP('Données projet'!$B$11,Paramètres!$A$1:$I$89,5,0)</f>
        <v>-6.9167072069831198E-14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175.73034516698141</v>
      </c>
      <c r="BJ94" s="59">
        <f t="shared" si="92"/>
        <v>203.59461632821052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1.0248214559216686</v>
      </c>
      <c r="BR94" s="21">
        <f>EXP(-LN(2)/2)*BR93+(1-EXP(-LN(2)/2))/(LN(2)/2)*BL94*BO94*VLOOKUP('Données projet'!$B$11,Paramètres!$A$1:$I$89,3,0)*0.475*44/12</f>
        <v>5.3751433272103663E-9</v>
      </c>
      <c r="BS94" s="22">
        <f t="shared" si="63"/>
        <v>1.0248214612968118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4.9000000000000004</v>
      </c>
      <c r="BY94" s="12">
        <f>IF('Données projet'!$A$114&gt;35,BY93+BX94-CG93,IF(A94&lt;'Données projet'!$A$114,$BV$205^A94,IF(A94='Données projet'!$A$114,'Données projet'!$B$114,BY93+BX94-CG93)))</f>
        <v>258.90000000000043</v>
      </c>
      <c r="BZ94" s="13">
        <f>BY94*VLOOKUP('Données projet'!$B$12,Paramètres!$A$1:$I$89,3,0)*VLOOKUP('Données projet'!$B$12,Paramètres!$A$1:$I$89,5,0)</f>
        <v>218.09736000000038</v>
      </c>
      <c r="CA94" s="13">
        <f t="shared" si="93"/>
        <v>53.701147500486286</v>
      </c>
      <c r="CB94" s="20">
        <f t="shared" si="64"/>
        <v>473.38240056334757</v>
      </c>
      <c r="CC94" s="59">
        <f t="shared" si="65"/>
        <v>766.71573389668083</v>
      </c>
      <c r="CD94" s="59">
        <f ca="1">AVERAGE(OFFSET($CC$3,0,0,'Données projet'!$E$12+1,1))-AVERAGE(OFFSET($H$3,0,0,'Données projet'!$E$12+1,1))</f>
        <v>258.28817640749349</v>
      </c>
      <c r="CE94" s="59">
        <f t="shared" si="94"/>
        <v>158.16416492761954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19.444614108580964</v>
      </c>
      <c r="CL94" s="21">
        <f>EXP(-LN(2)/25)*CL93+(1-EXP(-LN(2)/25))/(LN(2)/25)*Calculateur!CG94*Calculateur!CI94*VLOOKUP('Données projet'!$B$12,Paramètres!$A$1:$I$89,3,0)*0.475*44/12</f>
        <v>32.142805750125873</v>
      </c>
      <c r="CM94" s="21">
        <f>EXP(-LN(2)/2)*CM93+(1-EXP(-LN(2)/2))/(LN(2)/2)*CG94*CJ94*VLOOKUP('Données projet'!$B$12,Paramètres!$A$1:$I$89,3,0)*0.475*44/12</f>
        <v>1.1607561584505335E-5</v>
      </c>
      <c r="CN94" s="22">
        <f t="shared" si="66"/>
        <v>51.58743146626842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1.1368683772161603E-13</v>
      </c>
      <c r="O95" s="13">
        <f>N95*VLOOKUP('Données projet'!$B$9,Paramètres!$A$1:$I$89,3,0)*VLOOKUP('Données projet'!$B$9,Paramètres!$A$1:$I$89,5,0)</f>
        <v>6.7984728957526396E-14</v>
      </c>
      <c r="P95" s="13">
        <f t="shared" si="87"/>
        <v>1.0682447123141398E-12</v>
      </c>
      <c r="Q95" s="20">
        <f t="shared" si="54"/>
        <v>1.978932943548152E-12</v>
      </c>
      <c r="R95" s="59">
        <f t="shared" si="55"/>
        <v>293.3333333333353</v>
      </c>
      <c r="S95" s="59">
        <f ca="1">AVERAGE(OFFSET($R$3,0,0,'Données projet'!$E$9+1,1))-AVERAGE(OFFSET($H$3,0,0,'Données projet'!$E$9+1,1))</f>
        <v>149.5086927376081</v>
      </c>
      <c r="T95" s="59">
        <f t="shared" si="88"/>
        <v>364.59164590134498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17.65469804944788</v>
      </c>
      <c r="AA95" s="21">
        <f>EXP(-LN(2)/25)*AA94+(1-EXP(-LN(2)/25))/(LN(2)/25)*Calculateur!V95*Calculateur!X95*VLOOKUP('Données projet'!$B$9,Paramètres!$A$1:$I$89,3,0)*0.475*44/12</f>
        <v>7.5375635292815115</v>
      </c>
      <c r="AB95" s="21">
        <f>EXP(-LN(2)/2)*AB94+(1-EXP(-LN(2)/2))/(LN(2)/2)*V95*Y95*VLOOKUP('Données projet'!$B$9,Paramètres!$A$1:$I$89,3,0)*0.475*44/12</f>
        <v>2.4827555633402122E-8</v>
      </c>
      <c r="AC95" s="22">
        <f t="shared" si="57"/>
        <v>25.19226160355695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0</v>
      </c>
      <c r="AO95" s="59">
        <f t="shared" si="90"/>
        <v>0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-8.5265128291212022E-14</v>
      </c>
      <c r="BE95" s="13">
        <f>BD95*VLOOKUP('Données projet'!$B$11,Paramètres!$A$1:$I$89,3,0)*VLOOKUP('Données projet'!$B$11,Paramètres!$A$1:$I$89,5,0)</f>
        <v>-6.9167072069831198E-14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175.73034516698141</v>
      </c>
      <c r="BJ95" s="59">
        <f t="shared" si="92"/>
        <v>203.59461632821052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0.99679765931647246</v>
      </c>
      <c r="BR95" s="21">
        <f>EXP(-LN(2)/2)*BR94+(1-EXP(-LN(2)/2))/(LN(2)/2)*BL95*BO95*VLOOKUP('Données projet'!$B$11,Paramètres!$A$1:$I$89,3,0)*0.475*44/12</f>
        <v>3.8008002965200715E-9</v>
      </c>
      <c r="BS95" s="22">
        <f t="shared" si="63"/>
        <v>0.9967976631172728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4.9000000000000004</v>
      </c>
      <c r="BY95" s="12">
        <f>IF('Données projet'!$A$114&gt;35,BY94+BX95-CG94,IF(A95&lt;'Données projet'!$A$114,$BV$205^A95,IF(A95='Données projet'!$A$114,'Données projet'!$B$114,BY94+BX95-CG94)))</f>
        <v>263.80000000000041</v>
      </c>
      <c r="BZ95" s="13">
        <f>BY95*VLOOKUP('Données projet'!$B$12,Paramètres!$A$1:$I$89,3,0)*VLOOKUP('Données projet'!$B$12,Paramètres!$A$1:$I$89,5,0)</f>
        <v>222.22512000000037</v>
      </c>
      <c r="CA95" s="13">
        <f t="shared" si="93"/>
        <v>54.598220944501996</v>
      </c>
      <c r="CB95" s="20">
        <f t="shared" si="64"/>
        <v>482.13398547834157</v>
      </c>
      <c r="CC95" s="59">
        <f t="shared" si="65"/>
        <v>775.46731881167489</v>
      </c>
      <c r="CD95" s="59">
        <f ca="1">AVERAGE(OFFSET($CC$3,0,0,'Données projet'!$E$12+1,1))-AVERAGE(OFFSET($H$3,0,0,'Données projet'!$E$12+1,1))</f>
        <v>258.28817640749349</v>
      </c>
      <c r="CE95" s="59">
        <f t="shared" si="94"/>
        <v>158.16416492761954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19.063317085955216</v>
      </c>
      <c r="CL95" s="21">
        <f>EXP(-LN(2)/25)*CL94+(1-EXP(-LN(2)/25))/(LN(2)/25)*Calculateur!CG95*Calculateur!CI95*VLOOKUP('Données projet'!$B$12,Paramètres!$A$1:$I$89,3,0)*0.475*44/12</f>
        <v>31.26385903657199</v>
      </c>
      <c r="CM95" s="21">
        <f>EXP(-LN(2)/2)*CM94+(1-EXP(-LN(2)/2))/(LN(2)/2)*CG95*CJ95*VLOOKUP('Données projet'!$B$12,Paramètres!$A$1:$I$89,3,0)*0.475*44/12</f>
        <v>8.2077855094441886E-6</v>
      </c>
      <c r="CN95" s="22">
        <f t="shared" si="66"/>
        <v>50.327184330312718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1.1368683772161603E-13</v>
      </c>
      <c r="O96" s="13">
        <f>N96*VLOOKUP('Données projet'!$B$9,Paramètres!$A$1:$I$89,3,0)*VLOOKUP('Données projet'!$B$9,Paramètres!$A$1:$I$89,5,0)</f>
        <v>6.7984728957526396E-14</v>
      </c>
      <c r="P96" s="13">
        <f t="shared" si="87"/>
        <v>1.0682447123141398E-12</v>
      </c>
      <c r="Q96" s="20">
        <f t="shared" si="54"/>
        <v>1.978932943548152E-12</v>
      </c>
      <c r="R96" s="59">
        <f t="shared" si="55"/>
        <v>293.3333333333353</v>
      </c>
      <c r="S96" s="59">
        <f ca="1">AVERAGE(OFFSET($R$3,0,0,'Données projet'!$E$9+1,1))-AVERAGE(OFFSET($H$3,0,0,'Données projet'!$E$9+1,1))</f>
        <v>149.5086927376081</v>
      </c>
      <c r="T96" s="59">
        <f t="shared" si="88"/>
        <v>364.59164590134498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17.308500189000736</v>
      </c>
      <c r="AA96" s="21">
        <f>EXP(-LN(2)/25)*AA95+(1-EXP(-LN(2)/25))/(LN(2)/25)*Calculateur!V96*Calculateur!X96*VLOOKUP('Données projet'!$B$9,Paramètres!$A$1:$I$89,3,0)*0.475*44/12</f>
        <v>7.3314484581900699</v>
      </c>
      <c r="AB96" s="21">
        <f>EXP(-LN(2)/2)*AB95+(1-EXP(-LN(2)/2))/(LN(2)/2)*V96*Y96*VLOOKUP('Données projet'!$B$9,Paramètres!$A$1:$I$89,3,0)*0.475*44/12</f>
        <v>1.7555732948664909E-8</v>
      </c>
      <c r="AC96" s="22">
        <f t="shared" si="57"/>
        <v>24.639948664746541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0</v>
      </c>
      <c r="AO96" s="59">
        <f t="shared" si="90"/>
        <v>0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-8.5265128291212022E-14</v>
      </c>
      <c r="BE96" s="13">
        <f>BD96*VLOOKUP('Données projet'!$B$11,Paramètres!$A$1:$I$89,3,0)*VLOOKUP('Données projet'!$B$11,Paramètres!$A$1:$I$89,5,0)</f>
        <v>-6.9167072069831198E-14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175.73034516698141</v>
      </c>
      <c r="BJ96" s="59">
        <f t="shared" si="92"/>
        <v>203.59461632821052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0.96954017490315281</v>
      </c>
      <c r="BR96" s="21">
        <f>EXP(-LN(2)/2)*BR95+(1-EXP(-LN(2)/2))/(LN(2)/2)*BL96*BO96*VLOOKUP('Données projet'!$B$11,Paramètres!$A$1:$I$89,3,0)*0.475*44/12</f>
        <v>2.6875716636051832E-9</v>
      </c>
      <c r="BS96" s="22">
        <f t="shared" si="63"/>
        <v>0.96954017759072442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4.9000000000000004</v>
      </c>
      <c r="BY96" s="12">
        <f>IF('Données projet'!$A$114&gt;35,BY95+BX96-CG95,IF(A96&lt;'Données projet'!$A$114,$BV$205^A96,IF(A96='Données projet'!$A$114,'Données projet'!$B$114,BY95+BX96-CG95)))</f>
        <v>268.70000000000039</v>
      </c>
      <c r="BZ96" s="13">
        <f>BY96*VLOOKUP('Données projet'!$B$12,Paramètres!$A$1:$I$89,3,0)*VLOOKUP('Données projet'!$B$12,Paramètres!$A$1:$I$89,5,0)</f>
        <v>226.35288000000034</v>
      </c>
      <c r="CA96" s="13">
        <f t="shared" si="93"/>
        <v>55.493356810213065</v>
      </c>
      <c r="CB96" s="20">
        <f t="shared" si="64"/>
        <v>490.88219577778835</v>
      </c>
      <c r="CC96" s="59">
        <f t="shared" si="65"/>
        <v>784.21552911112167</v>
      </c>
      <c r="CD96" s="59">
        <f ca="1">AVERAGE(OFFSET($CC$3,0,0,'Données projet'!$E$12+1,1))-AVERAGE(OFFSET($H$3,0,0,'Données projet'!$E$12+1,1))</f>
        <v>258.28817640749349</v>
      </c>
      <c r="CE96" s="59">
        <f t="shared" si="94"/>
        <v>158.16416492761954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18.68949706537494</v>
      </c>
      <c r="CL96" s="21">
        <f>EXP(-LN(2)/25)*CL95+(1-EXP(-LN(2)/25))/(LN(2)/25)*Calculateur!CG96*Calculateur!CI96*VLOOKUP('Données projet'!$B$12,Paramètres!$A$1:$I$89,3,0)*0.475*44/12</f>
        <v>30.408947167122037</v>
      </c>
      <c r="CM96" s="21">
        <f>EXP(-LN(2)/2)*CM95+(1-EXP(-LN(2)/2))/(LN(2)/2)*CG96*CJ96*VLOOKUP('Données projet'!$B$12,Paramètres!$A$1:$I$89,3,0)*0.475*44/12</f>
        <v>5.8037807922526674E-6</v>
      </c>
      <c r="CN96" s="22">
        <f t="shared" si="66"/>
        <v>49.098450036277768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1.1368683772161603E-13</v>
      </c>
      <c r="O97" s="13">
        <f>N97*VLOOKUP('Données projet'!$B$9,Paramètres!$A$1:$I$89,3,0)*VLOOKUP('Données projet'!$B$9,Paramètres!$A$1:$I$89,5,0)</f>
        <v>6.7984728957526396E-14</v>
      </c>
      <c r="P97" s="13">
        <f t="shared" si="87"/>
        <v>1.0682447123141398E-12</v>
      </c>
      <c r="Q97" s="20">
        <f t="shared" si="54"/>
        <v>1.978932943548152E-12</v>
      </c>
      <c r="R97" s="59">
        <f t="shared" si="55"/>
        <v>293.3333333333353</v>
      </c>
      <c r="S97" s="59">
        <f ca="1">AVERAGE(OFFSET($R$3,0,0,'Données projet'!$E$9+1,1))-AVERAGE(OFFSET($H$3,0,0,'Données projet'!$E$9+1,1))</f>
        <v>149.5086927376081</v>
      </c>
      <c r="T97" s="59">
        <f t="shared" si="88"/>
        <v>364.59164590134498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16.969091057437115</v>
      </c>
      <c r="AA97" s="21">
        <f>EXP(-LN(2)/25)*AA96+(1-EXP(-LN(2)/25))/(LN(2)/25)*Calculateur!V97*Calculateur!X97*VLOOKUP('Données projet'!$B$9,Paramètres!$A$1:$I$89,3,0)*0.475*44/12</f>
        <v>7.1309696145567445</v>
      </c>
      <c r="AB97" s="21">
        <f>EXP(-LN(2)/2)*AB96+(1-EXP(-LN(2)/2))/(LN(2)/2)*V97*Y97*VLOOKUP('Données projet'!$B$9,Paramètres!$A$1:$I$89,3,0)*0.475*44/12</f>
        <v>1.2413777816701061E-8</v>
      </c>
      <c r="AC97" s="22">
        <f t="shared" si="57"/>
        <v>24.100060684407637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0</v>
      </c>
      <c r="AO97" s="59">
        <f t="shared" si="90"/>
        <v>0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-8.5265128291212022E-14</v>
      </c>
      <c r="BE97" s="13">
        <f>BD97*VLOOKUP('Données projet'!$B$11,Paramètres!$A$1:$I$89,3,0)*VLOOKUP('Données projet'!$B$11,Paramètres!$A$1:$I$89,5,0)</f>
        <v>-6.9167072069831198E-14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175.73034516698141</v>
      </c>
      <c r="BJ97" s="59">
        <f t="shared" si="92"/>
        <v>203.59461632821052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0.94302804783452421</v>
      </c>
      <c r="BR97" s="21">
        <f>EXP(-LN(2)/2)*BR96+(1-EXP(-LN(2)/2))/(LN(2)/2)*BL97*BO97*VLOOKUP('Données projet'!$B$11,Paramètres!$A$1:$I$89,3,0)*0.475*44/12</f>
        <v>1.9004001482600357E-9</v>
      </c>
      <c r="BS97" s="22">
        <f t="shared" si="63"/>
        <v>0.94302804973492438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4.9000000000000004</v>
      </c>
      <c r="BY97" s="12">
        <f>IF('Données projet'!$A$114&gt;35,BY96+BX97-CG96,IF(A97&lt;'Données projet'!$A$114,$BV$205^A97,IF(A97='Données projet'!$A$114,'Données projet'!$B$114,BY96+BX97-CG96)))</f>
        <v>273.60000000000036</v>
      </c>
      <c r="BZ97" s="13">
        <f>BY97*VLOOKUP('Données projet'!$B$12,Paramètres!$A$1:$I$89,3,0)*VLOOKUP('Données projet'!$B$12,Paramètres!$A$1:$I$89,5,0)</f>
        <v>230.48064000000031</v>
      </c>
      <c r="CA97" s="13">
        <f t="shared" si="93"/>
        <v>56.386594506599842</v>
      </c>
      <c r="CB97" s="20">
        <f t="shared" si="64"/>
        <v>499.62710009899524</v>
      </c>
      <c r="CC97" s="59">
        <f t="shared" si="65"/>
        <v>792.9604334323285</v>
      </c>
      <c r="CD97" s="59">
        <f ca="1">AVERAGE(OFFSET($CC$3,0,0,'Données projet'!$E$12+1,1))-AVERAGE(OFFSET($H$3,0,0,'Données projet'!$E$12+1,1))</f>
        <v>258.28817640749349</v>
      </c>
      <c r="CE97" s="59">
        <f t="shared" si="94"/>
        <v>158.16416492761954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18.323007427390543</v>
      </c>
      <c r="CL97" s="21">
        <f>EXP(-LN(2)/25)*CL96+(1-EXP(-LN(2)/25))/(LN(2)/25)*Calculateur!CG97*Calculateur!CI97*VLOOKUP('Données projet'!$B$12,Paramètres!$A$1:$I$89,3,0)*0.475*44/12</f>
        <v>29.577412907700054</v>
      </c>
      <c r="CM97" s="21">
        <f>EXP(-LN(2)/2)*CM96+(1-EXP(-LN(2)/2))/(LN(2)/2)*CG97*CJ97*VLOOKUP('Données projet'!$B$12,Paramètres!$A$1:$I$89,3,0)*0.475*44/12</f>
        <v>4.1038927547220943E-6</v>
      </c>
      <c r="CN97" s="22">
        <f t="shared" si="66"/>
        <v>47.900424438983357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1.1368683772161603E-13</v>
      </c>
      <c r="O98" s="13">
        <f>N98*VLOOKUP('Données projet'!$B$9,Paramètres!$A$1:$I$89,3,0)*VLOOKUP('Données projet'!$B$9,Paramètres!$A$1:$I$89,5,0)</f>
        <v>6.7984728957526396E-14</v>
      </c>
      <c r="P98" s="13">
        <f t="shared" si="87"/>
        <v>1.0682447123141398E-12</v>
      </c>
      <c r="Q98" s="20">
        <f t="shared" si="54"/>
        <v>1.978932943548152E-12</v>
      </c>
      <c r="R98" s="59">
        <f t="shared" si="55"/>
        <v>293.3333333333353</v>
      </c>
      <c r="S98" s="59">
        <f ca="1">AVERAGE(OFFSET($R$3,0,0,'Données projet'!$E$9+1,1))-AVERAGE(OFFSET($H$3,0,0,'Données projet'!$E$9+1,1))</f>
        <v>149.5086927376081</v>
      </c>
      <c r="T98" s="59">
        <f t="shared" si="88"/>
        <v>364.59164590134498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16.63633753192433</v>
      </c>
      <c r="AA98" s="21">
        <f>EXP(-LN(2)/25)*AA97+(1-EXP(-LN(2)/25))/(LN(2)/25)*Calculateur!V98*Calculateur!X98*VLOOKUP('Données projet'!$B$9,Paramètres!$A$1:$I$89,3,0)*0.475*44/12</f>
        <v>6.9359728754452963</v>
      </c>
      <c r="AB98" s="21">
        <f>EXP(-LN(2)/2)*AB97+(1-EXP(-LN(2)/2))/(LN(2)/2)*V98*Y98*VLOOKUP('Données projet'!$B$9,Paramètres!$A$1:$I$89,3,0)*0.475*44/12</f>
        <v>8.7778664743324546E-9</v>
      </c>
      <c r="AC98" s="22">
        <f t="shared" si="57"/>
        <v>23.572310416147495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0</v>
      </c>
      <c r="AO98" s="59">
        <f t="shared" si="90"/>
        <v>0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-8.5265128291212022E-14</v>
      </c>
      <c r="BE98" s="13">
        <f>BD98*VLOOKUP('Données projet'!$B$11,Paramètres!$A$1:$I$89,3,0)*VLOOKUP('Données projet'!$B$11,Paramètres!$A$1:$I$89,5,0)</f>
        <v>-6.9167072069831198E-14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175.73034516698141</v>
      </c>
      <c r="BJ98" s="59">
        <f t="shared" si="92"/>
        <v>203.59461632821052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0.91724089627479943</v>
      </c>
      <c r="BR98" s="21">
        <f>EXP(-LN(2)/2)*BR97+(1-EXP(-LN(2)/2))/(LN(2)/2)*BL98*BO98*VLOOKUP('Données projet'!$B$11,Paramètres!$A$1:$I$89,3,0)*0.475*44/12</f>
        <v>1.3437858318025916E-9</v>
      </c>
      <c r="BS98" s="22">
        <f t="shared" si="63"/>
        <v>0.91724089761858529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4.9000000000000004</v>
      </c>
      <c r="BY98" s="12">
        <f>IF('Données projet'!$A$114&gt;35,BY97+BX98-CG97,IF(A98&lt;'Données projet'!$A$114,$BV$205^A98,IF(A98='Données projet'!$A$114,'Données projet'!$B$114,BY97+BX98-CG97)))</f>
        <v>278.50000000000034</v>
      </c>
      <c r="BZ98" s="13">
        <f>BY98*VLOOKUP('Données projet'!$B$12,Paramètres!$A$1:$I$89,3,0)*VLOOKUP('Données projet'!$B$12,Paramètres!$A$1:$I$89,5,0)</f>
        <v>234.6084000000003</v>
      </c>
      <c r="CA98" s="13">
        <f t="shared" si="93"/>
        <v>57.277971950226913</v>
      </c>
      <c r="CB98" s="20">
        <f t="shared" si="64"/>
        <v>508.36876447997906</v>
      </c>
      <c r="CC98" s="59">
        <f t="shared" si="65"/>
        <v>801.70209781331232</v>
      </c>
      <c r="CD98" s="59">
        <f ca="1">AVERAGE(OFFSET($CC$3,0,0,'Données projet'!$E$12+1,1))-AVERAGE(OFFSET($H$3,0,0,'Données projet'!$E$12+1,1))</f>
        <v>258.28817640749349</v>
      </c>
      <c r="CE98" s="59">
        <f t="shared" si="94"/>
        <v>158.16416492761954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17.963704427670415</v>
      </c>
      <c r="CL98" s="21">
        <f>EXP(-LN(2)/25)*CL97+(1-EXP(-LN(2)/25))/(LN(2)/25)*Calculateur!CG98*Calculateur!CI98*VLOOKUP('Données projet'!$B$12,Paramètres!$A$1:$I$89,3,0)*0.475*44/12</f>
        <v>28.768616996330451</v>
      </c>
      <c r="CM98" s="21">
        <f>EXP(-LN(2)/2)*CM97+(1-EXP(-LN(2)/2))/(LN(2)/2)*CG98*CJ98*VLOOKUP('Données projet'!$B$12,Paramètres!$A$1:$I$89,3,0)*0.475*44/12</f>
        <v>2.9018903961263337E-6</v>
      </c>
      <c r="CN98" s="22">
        <f t="shared" si="66"/>
        <v>46.732324325891263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1.1368683772161603E-13</v>
      </c>
      <c r="O99" s="13">
        <f>N99*VLOOKUP('Données projet'!$B$9,Paramètres!$A$1:$I$89,3,0)*VLOOKUP('Données projet'!$B$9,Paramètres!$A$1:$I$89,5,0)</f>
        <v>6.7984728957526396E-14</v>
      </c>
      <c r="P99" s="13">
        <f t="shared" si="87"/>
        <v>1.0682447123141398E-12</v>
      </c>
      <c r="Q99" s="20">
        <f t="shared" ref="Q99:Q130" si="107">(O99+P99)*0.475*44/12</f>
        <v>1.978932943548152E-12</v>
      </c>
      <c r="R99" s="59">
        <f t="shared" si="55"/>
        <v>293.3333333333353</v>
      </c>
      <c r="S99" s="59">
        <f ca="1">AVERAGE(OFFSET($R$3,0,0,'Données projet'!$E$9+1,1))-AVERAGE(OFFSET($H$3,0,0,'Données projet'!$E$9+1,1))</f>
        <v>149.5086927376081</v>
      </c>
      <c r="T99" s="59">
        <f t="shared" si="88"/>
        <v>364.59164590134498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16.310109100087239</v>
      </c>
      <c r="AA99" s="21">
        <f>EXP(-LN(2)/25)*AA98+(1-EXP(-LN(2)/25))/(LN(2)/25)*Calculateur!V99*Calculateur!X99*VLOOKUP('Données projet'!$B$9,Paramètres!$A$1:$I$89,3,0)*0.475*44/12</f>
        <v>6.7463083324192832</v>
      </c>
      <c r="AB99" s="21">
        <f>EXP(-LN(2)/2)*AB98+(1-EXP(-LN(2)/2))/(LN(2)/2)*V99*Y99*VLOOKUP('Données projet'!$B$9,Paramètres!$A$1:$I$89,3,0)*0.475*44/12</f>
        <v>6.2068889083505305E-9</v>
      </c>
      <c r="AC99" s="22">
        <f t="shared" si="57"/>
        <v>23.05641743871341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0</v>
      </c>
      <c r="AO99" s="59">
        <f t="shared" si="90"/>
        <v>0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-8.5265128291212022E-14</v>
      </c>
      <c r="BE99" s="13">
        <f>BD99*VLOOKUP('Données projet'!$B$11,Paramètres!$A$1:$I$89,3,0)*VLOOKUP('Données projet'!$B$11,Paramètres!$A$1:$I$89,5,0)</f>
        <v>-6.9167072069831198E-14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175.73034516698141</v>
      </c>
      <c r="BJ99" s="59">
        <f t="shared" si="92"/>
        <v>203.59461632821052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0.89215889573056273</v>
      </c>
      <c r="BR99" s="21">
        <f>EXP(-LN(2)/2)*BR98+(1-EXP(-LN(2)/2))/(LN(2)/2)*BL99*BO99*VLOOKUP('Données projet'!$B$11,Paramètres!$A$1:$I$89,3,0)*0.475*44/12</f>
        <v>9.5020007413001787E-10</v>
      </c>
      <c r="BS99" s="22">
        <f t="shared" si="63"/>
        <v>0.89215889668076276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4.9000000000000004</v>
      </c>
      <c r="BY99" s="12">
        <f>IF('Données projet'!$A$114&gt;35,BY98+BX99-CG98,IF(A99&lt;'Données projet'!$A$114,$BV$205^A99,IF(A99='Données projet'!$A$114,'Données projet'!$B$114,BY98+BX99-CG98)))</f>
        <v>283.40000000000032</v>
      </c>
      <c r="BZ99" s="13">
        <f>BY99*VLOOKUP('Données projet'!$B$12,Paramètres!$A$1:$I$89,3,0)*VLOOKUP('Données projet'!$B$12,Paramètres!$A$1:$I$89,5,0)</f>
        <v>238.73616000000027</v>
      </c>
      <c r="CA99" s="13">
        <f t="shared" si="93"/>
        <v>58.16752564700645</v>
      </c>
      <c r="CB99" s="20">
        <f t="shared" si="64"/>
        <v>517.10725250186999</v>
      </c>
      <c r="CC99" s="59">
        <f t="shared" si="65"/>
        <v>810.44058583520336</v>
      </c>
      <c r="CD99" s="59">
        <f ca="1">AVERAGE(OFFSET($CC$3,0,0,'Données projet'!$E$12+1,1))-AVERAGE(OFFSET($H$3,0,0,'Données projet'!$E$12+1,1))</f>
        <v>258.28817640749349</v>
      </c>
      <c r="CE99" s="59">
        <f t="shared" si="94"/>
        <v>158.16416492761954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17.611447140621607</v>
      </c>
      <c r="CL99" s="21">
        <f>EXP(-LN(2)/25)*CL98+(1-EXP(-LN(2)/25))/(LN(2)/25)*Calculateur!CG99*Calculateur!CI99*VLOOKUP('Données projet'!$B$12,Paramètres!$A$1:$I$89,3,0)*0.475*44/12</f>
        <v>27.981937651689979</v>
      </c>
      <c r="CM99" s="21">
        <f>EXP(-LN(2)/2)*CM98+(1-EXP(-LN(2)/2))/(LN(2)/2)*CG99*CJ99*VLOOKUP('Données projet'!$B$12,Paramètres!$A$1:$I$89,3,0)*0.475*44/12</f>
        <v>2.0519463773610471E-6</v>
      </c>
      <c r="CN99" s="22">
        <f t="shared" si="66"/>
        <v>45.593386844257957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1.1368683772161603E-13</v>
      </c>
      <c r="O100" s="13">
        <f>N100*VLOOKUP('Données projet'!$B$9,Paramètres!$A$1:$I$89,3,0)*VLOOKUP('Données projet'!$B$9,Paramètres!$A$1:$I$89,5,0)</f>
        <v>6.7984728957526396E-14</v>
      </c>
      <c r="P100" s="13">
        <f t="shared" si="87"/>
        <v>1.0682447123141398E-12</v>
      </c>
      <c r="Q100" s="20">
        <f t="shared" si="107"/>
        <v>1.978932943548152E-12</v>
      </c>
      <c r="R100" s="59">
        <f t="shared" si="55"/>
        <v>293.3333333333353</v>
      </c>
      <c r="S100" s="59">
        <f ca="1">AVERAGE(OFFSET($R$3,0,0,'Données projet'!$E$9+1,1))-AVERAGE(OFFSET($H$3,0,0,'Données projet'!$E$9+1,1))</f>
        <v>149.5086927376081</v>
      </c>
      <c r="T100" s="59">
        <f t="shared" si="88"/>
        <v>364.59164590134498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15.990277808818778</v>
      </c>
      <c r="AA100" s="21">
        <f>EXP(-LN(2)/25)*AA99+(1-EXP(-LN(2)/25))/(LN(2)/25)*Calculateur!V100*Calculateur!X100*VLOOKUP('Données projet'!$B$9,Paramètres!$A$1:$I$89,3,0)*0.475*44/12</f>
        <v>6.5618301762963416</v>
      </c>
      <c r="AB100" s="21">
        <f>EXP(-LN(2)/2)*AB99+(1-EXP(-LN(2)/2))/(LN(2)/2)*V100*Y100*VLOOKUP('Données projet'!$B$9,Paramètres!$A$1:$I$89,3,0)*0.475*44/12</f>
        <v>4.3889332371662273E-9</v>
      </c>
      <c r="AC100" s="22">
        <f t="shared" si="57"/>
        <v>22.552107989504055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0</v>
      </c>
      <c r="AO100" s="59">
        <f t="shared" si="90"/>
        <v>0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-8.5265128291212022E-14</v>
      </c>
      <c r="BE100" s="13">
        <f>BD100*VLOOKUP('Données projet'!$B$11,Paramètres!$A$1:$I$89,3,0)*VLOOKUP('Données projet'!$B$11,Paramètres!$A$1:$I$89,5,0)</f>
        <v>-6.9167072069831198E-14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175.73034516698141</v>
      </c>
      <c r="BJ100" s="59">
        <f t="shared" si="92"/>
        <v>203.59461632821052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0.86776276381021322</v>
      </c>
      <c r="BR100" s="21">
        <f>EXP(-LN(2)/2)*BR99+(1-EXP(-LN(2)/2))/(LN(2)/2)*BL100*BO100*VLOOKUP('Données projet'!$B$11,Paramètres!$A$1:$I$89,3,0)*0.475*44/12</f>
        <v>6.7189291590129579E-10</v>
      </c>
      <c r="BS100" s="22">
        <f t="shared" si="63"/>
        <v>0.8677627644821061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4.9000000000000004</v>
      </c>
      <c r="BY100" s="12">
        <f>IF('Données projet'!$A$114&gt;35,BY99+BX100-CG99,IF(A100&lt;'Données projet'!$A$114,$BV$205^A100,IF(A100='Données projet'!$A$114,'Données projet'!$B$114,BY99+BX100-CG99)))</f>
        <v>288.3000000000003</v>
      </c>
      <c r="BZ100" s="13">
        <f>BY100*VLOOKUP('Données projet'!$B$12,Paramètres!$A$1:$I$89,3,0)*VLOOKUP('Données projet'!$B$12,Paramètres!$A$1:$I$89,5,0)</f>
        <v>242.86392000000026</v>
      </c>
      <c r="CA100" s="13">
        <f t="shared" si="93"/>
        <v>59.055290768146456</v>
      </c>
      <c r="CB100" s="20">
        <f t="shared" si="64"/>
        <v>525.84262542118893</v>
      </c>
      <c r="CC100" s="59">
        <f t="shared" si="65"/>
        <v>819.1759587545223</v>
      </c>
      <c r="CD100" s="59">
        <f ca="1">AVERAGE(OFFSET($CC$3,0,0,'Données projet'!$E$12+1,1))-AVERAGE(OFFSET($H$3,0,0,'Données projet'!$E$12+1,1))</f>
        <v>258.28817640749349</v>
      </c>
      <c r="CE100" s="59">
        <f t="shared" si="94"/>
        <v>158.16416492761954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17.266097404116096</v>
      </c>
      <c r="CL100" s="21">
        <f>EXP(-LN(2)/25)*CL99+(1-EXP(-LN(2)/25))/(LN(2)/25)*Calculateur!CG100*Calculateur!CI100*VLOOKUP('Données projet'!$B$12,Paramètres!$A$1:$I$89,3,0)*0.475*44/12</f>
        <v>27.216770095098369</v>
      </c>
      <c r="CM100" s="21">
        <f>EXP(-LN(2)/2)*CM99+(1-EXP(-LN(2)/2))/(LN(2)/2)*CG100*CJ100*VLOOKUP('Données projet'!$B$12,Paramètres!$A$1:$I$89,3,0)*0.475*44/12</f>
        <v>1.4509451980631669E-6</v>
      </c>
      <c r="CN100" s="22">
        <f t="shared" si="66"/>
        <v>44.482868950159663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1.1368683772161603E-13</v>
      </c>
      <c r="O101" s="13">
        <f>N101*VLOOKUP('Données projet'!$B$9,Paramètres!$A$1:$I$89,3,0)*VLOOKUP('Données projet'!$B$9,Paramètres!$A$1:$I$89,5,0)</f>
        <v>6.7984728957526396E-14</v>
      </c>
      <c r="P101" s="13">
        <f t="shared" si="87"/>
        <v>1.0682447123141398E-12</v>
      </c>
      <c r="Q101" s="20">
        <f t="shared" si="107"/>
        <v>1.978932943548152E-12</v>
      </c>
      <c r="R101" s="59">
        <f t="shared" si="55"/>
        <v>293.3333333333353</v>
      </c>
      <c r="S101" s="59">
        <f ca="1">AVERAGE(OFFSET($R$3,0,0,'Données projet'!$E$9+1,1))-AVERAGE(OFFSET($H$3,0,0,'Données projet'!$E$9+1,1))</f>
        <v>149.5086927376081</v>
      </c>
      <c r="T101" s="59">
        <f t="shared" si="88"/>
        <v>364.59164590134498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15.676718214094265</v>
      </c>
      <c r="AA101" s="21">
        <f>EXP(-LN(2)/25)*AA100+(1-EXP(-LN(2)/25))/(LN(2)/25)*Calculateur!V101*Calculateur!X101*VLOOKUP('Données projet'!$B$9,Paramètres!$A$1:$I$89,3,0)*0.475*44/12</f>
        <v>6.3823965850538666</v>
      </c>
      <c r="AB101" s="21">
        <f>EXP(-LN(2)/2)*AB100+(1-EXP(-LN(2)/2))/(LN(2)/2)*V101*Y101*VLOOKUP('Données projet'!$B$9,Paramètres!$A$1:$I$89,3,0)*0.475*44/12</f>
        <v>3.1034444541752652E-9</v>
      </c>
      <c r="AC101" s="22">
        <f t="shared" si="57"/>
        <v>22.059114802251578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0</v>
      </c>
      <c r="AO101" s="59">
        <f t="shared" si="90"/>
        <v>0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-8.5265128291212022E-14</v>
      </c>
      <c r="BE101" s="13">
        <f>BD101*VLOOKUP('Données projet'!$B$11,Paramètres!$A$1:$I$89,3,0)*VLOOKUP('Données projet'!$B$11,Paramètres!$A$1:$I$89,5,0)</f>
        <v>-6.9167072069831198E-14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175.73034516698141</v>
      </c>
      <c r="BJ101" s="59">
        <f t="shared" si="92"/>
        <v>203.59461632821052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0.84403374540016252</v>
      </c>
      <c r="BR101" s="21">
        <f>EXP(-LN(2)/2)*BR100+(1-EXP(-LN(2)/2))/(LN(2)/2)*BL101*BO101*VLOOKUP('Données projet'!$B$11,Paramètres!$A$1:$I$89,3,0)*0.475*44/12</f>
        <v>4.7510003706500893E-10</v>
      </c>
      <c r="BS101" s="22">
        <f t="shared" si="63"/>
        <v>0.84403374587526259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4.9000000000000004</v>
      </c>
      <c r="BY101" s="12">
        <f>IF('Données projet'!$A$114&gt;35,BY100+BX101-CG100,IF(A101&lt;'Données projet'!$A$114,$BV$205^A101,IF(A101='Données projet'!$A$114,'Données projet'!$B$114,BY100+BX101-CG100)))</f>
        <v>293.20000000000027</v>
      </c>
      <c r="BZ101" s="13">
        <f>BY101*VLOOKUP('Données projet'!$B$12,Paramètres!$A$1:$I$89,3,0)*VLOOKUP('Données projet'!$B$12,Paramètres!$A$1:$I$89,5,0)</f>
        <v>246.99168000000023</v>
      </c>
      <c r="CA101" s="13">
        <f t="shared" si="93"/>
        <v>59.941301220789796</v>
      </c>
      <c r="CB101" s="20">
        <f t="shared" si="64"/>
        <v>534.5749422928759</v>
      </c>
      <c r="CC101" s="59">
        <f t="shared" si="65"/>
        <v>827.90827562620916</v>
      </c>
      <c r="CD101" s="59">
        <f ca="1">AVERAGE(OFFSET($CC$3,0,0,'Données projet'!$E$12+1,1))-AVERAGE(OFFSET($H$3,0,0,'Données projet'!$E$12+1,1))</f>
        <v>258.28817640749349</v>
      </c>
      <c r="CE101" s="59">
        <f t="shared" si="94"/>
        <v>158.16416492761954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16.927519765300918</v>
      </c>
      <c r="CL101" s="21">
        <f>EXP(-LN(2)/25)*CL100+(1-EXP(-LN(2)/25))/(LN(2)/25)*Calculateur!CG101*Calculateur!CI101*VLOOKUP('Données projet'!$B$12,Paramètres!$A$1:$I$89,3,0)*0.475*44/12</f>
        <v>26.472526085580171</v>
      </c>
      <c r="CM101" s="21">
        <f>EXP(-LN(2)/2)*CM100+(1-EXP(-LN(2)/2))/(LN(2)/2)*CG101*CJ101*VLOOKUP('Données projet'!$B$12,Paramètres!$A$1:$I$89,3,0)*0.475*44/12</f>
        <v>1.0259731886805236E-6</v>
      </c>
      <c r="CN101" s="22">
        <f t="shared" si="66"/>
        <v>43.400046876854276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1.1368683772161603E-13</v>
      </c>
      <c r="O102" s="13">
        <f>N102*VLOOKUP('Données projet'!$B$9,Paramètres!$A$1:$I$89,3,0)*VLOOKUP('Données projet'!$B$9,Paramètres!$A$1:$I$89,5,0)</f>
        <v>6.7984728957526396E-14</v>
      </c>
      <c r="P102" s="13">
        <f t="shared" si="87"/>
        <v>1.0682447123141398E-12</v>
      </c>
      <c r="Q102" s="20">
        <f t="shared" si="107"/>
        <v>1.978932943548152E-12</v>
      </c>
      <c r="R102" s="59">
        <f t="shared" si="55"/>
        <v>293.3333333333353</v>
      </c>
      <c r="S102" s="59">
        <f ca="1">AVERAGE(OFFSET($R$3,0,0,'Données projet'!$E$9+1,1))-AVERAGE(OFFSET($H$3,0,0,'Données projet'!$E$9+1,1))</f>
        <v>149.5086927376081</v>
      </c>
      <c r="T102" s="59">
        <f t="shared" si="88"/>
        <v>364.59164590134498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15.369307331769832</v>
      </c>
      <c r="AA102" s="21">
        <f>EXP(-LN(2)/25)*AA101+(1-EXP(-LN(2)/25))/(LN(2)/25)*Calculateur!V102*Calculateur!X102*VLOOKUP('Données projet'!$B$9,Paramètres!$A$1:$I$89,3,0)*0.475*44/12</f>
        <v>6.2078696147999191</v>
      </c>
      <c r="AB102" s="21">
        <f>EXP(-LN(2)/2)*AB101+(1-EXP(-LN(2)/2))/(LN(2)/2)*V102*Y102*VLOOKUP('Données projet'!$B$9,Paramètres!$A$1:$I$89,3,0)*0.475*44/12</f>
        <v>2.1944666185831137E-9</v>
      </c>
      <c r="AC102" s="22">
        <f t="shared" si="57"/>
        <v>21.577176948764215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0</v>
      </c>
      <c r="AO102" s="59">
        <f t="shared" si="90"/>
        <v>0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-8.5265128291212022E-14</v>
      </c>
      <c r="BE102" s="13">
        <f>BD102*VLOOKUP('Données projet'!$B$11,Paramètres!$A$1:$I$89,3,0)*VLOOKUP('Données projet'!$B$11,Paramètres!$A$1:$I$89,5,0)</f>
        <v>-6.9167072069831198E-14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175.73034516698141</v>
      </c>
      <c r="BJ102" s="59">
        <f t="shared" si="92"/>
        <v>203.59461632821052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0.82095359824638947</v>
      </c>
      <c r="BR102" s="21">
        <f>EXP(-LN(2)/2)*BR101+(1-EXP(-LN(2)/2))/(LN(2)/2)*BL102*BO102*VLOOKUP('Données projet'!$B$11,Paramètres!$A$1:$I$89,3,0)*0.475*44/12</f>
        <v>3.359464579506479E-10</v>
      </c>
      <c r="BS102" s="22">
        <f t="shared" si="63"/>
        <v>0.82095359858233596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4.9000000000000004</v>
      </c>
      <c r="BY102" s="12">
        <f>IF('Données projet'!$A$114&gt;35,BY101+BX102-CG101,IF(A102&lt;'Données projet'!$A$114,$BV$205^A102,IF(A102='Données projet'!$A$114,'Données projet'!$B$114,BY101+BX102-CG101)))</f>
        <v>298.10000000000025</v>
      </c>
      <c r="BZ102" s="13">
        <f>BY102*VLOOKUP('Données projet'!$B$12,Paramètres!$A$1:$I$89,3,0)*VLOOKUP('Données projet'!$B$12,Paramètres!$A$1:$I$89,5,0)</f>
        <v>251.11944000000022</v>
      </c>
      <c r="CA102" s="13">
        <f t="shared" si="93"/>
        <v>60.825589713797029</v>
      </c>
      <c r="CB102" s="20">
        <f t="shared" si="64"/>
        <v>543.30426008486347</v>
      </c>
      <c r="CC102" s="59">
        <f t="shared" si="65"/>
        <v>836.63759341819673</v>
      </c>
      <c r="CD102" s="59">
        <f ca="1">AVERAGE(OFFSET($CC$3,0,0,'Données projet'!$E$12+1,1))-AVERAGE(OFFSET($H$3,0,0,'Données projet'!$E$12+1,1))</f>
        <v>258.28817640749349</v>
      </c>
      <c r="CE102" s="59">
        <f t="shared" si="94"/>
        <v>158.16416492761954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16.595581427470936</v>
      </c>
      <c r="CL102" s="21">
        <f>EXP(-LN(2)/25)*CL101+(1-EXP(-LN(2)/25))/(LN(2)/25)*Calculateur!CG102*Calculateur!CI102*VLOOKUP('Données projet'!$B$12,Paramètres!$A$1:$I$89,3,0)*0.475*44/12</f>
        <v>25.748633467640339</v>
      </c>
      <c r="CM102" s="21">
        <f>EXP(-LN(2)/2)*CM101+(1-EXP(-LN(2)/2))/(LN(2)/2)*CG102*CJ102*VLOOKUP('Données projet'!$B$12,Paramètres!$A$1:$I$89,3,0)*0.475*44/12</f>
        <v>7.2547259903158343E-7</v>
      </c>
      <c r="CN102" s="22">
        <f t="shared" si="66"/>
        <v>42.344215620583874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1.1368683772161603E-13</v>
      </c>
      <c r="O103" s="13">
        <f>N103*VLOOKUP('Données projet'!$B$9,Paramètres!$A$1:$I$89,3,0)*VLOOKUP('Données projet'!$B$9,Paramètres!$A$1:$I$89,5,0)</f>
        <v>6.7984728957526396E-14</v>
      </c>
      <c r="P103" s="13">
        <f t="shared" si="87"/>
        <v>1.0682447123141398E-12</v>
      </c>
      <c r="Q103" s="20">
        <f t="shared" si="107"/>
        <v>1.978932943548152E-12</v>
      </c>
      <c r="R103" s="59">
        <f t="shared" si="55"/>
        <v>293.3333333333353</v>
      </c>
      <c r="S103" s="59">
        <f ca="1">AVERAGE(OFFSET($R$3,0,0,'Données projet'!$E$9+1,1))-AVERAGE(OFFSET($H$3,0,0,'Données projet'!$E$9+1,1))</f>
        <v>149.5086927376081</v>
      </c>
      <c r="T103" s="59">
        <f t="shared" si="88"/>
        <v>364.59164590134498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15.067924589345658</v>
      </c>
      <c r="AA103" s="21">
        <f>EXP(-LN(2)/25)*AA102+(1-EXP(-LN(2)/25))/(LN(2)/25)*Calculateur!V103*Calculateur!X103*VLOOKUP('Données projet'!$B$9,Paramètres!$A$1:$I$89,3,0)*0.475*44/12</f>
        <v>6.0381150937255406</v>
      </c>
      <c r="AB103" s="21">
        <f>EXP(-LN(2)/2)*AB102+(1-EXP(-LN(2)/2))/(LN(2)/2)*V103*Y103*VLOOKUP('Données projet'!$B$9,Paramètres!$A$1:$I$89,3,0)*0.475*44/12</f>
        <v>1.5517222270876326E-9</v>
      </c>
      <c r="AC103" s="22">
        <f t="shared" si="57"/>
        <v>21.106039684622921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0</v>
      </c>
      <c r="AO103" s="59">
        <f t="shared" si="90"/>
        <v>0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-8.5265128291212022E-14</v>
      </c>
      <c r="BE103" s="13">
        <f>BD103*VLOOKUP('Données projet'!$B$11,Paramètres!$A$1:$I$89,3,0)*VLOOKUP('Données projet'!$B$11,Paramètres!$A$1:$I$89,5,0)</f>
        <v>-6.9167072069831198E-14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175.73034516698141</v>
      </c>
      <c r="BJ103" s="59">
        <f t="shared" si="92"/>
        <v>203.59461632821052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0.79850457893026849</v>
      </c>
      <c r="BR103" s="21">
        <f>EXP(-LN(2)/2)*BR102+(1-EXP(-LN(2)/2))/(LN(2)/2)*BL103*BO103*VLOOKUP('Données projet'!$B$11,Paramètres!$A$1:$I$89,3,0)*0.475*44/12</f>
        <v>2.3755001853250447E-10</v>
      </c>
      <c r="BS103" s="22">
        <f t="shared" si="63"/>
        <v>0.79850457916781847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303</v>
      </c>
      <c r="BW103" s="12">
        <f>VLOOKUP(A103,'Données projet'!$A$113:$I$133,9,0)</f>
        <v>4.9000000000000004</v>
      </c>
      <c r="BX103" s="12">
        <f t="array" ref="BX103">INDEX(BW:BW,MIN(IF(ISNUMBER(BW103:BW299),ROW(BW103:BW299),"")))</f>
        <v>4.9000000000000004</v>
      </c>
      <c r="BY103" s="12">
        <f>IF('Données projet'!$A$114&gt;35,BY102+BX103-CG102,IF(A103&lt;'Données projet'!$A$114,$BV$205^A103,IF(A103='Données projet'!$A$114,'Données projet'!$B$114,BY102+BX103-CG102)))</f>
        <v>303.00000000000023</v>
      </c>
      <c r="BZ103" s="13">
        <f>BY103*VLOOKUP('Données projet'!$B$12,Paramètres!$A$1:$I$89,3,0)*VLOOKUP('Données projet'!$B$12,Paramètres!$A$1:$I$89,5,0)</f>
        <v>255.24720000000025</v>
      </c>
      <c r="CA103" s="13">
        <f t="shared" si="93"/>
        <v>61.708187819081274</v>
      </c>
      <c r="CB103" s="20">
        <f t="shared" si="64"/>
        <v>552.03063378490026</v>
      </c>
      <c r="CC103" s="59">
        <f t="shared" si="65"/>
        <v>845.36396711823363</v>
      </c>
      <c r="CD103" s="59">
        <f ca="1">AVERAGE(OFFSET($CC$3,0,0,'Données projet'!$E$12+1,1))-AVERAGE(OFFSET($H$3,0,0,'Données projet'!$E$12+1,1))</f>
        <v>258.28817640749349</v>
      </c>
      <c r="CE103" s="59">
        <f t="shared" si="94"/>
        <v>158.16416492761954</v>
      </c>
      <c r="CF103" s="15">
        <f>IF(ISNA(VLOOKUP(A103,'Données projet'!$A$113:$I$133,3,0)),0,VLOOKUP(A103,'Données projet'!$A$113:$I$133,3,0))</f>
        <v>9</v>
      </c>
      <c r="CG103" s="15">
        <f>IF(ISNA(VLOOKUP(A103,'Données projet'!$A$113:$I$133,4,0)),0,VLOOKUP(A103,'Données projet'!$A$113:$I$133,4,0))</f>
        <v>42</v>
      </c>
      <c r="CH103" s="16">
        <f>IF(ISNA(VLOOKUP(A103,'Données projet'!$A$113:$I$133,5,0)),0%,VLOOKUP(A103,'Données projet'!$A$113:$I$133,5,0)*VLOOKUP('Données projet'!$B$12,Paramètres!$A$1:$I$89,7,0))</f>
        <v>0.215</v>
      </c>
      <c r="CI103" s="16">
        <f>IF(ISNA(VLOOKUP(A103,'Données projet'!$A$113:$I$133,6,0)),0%,VLOOKUP(A103,'Données projet'!$A$113:$I$133,6,0)*VLOOKUP('Données projet'!$B$12,Paramètres!$A$1:$I$89,7,0))</f>
        <v>0.215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24.679323874881977</v>
      </c>
      <c r="CL103" s="21">
        <f>EXP(-LN(2)/25)*CL102+(1-EXP(-LN(2)/25))/(LN(2)/25)*Calculateur!CG103*Calculateur!CI103*VLOOKUP('Données projet'!$B$12,Paramètres!$A$1:$I$89,3,0)*0.475*44/12</f>
        <v>33.420597295266944</v>
      </c>
      <c r="CM103" s="21">
        <f>EXP(-LN(2)/2)*CM102+(1-EXP(-LN(2)/2))/(LN(2)/2)*CG103*CJ103*VLOOKUP('Données projet'!$B$12,Paramètres!$A$1:$I$89,3,0)*0.475*44/12</f>
        <v>5.1298659434026179E-7</v>
      </c>
      <c r="CN103" s="22">
        <f t="shared" si="66"/>
        <v>58.099921683135513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1.1368683772161603E-13</v>
      </c>
      <c r="O104" s="13">
        <f>N104*VLOOKUP('Données projet'!$B$9,Paramètres!$A$1:$I$89,3,0)*VLOOKUP('Données projet'!$B$9,Paramètres!$A$1:$I$89,5,0)</f>
        <v>6.7984728957526396E-14</v>
      </c>
      <c r="P104" s="13">
        <f t="shared" si="87"/>
        <v>1.0682447123141398E-12</v>
      </c>
      <c r="Q104" s="20">
        <f t="shared" si="107"/>
        <v>1.978932943548152E-12</v>
      </c>
      <c r="R104" s="59">
        <f t="shared" si="55"/>
        <v>293.3333333333353</v>
      </c>
      <c r="S104" s="59">
        <f ca="1">AVERAGE(OFFSET($R$3,0,0,'Données projet'!$E$9+1,1))-AVERAGE(OFFSET($H$3,0,0,'Données projet'!$E$9+1,1))</f>
        <v>149.5086927376081</v>
      </c>
      <c r="T104" s="59">
        <f t="shared" si="88"/>
        <v>364.59164590134498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14.7724517786751</v>
      </c>
      <c r="AA104" s="21">
        <f>EXP(-LN(2)/25)*AA103+(1-EXP(-LN(2)/25))/(LN(2)/25)*Calculateur!V104*Calculateur!X104*VLOOKUP('Données projet'!$B$9,Paramètres!$A$1:$I$89,3,0)*0.475*44/12</f>
        <v>5.8730025189569428</v>
      </c>
      <c r="AB104" s="21">
        <f>EXP(-LN(2)/2)*AB103+(1-EXP(-LN(2)/2))/(LN(2)/2)*V104*Y104*VLOOKUP('Données projet'!$B$9,Paramètres!$A$1:$I$89,3,0)*0.475*44/12</f>
        <v>1.0972333092915568E-9</v>
      </c>
      <c r="AC104" s="22">
        <f t="shared" si="57"/>
        <v>20.645454298729277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0</v>
      </c>
      <c r="AO104" s="59">
        <f t="shared" si="90"/>
        <v>0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-8.5265128291212022E-14</v>
      </c>
      <c r="BE104" s="13">
        <f>BD104*VLOOKUP('Données projet'!$B$11,Paramètres!$A$1:$I$89,3,0)*VLOOKUP('Données projet'!$B$11,Paramètres!$A$1:$I$89,5,0)</f>
        <v>-6.9167072069831198E-14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175.73034516698141</v>
      </c>
      <c r="BJ104" s="59">
        <f t="shared" si="92"/>
        <v>203.59461632821052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0.77666942922788951</v>
      </c>
      <c r="BR104" s="21">
        <f>EXP(-LN(2)/2)*BR103+(1-EXP(-LN(2)/2))/(LN(2)/2)*BL104*BO104*VLOOKUP('Données projet'!$B$11,Paramètres!$A$1:$I$89,3,0)*0.475*44/12</f>
        <v>1.6797322897532395E-10</v>
      </c>
      <c r="BS104" s="22">
        <f t="shared" si="63"/>
        <v>0.7766694293958627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4.4000000000000004</v>
      </c>
      <c r="BY104" s="12">
        <f>IF('Données projet'!$A$114&gt;35,BY103+BX104-CG103,IF(A104&lt;'Données projet'!$A$114,$BV$205^A104,IF(A104='Données projet'!$A$114,'Données projet'!$B$114,BY103+BX104-CG103)))</f>
        <v>265.4000000000002</v>
      </c>
      <c r="BZ104" s="13">
        <f>BY104*VLOOKUP('Données projet'!$B$12,Paramètres!$A$1:$I$89,3,0)*VLOOKUP('Données projet'!$B$12,Paramètres!$A$1:$I$89,5,0)</f>
        <v>223.57296000000019</v>
      </c>
      <c r="CA104" s="13">
        <f t="shared" si="93"/>
        <v>54.890721304299618</v>
      </c>
      <c r="CB104" s="20">
        <f t="shared" si="64"/>
        <v>484.99091160498875</v>
      </c>
      <c r="CC104" s="59">
        <f t="shared" si="65"/>
        <v>778.32424493832207</v>
      </c>
      <c r="CD104" s="59">
        <f ca="1">AVERAGE(OFFSET($CC$3,0,0,'Données projet'!$E$12+1,1))-AVERAGE(OFFSET($H$3,0,0,'Données projet'!$E$12+1,1))</f>
        <v>258.28817640749349</v>
      </c>
      <c r="CE104" s="59">
        <f t="shared" si="94"/>
        <v>158.16416492761954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24.195377386596753</v>
      </c>
      <c r="CL104" s="21">
        <f>EXP(-LN(2)/25)*CL103+(1-EXP(-LN(2)/25))/(LN(2)/25)*Calculateur!CG104*Calculateur!CI104*VLOOKUP('Données projet'!$B$12,Paramètres!$A$1:$I$89,3,0)*0.475*44/12</f>
        <v>32.506709304715045</v>
      </c>
      <c r="CM104" s="21">
        <f>EXP(-LN(2)/2)*CM103+(1-EXP(-LN(2)/2))/(LN(2)/2)*CG104*CJ104*VLOOKUP('Données projet'!$B$12,Paramètres!$A$1:$I$89,3,0)*0.475*44/12</f>
        <v>3.6273629951579171E-7</v>
      </c>
      <c r="CN104" s="22">
        <f t="shared" si="66"/>
        <v>56.7020870540481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1.1368683772161603E-13</v>
      </c>
      <c r="O105" s="13">
        <f>N105*VLOOKUP('Données projet'!$B$9,Paramètres!$A$1:$I$89,3,0)*VLOOKUP('Données projet'!$B$9,Paramètres!$A$1:$I$89,5,0)</f>
        <v>6.7984728957526396E-14</v>
      </c>
      <c r="P105" s="13">
        <f t="shared" si="87"/>
        <v>1.0682447123141398E-12</v>
      </c>
      <c r="Q105" s="20">
        <f t="shared" si="107"/>
        <v>1.978932943548152E-12</v>
      </c>
      <c r="R105" s="59">
        <f t="shared" si="55"/>
        <v>293.3333333333353</v>
      </c>
      <c r="S105" s="59">
        <f ca="1">AVERAGE(OFFSET($R$3,0,0,'Données projet'!$E$9+1,1))-AVERAGE(OFFSET($H$3,0,0,'Données projet'!$E$9+1,1))</f>
        <v>149.5086927376081</v>
      </c>
      <c r="T105" s="59">
        <f t="shared" si="88"/>
        <v>364.59164590134498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14.482773009601173</v>
      </c>
      <c r="AA105" s="21">
        <f>EXP(-LN(2)/25)*AA104+(1-EXP(-LN(2)/25))/(LN(2)/25)*Calculateur!V105*Calculateur!X105*VLOOKUP('Données projet'!$B$9,Paramètres!$A$1:$I$89,3,0)*0.475*44/12</f>
        <v>5.7124049562282853</v>
      </c>
      <c r="AB105" s="21">
        <f>EXP(-LN(2)/2)*AB104+(1-EXP(-LN(2)/2))/(LN(2)/2)*V105*Y105*VLOOKUP('Données projet'!$B$9,Paramètres!$A$1:$I$89,3,0)*0.475*44/12</f>
        <v>7.7586111354381631E-10</v>
      </c>
      <c r="AC105" s="22">
        <f t="shared" si="57"/>
        <v>20.195177966605318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0</v>
      </c>
      <c r="AO105" s="59">
        <f t="shared" si="90"/>
        <v>0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-8.5265128291212022E-14</v>
      </c>
      <c r="BE105" s="13">
        <f>BD105*VLOOKUP('Données projet'!$B$11,Paramètres!$A$1:$I$89,3,0)*VLOOKUP('Données projet'!$B$11,Paramètres!$A$1:$I$89,5,0)</f>
        <v>-6.9167072069831198E-14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175.73034516698141</v>
      </c>
      <c r="BJ105" s="59">
        <f t="shared" si="92"/>
        <v>203.59461632821052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0.75543136284238266</v>
      </c>
      <c r="BR105" s="21">
        <f>EXP(-LN(2)/2)*BR104+(1-EXP(-LN(2)/2))/(LN(2)/2)*BL105*BO105*VLOOKUP('Données projet'!$B$11,Paramètres!$A$1:$I$89,3,0)*0.475*44/12</f>
        <v>1.1877500926625223E-10</v>
      </c>
      <c r="BS105" s="22">
        <f t="shared" si="63"/>
        <v>0.75543136296115765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4.4000000000000004</v>
      </c>
      <c r="BY105" s="12">
        <f>IF('Données projet'!$A$114&gt;35,BY104+BX105-CG104,IF(A105&lt;'Données projet'!$A$114,$BV$205^A105,IF(A105='Données projet'!$A$114,'Données projet'!$B$114,BY104+BX105-CG104)))</f>
        <v>269.80000000000018</v>
      </c>
      <c r="BZ105" s="13">
        <f>BY105*VLOOKUP('Données projet'!$B$12,Paramètres!$A$1:$I$89,3,0)*VLOOKUP('Données projet'!$B$12,Paramètres!$A$1:$I$89,5,0)</f>
        <v>227.27952000000019</v>
      </c>
      <c r="CA105" s="13">
        <f t="shared" si="93"/>
        <v>55.694043418351349</v>
      </c>
      <c r="CB105" s="20">
        <f t="shared" si="64"/>
        <v>492.84562295362889</v>
      </c>
      <c r="CC105" s="59">
        <f t="shared" si="65"/>
        <v>786.17895628696215</v>
      </c>
      <c r="CD105" s="59">
        <f ca="1">AVERAGE(OFFSET($CC$3,0,0,'Données projet'!$E$12+1,1))-AVERAGE(OFFSET($H$3,0,0,'Données projet'!$E$12+1,1))</f>
        <v>258.28817640749349</v>
      </c>
      <c r="CE105" s="59">
        <f t="shared" si="94"/>
        <v>158.16416492761954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23.720920793768592</v>
      </c>
      <c r="CL105" s="21">
        <f>EXP(-LN(2)/25)*CL104+(1-EXP(-LN(2)/25))/(LN(2)/25)*Calculateur!CG105*Calculateur!CI105*VLOOKUP('Données projet'!$B$12,Paramètres!$A$1:$I$89,3,0)*0.475*44/12</f>
        <v>31.617811629324066</v>
      </c>
      <c r="CM105" s="21">
        <f>EXP(-LN(2)/2)*CM104+(1-EXP(-LN(2)/2))/(LN(2)/2)*CG105*CJ105*VLOOKUP('Données projet'!$B$12,Paramètres!$A$1:$I$89,3,0)*0.475*44/12</f>
        <v>2.5649329717013089E-7</v>
      </c>
      <c r="CN105" s="22">
        <f t="shared" si="66"/>
        <v>55.338732679585952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1.1368683772161603E-13</v>
      </c>
      <c r="O106" s="13">
        <f>N106*VLOOKUP('Données projet'!$B$9,Paramètres!$A$1:$I$89,3,0)*VLOOKUP('Données projet'!$B$9,Paramètres!$A$1:$I$89,5,0)</f>
        <v>6.7984728957526396E-14</v>
      </c>
      <c r="P106" s="13">
        <f t="shared" si="87"/>
        <v>1.0682447123141398E-12</v>
      </c>
      <c r="Q106" s="20">
        <f t="shared" si="107"/>
        <v>1.978932943548152E-12</v>
      </c>
      <c r="R106" s="59">
        <f t="shared" si="55"/>
        <v>293.3333333333353</v>
      </c>
      <c r="S106" s="59">
        <f ca="1">AVERAGE(OFFSET($R$3,0,0,'Données projet'!$E$9+1,1))-AVERAGE(OFFSET($H$3,0,0,'Données projet'!$E$9+1,1))</f>
        <v>149.5086927376081</v>
      </c>
      <c r="T106" s="59">
        <f t="shared" si="88"/>
        <v>364.59164590134498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14.198774664502183</v>
      </c>
      <c r="AA106" s="21">
        <f>EXP(-LN(2)/25)*AA105+(1-EXP(-LN(2)/25))/(LN(2)/25)*Calculateur!V106*Calculateur!X106*VLOOKUP('Données projet'!$B$9,Paramètres!$A$1:$I$89,3,0)*0.475*44/12</f>
        <v>5.5561989422979021</v>
      </c>
      <c r="AB106" s="21">
        <f>EXP(-LN(2)/2)*AB105+(1-EXP(-LN(2)/2))/(LN(2)/2)*V106*Y106*VLOOKUP('Données projet'!$B$9,Paramètres!$A$1:$I$89,3,0)*0.475*44/12</f>
        <v>5.4861665464577841E-10</v>
      </c>
      <c r="AC106" s="22">
        <f t="shared" si="57"/>
        <v>19.754973607348703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0</v>
      </c>
      <c r="AO106" s="59">
        <f t="shared" si="90"/>
        <v>0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-8.5265128291212022E-14</v>
      </c>
      <c r="BE106" s="13">
        <f>BD106*VLOOKUP('Données projet'!$B$11,Paramètres!$A$1:$I$89,3,0)*VLOOKUP('Données projet'!$B$11,Paramètres!$A$1:$I$89,5,0)</f>
        <v>-6.9167072069831198E-14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175.73034516698141</v>
      </c>
      <c r="BJ106" s="59">
        <f t="shared" si="92"/>
        <v>203.59461632821052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0.73477405249904892</v>
      </c>
      <c r="BR106" s="21">
        <f>EXP(-LN(2)/2)*BR105+(1-EXP(-LN(2)/2))/(LN(2)/2)*BL106*BO106*VLOOKUP('Données projet'!$B$11,Paramètres!$A$1:$I$89,3,0)*0.475*44/12</f>
        <v>8.3986614487661974E-11</v>
      </c>
      <c r="BS106" s="22">
        <f t="shared" si="63"/>
        <v>0.73477405258303552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4.4000000000000004</v>
      </c>
      <c r="BY106" s="12">
        <f>IF('Données projet'!$A$114&gt;35,BY105+BX106-CG105,IF(A106&lt;'Données projet'!$A$114,$BV$205^A106,IF(A106='Données projet'!$A$114,'Données projet'!$B$114,BY105+BX106-CG105)))</f>
        <v>274.20000000000016</v>
      </c>
      <c r="BZ106" s="13">
        <f>BY106*VLOOKUP('Données projet'!$B$12,Paramètres!$A$1:$I$89,3,0)*VLOOKUP('Données projet'!$B$12,Paramètres!$A$1:$I$89,5,0)</f>
        <v>230.98608000000016</v>
      </c>
      <c r="CA106" s="13">
        <f t="shared" si="93"/>
        <v>56.495841965100801</v>
      </c>
      <c r="CB106" s="20">
        <f t="shared" si="64"/>
        <v>500.69768075588422</v>
      </c>
      <c r="CC106" s="59">
        <f t="shared" si="65"/>
        <v>794.03101408921748</v>
      </c>
      <c r="CD106" s="59">
        <f ca="1">AVERAGE(OFFSET($CC$3,0,0,'Données projet'!$E$12+1,1))-AVERAGE(OFFSET($H$3,0,0,'Données projet'!$E$12+1,1))</f>
        <v>258.28817640749349</v>
      </c>
      <c r="CE106" s="59">
        <f t="shared" si="94"/>
        <v>158.16416492761954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23.255768005335845</v>
      </c>
      <c r="CL106" s="21">
        <f>EXP(-LN(2)/25)*CL105+(1-EXP(-LN(2)/25))/(LN(2)/25)*Calculateur!CG106*Calculateur!CI106*VLOOKUP('Données projet'!$B$12,Paramètres!$A$1:$I$89,3,0)*0.475*44/12</f>
        <v>30.753220907611748</v>
      </c>
      <c r="CM106" s="21">
        <f>EXP(-LN(2)/2)*CM105+(1-EXP(-LN(2)/2))/(LN(2)/2)*CG106*CJ106*VLOOKUP('Données projet'!$B$12,Paramètres!$A$1:$I$89,3,0)*0.475*44/12</f>
        <v>1.8136814975789586E-7</v>
      </c>
      <c r="CN106" s="22">
        <f t="shared" si="66"/>
        <v>54.008989094315744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1.1368683772161603E-13</v>
      </c>
      <c r="O107" s="13">
        <f>N107*VLOOKUP('Données projet'!$B$9,Paramètres!$A$1:$I$89,3,0)*VLOOKUP('Données projet'!$B$9,Paramètres!$A$1:$I$89,5,0)</f>
        <v>6.7984728957526396E-14</v>
      </c>
      <c r="P107" s="13">
        <f t="shared" si="87"/>
        <v>1.0682447123141398E-12</v>
      </c>
      <c r="Q107" s="20">
        <f t="shared" si="107"/>
        <v>1.978932943548152E-12</v>
      </c>
      <c r="R107" s="59">
        <f t="shared" si="55"/>
        <v>293.3333333333353</v>
      </c>
      <c r="S107" s="59">
        <f ca="1">AVERAGE(OFFSET($R$3,0,0,'Données projet'!$E$9+1,1))-AVERAGE(OFFSET($H$3,0,0,'Données projet'!$E$9+1,1))</f>
        <v>149.5086927376081</v>
      </c>
      <c r="T107" s="59">
        <f t="shared" si="88"/>
        <v>364.59164590134498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13.920345353728697</v>
      </c>
      <c r="AA107" s="21">
        <f>EXP(-LN(2)/25)*AA106+(1-EXP(-LN(2)/25))/(LN(2)/25)*Calculateur!V107*Calculateur!X107*VLOOKUP('Données projet'!$B$9,Paramètres!$A$1:$I$89,3,0)*0.475*44/12</f>
        <v>5.4042643900329628</v>
      </c>
      <c r="AB107" s="21">
        <f>EXP(-LN(2)/2)*AB106+(1-EXP(-LN(2)/2))/(LN(2)/2)*V107*Y107*VLOOKUP('Données projet'!$B$9,Paramètres!$A$1:$I$89,3,0)*0.475*44/12</f>
        <v>3.8793055677190815E-10</v>
      </c>
      <c r="AC107" s="22">
        <f t="shared" si="57"/>
        <v>19.324609744149591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0</v>
      </c>
      <c r="AO107" s="59">
        <f t="shared" si="90"/>
        <v>0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-8.5265128291212022E-14</v>
      </c>
      <c r="BE107" s="13">
        <f>BD107*VLOOKUP('Données projet'!$B$11,Paramètres!$A$1:$I$89,3,0)*VLOOKUP('Données projet'!$B$11,Paramètres!$A$1:$I$89,5,0)</f>
        <v>-6.9167072069831198E-14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175.73034516698141</v>
      </c>
      <c r="BJ107" s="59">
        <f t="shared" si="92"/>
        <v>203.59461632821052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0.71468161739337432</v>
      </c>
      <c r="BR107" s="21">
        <f>EXP(-LN(2)/2)*BR106+(1-EXP(-LN(2)/2))/(LN(2)/2)*BL107*BO107*VLOOKUP('Données projet'!$B$11,Paramètres!$A$1:$I$89,3,0)*0.475*44/12</f>
        <v>5.9387504633126117E-11</v>
      </c>
      <c r="BS107" s="22">
        <f t="shared" si="63"/>
        <v>0.71468161745276182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4.4000000000000004</v>
      </c>
      <c r="BY107" s="12">
        <f>IF('Données projet'!$A$114&gt;35,BY106+BX107-CG106,IF(A107&lt;'Données projet'!$A$114,$BV$205^A107,IF(A107='Données projet'!$A$114,'Données projet'!$B$114,BY106+BX107-CG106)))</f>
        <v>278.60000000000014</v>
      </c>
      <c r="BZ107" s="13">
        <f>BY107*VLOOKUP('Données projet'!$B$12,Paramètres!$A$1:$I$89,3,0)*VLOOKUP('Données projet'!$B$12,Paramètres!$A$1:$I$89,5,0)</f>
        <v>234.69264000000013</v>
      </c>
      <c r="CA107" s="13">
        <f t="shared" si="93"/>
        <v>57.29614421540051</v>
      </c>
      <c r="CB107" s="20">
        <f t="shared" si="64"/>
        <v>508.54713250848937</v>
      </c>
      <c r="CC107" s="59">
        <f t="shared" si="65"/>
        <v>801.88046584182268</v>
      </c>
      <c r="CD107" s="59">
        <f ca="1">AVERAGE(OFFSET($CC$3,0,0,'Données projet'!$E$12+1,1))-AVERAGE(OFFSET($H$3,0,0,'Données projet'!$E$12+1,1))</f>
        <v>258.28817640749349</v>
      </c>
      <c r="CE107" s="59">
        <f t="shared" si="94"/>
        <v>158.16416492761954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22.799736579369078</v>
      </c>
      <c r="CL107" s="21">
        <f>EXP(-LN(2)/25)*CL106+(1-EXP(-LN(2)/25))/(LN(2)/25)*Calculateur!CG107*Calculateur!CI107*VLOOKUP('Données projet'!$B$12,Paramètres!$A$1:$I$89,3,0)*0.475*44/12</f>
        <v>29.912272464651505</v>
      </c>
      <c r="CM107" s="21">
        <f>EXP(-LN(2)/2)*CM106+(1-EXP(-LN(2)/2))/(LN(2)/2)*CG107*CJ107*VLOOKUP('Données projet'!$B$12,Paramètres!$A$1:$I$89,3,0)*0.475*44/12</f>
        <v>1.2824664858506545E-7</v>
      </c>
      <c r="CN107" s="22">
        <f t="shared" si="66"/>
        <v>52.71200917226723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1.1368683772161603E-13</v>
      </c>
      <c r="O108" s="13">
        <f>N108*VLOOKUP('Données projet'!$B$9,Paramètres!$A$1:$I$89,3,0)*VLOOKUP('Données projet'!$B$9,Paramètres!$A$1:$I$89,5,0)</f>
        <v>6.7984728957526396E-14</v>
      </c>
      <c r="P108" s="13">
        <f t="shared" si="87"/>
        <v>1.0682447123141398E-12</v>
      </c>
      <c r="Q108" s="20">
        <f t="shared" si="107"/>
        <v>1.978932943548152E-12</v>
      </c>
      <c r="R108" s="59">
        <f t="shared" si="55"/>
        <v>293.3333333333353</v>
      </c>
      <c r="S108" s="59">
        <f ca="1">AVERAGE(OFFSET($R$3,0,0,'Données projet'!$E$9+1,1))-AVERAGE(OFFSET($H$3,0,0,'Données projet'!$E$9+1,1))</f>
        <v>149.5086927376081</v>
      </c>
      <c r="T108" s="59">
        <f t="shared" si="88"/>
        <v>364.59164590134498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13.647375871914369</v>
      </c>
      <c r="AA108" s="21">
        <f>EXP(-LN(2)/25)*AA107+(1-EXP(-LN(2)/25))/(LN(2)/25)*Calculateur!V108*Calculateur!X108*VLOOKUP('Données projet'!$B$9,Paramètres!$A$1:$I$89,3,0)*0.475*44/12</f>
        <v>5.2564844960895991</v>
      </c>
      <c r="AB108" s="21">
        <f>EXP(-LN(2)/2)*AB107+(1-EXP(-LN(2)/2))/(LN(2)/2)*V108*Y108*VLOOKUP('Données projet'!$B$9,Paramètres!$A$1:$I$89,3,0)*0.475*44/12</f>
        <v>2.7430832732288921E-10</v>
      </c>
      <c r="AC108" s="22">
        <f t="shared" si="57"/>
        <v>18.903860368278277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0</v>
      </c>
      <c r="AO108" s="59">
        <f t="shared" si="90"/>
        <v>0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-8.5265128291212022E-14</v>
      </c>
      <c r="BE108" s="13">
        <f>BD108*VLOOKUP('Données projet'!$B$11,Paramètres!$A$1:$I$89,3,0)*VLOOKUP('Données projet'!$B$11,Paramètres!$A$1:$I$89,5,0)</f>
        <v>-6.9167072069831198E-14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175.73034516698141</v>
      </c>
      <c r="BJ108" s="59">
        <f t="shared" si="92"/>
        <v>203.59461632821052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0.69513861098227969</v>
      </c>
      <c r="BR108" s="21">
        <f>EXP(-LN(2)/2)*BR107+(1-EXP(-LN(2)/2))/(LN(2)/2)*BL108*BO108*VLOOKUP('Données projet'!$B$11,Paramètres!$A$1:$I$89,3,0)*0.475*44/12</f>
        <v>4.1993307243830987E-11</v>
      </c>
      <c r="BS108" s="22">
        <f t="shared" si="63"/>
        <v>0.69513861102427299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4.4000000000000004</v>
      </c>
      <c r="BY108" s="12">
        <f>IF('Données projet'!$A$114&gt;35,BY107+BX108-CG107,IF(A108&lt;'Données projet'!$A$114,$BV$205^A108,IF(A108='Données projet'!$A$114,'Données projet'!$B$114,BY107+BX108-CG107)))</f>
        <v>283.00000000000011</v>
      </c>
      <c r="BZ108" s="13">
        <f>BY108*VLOOKUP('Données projet'!$B$12,Paramètres!$A$1:$I$89,3,0)*VLOOKUP('Données projet'!$B$12,Paramètres!$A$1:$I$89,5,0)</f>
        <v>238.39920000000012</v>
      </c>
      <c r="CA108" s="13">
        <f t="shared" si="93"/>
        <v>58.094976529303409</v>
      </c>
      <c r="CB108" s="20">
        <f t="shared" si="64"/>
        <v>516.3940241218703</v>
      </c>
      <c r="CC108" s="59">
        <f t="shared" si="65"/>
        <v>809.72735745520367</v>
      </c>
      <c r="CD108" s="59">
        <f ca="1">AVERAGE(OFFSET($CC$3,0,0,'Données projet'!$E$12+1,1))-AVERAGE(OFFSET($H$3,0,0,'Données projet'!$E$12+1,1))</f>
        <v>258.28817640749349</v>
      </c>
      <c r="CE108" s="59">
        <f t="shared" si="94"/>
        <v>158.16416492761954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22.352647651513813</v>
      </c>
      <c r="CL108" s="21">
        <f>EXP(-LN(2)/25)*CL107+(1-EXP(-LN(2)/25))/(LN(2)/25)*Calculateur!CG108*Calculateur!CI108*VLOOKUP('Données projet'!$B$12,Paramètres!$A$1:$I$89,3,0)*0.475*44/12</f>
        <v>29.094319801087565</v>
      </c>
      <c r="CM108" s="21">
        <f>EXP(-LN(2)/2)*CM107+(1-EXP(-LN(2)/2))/(LN(2)/2)*CG108*CJ108*VLOOKUP('Données projet'!$B$12,Paramètres!$A$1:$I$89,3,0)*0.475*44/12</f>
        <v>9.0684074878947928E-8</v>
      </c>
      <c r="CN108" s="22">
        <f t="shared" si="66"/>
        <v>51.446967543285453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1.1368683772161603E-13</v>
      </c>
      <c r="O109" s="13">
        <f>N109*VLOOKUP('Données projet'!$B$9,Paramètres!$A$1:$I$89,3,0)*VLOOKUP('Données projet'!$B$9,Paramètres!$A$1:$I$89,5,0)</f>
        <v>6.7984728957526396E-14</v>
      </c>
      <c r="P109" s="13">
        <f t="shared" si="87"/>
        <v>1.0682447123141398E-12</v>
      </c>
      <c r="Q109" s="20">
        <f t="shared" si="107"/>
        <v>1.978932943548152E-12</v>
      </c>
      <c r="R109" s="59">
        <f t="shared" si="55"/>
        <v>293.3333333333353</v>
      </c>
      <c r="S109" s="59">
        <f ca="1">AVERAGE(OFFSET($R$3,0,0,'Données projet'!$E$9+1,1))-AVERAGE(OFFSET($H$3,0,0,'Données projet'!$E$9+1,1))</f>
        <v>149.5086927376081</v>
      </c>
      <c r="T109" s="59">
        <f t="shared" si="88"/>
        <v>364.59164590134498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13.379759155143475</v>
      </c>
      <c r="AA109" s="21">
        <f>EXP(-LN(2)/25)*AA108+(1-EXP(-LN(2)/25))/(LN(2)/25)*Calculateur!V109*Calculateur!X109*VLOOKUP('Données projet'!$B$9,Paramètres!$A$1:$I$89,3,0)*0.475*44/12</f>
        <v>5.1127456511175229</v>
      </c>
      <c r="AB109" s="21">
        <f>EXP(-LN(2)/2)*AB108+(1-EXP(-LN(2)/2))/(LN(2)/2)*V109*Y109*VLOOKUP('Données projet'!$B$9,Paramètres!$A$1:$I$89,3,0)*0.475*44/12</f>
        <v>1.9396527838595408E-10</v>
      </c>
      <c r="AC109" s="22">
        <f t="shared" si="57"/>
        <v>18.49250480645496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0</v>
      </c>
      <c r="AO109" s="59">
        <f t="shared" si="90"/>
        <v>0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-8.5265128291212022E-14</v>
      </c>
      <c r="BE109" s="13">
        <f>BD109*VLOOKUP('Données projet'!$B$11,Paramètres!$A$1:$I$89,3,0)*VLOOKUP('Données projet'!$B$11,Paramètres!$A$1:$I$89,5,0)</f>
        <v>-6.9167072069831198E-14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175.73034516698141</v>
      </c>
      <c r="BJ109" s="59">
        <f t="shared" si="92"/>
        <v>203.59461632821052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0.6761300091092185</v>
      </c>
      <c r="BR109" s="21">
        <f>EXP(-LN(2)/2)*BR108+(1-EXP(-LN(2)/2))/(LN(2)/2)*BL109*BO109*VLOOKUP('Données projet'!$B$11,Paramètres!$A$1:$I$89,3,0)*0.475*44/12</f>
        <v>2.9693752316563058E-11</v>
      </c>
      <c r="BS109" s="22">
        <f t="shared" si="63"/>
        <v>0.6761300091389123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4.4000000000000004</v>
      </c>
      <c r="BY109" s="12">
        <f>IF('Données projet'!$A$114&gt;35,BY108+BX109-CG108,IF(A109&lt;'Données projet'!$A$114,$BV$205^A109,IF(A109='Données projet'!$A$114,'Données projet'!$B$114,BY108+BX109-CG108)))</f>
        <v>287.40000000000009</v>
      </c>
      <c r="BZ109" s="13">
        <f>BY109*VLOOKUP('Données projet'!$B$12,Paramètres!$A$1:$I$89,3,0)*VLOOKUP('Données projet'!$B$12,Paramètres!$A$1:$I$89,5,0)</f>
        <v>242.10576000000009</v>
      </c>
      <c r="CA109" s="13">
        <f t="shared" si="93"/>
        <v>58.89236440016073</v>
      </c>
      <c r="CB109" s="20">
        <f t="shared" si="64"/>
        <v>524.23839999694667</v>
      </c>
      <c r="CC109" s="59">
        <f t="shared" si="65"/>
        <v>817.57173333028004</v>
      </c>
      <c r="CD109" s="59">
        <f ca="1">AVERAGE(OFFSET($CC$3,0,0,'Données projet'!$E$12+1,1))-AVERAGE(OFFSET($H$3,0,0,'Données projet'!$E$12+1,1))</f>
        <v>258.28817640749349</v>
      </c>
      <c r="CE109" s="59">
        <f t="shared" si="94"/>
        <v>158.16416492761954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21.914325864836471</v>
      </c>
      <c r="CL109" s="21">
        <f>EXP(-LN(2)/25)*CL108+(1-EXP(-LN(2)/25))/(LN(2)/25)*Calculateur!CG109*Calculateur!CI109*VLOOKUP('Données projet'!$B$12,Paramètres!$A$1:$I$89,3,0)*0.475*44/12</f>
        <v>28.298734096123042</v>
      </c>
      <c r="CM109" s="21">
        <f>EXP(-LN(2)/2)*CM108+(1-EXP(-LN(2)/2))/(LN(2)/2)*CG109*CJ109*VLOOKUP('Données projet'!$B$12,Paramètres!$A$1:$I$89,3,0)*0.475*44/12</f>
        <v>6.4123324292532723E-8</v>
      </c>
      <c r="CN109" s="22">
        <f t="shared" si="66"/>
        <v>50.213060025082839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1.1368683772161603E-13</v>
      </c>
      <c r="O110" s="13">
        <f>N110*VLOOKUP('Données projet'!$B$9,Paramètres!$A$1:$I$89,3,0)*VLOOKUP('Données projet'!$B$9,Paramètres!$A$1:$I$89,5,0)</f>
        <v>6.7984728957526396E-14</v>
      </c>
      <c r="P110" s="13">
        <f t="shared" si="87"/>
        <v>1.0682447123141398E-12</v>
      </c>
      <c r="Q110" s="20">
        <f t="shared" si="107"/>
        <v>1.978932943548152E-12</v>
      </c>
      <c r="R110" s="59">
        <f t="shared" si="55"/>
        <v>293.3333333333353</v>
      </c>
      <c r="S110" s="59">
        <f ca="1">AVERAGE(OFFSET($R$3,0,0,'Données projet'!$E$9+1,1))-AVERAGE(OFFSET($H$3,0,0,'Données projet'!$E$9+1,1))</f>
        <v>149.5086927376081</v>
      </c>
      <c r="T110" s="59">
        <f t="shared" si="88"/>
        <v>364.59164590134498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13.117390238958379</v>
      </c>
      <c r="AA110" s="21">
        <f>EXP(-LN(2)/25)*AA109+(1-EXP(-LN(2)/25))/(LN(2)/25)*Calculateur!V110*Calculateur!X110*VLOOKUP('Données projet'!$B$9,Paramètres!$A$1:$I$89,3,0)*0.475*44/12</f>
        <v>4.9729373524201055</v>
      </c>
      <c r="AB110" s="21">
        <f>EXP(-LN(2)/2)*AB109+(1-EXP(-LN(2)/2))/(LN(2)/2)*V110*Y110*VLOOKUP('Données projet'!$B$9,Paramètres!$A$1:$I$89,3,0)*0.475*44/12</f>
        <v>1.371541636614446E-10</v>
      </c>
      <c r="AC110" s="22">
        <f t="shared" si="57"/>
        <v>18.090327591515635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0</v>
      </c>
      <c r="AO110" s="59">
        <f t="shared" si="90"/>
        <v>0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-8.5265128291212022E-14</v>
      </c>
      <c r="BE110" s="13">
        <f>BD110*VLOOKUP('Données projet'!$B$11,Paramètres!$A$1:$I$89,3,0)*VLOOKUP('Données projet'!$B$11,Paramètres!$A$1:$I$89,5,0)</f>
        <v>-6.9167072069831198E-14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175.73034516698141</v>
      </c>
      <c r="BJ110" s="59">
        <f t="shared" si="92"/>
        <v>203.59461632821052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0.65764119845399505</v>
      </c>
      <c r="BR110" s="21">
        <f>EXP(-LN(2)/2)*BR109+(1-EXP(-LN(2)/2))/(LN(2)/2)*BL110*BO110*VLOOKUP('Données projet'!$B$11,Paramètres!$A$1:$I$89,3,0)*0.475*44/12</f>
        <v>2.0996653621915493E-11</v>
      </c>
      <c r="BS110" s="22">
        <f t="shared" si="63"/>
        <v>0.6576411984749917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4.4000000000000004</v>
      </c>
      <c r="BY110" s="12">
        <f>IF('Données projet'!$A$114&gt;35,BY109+BX110-CG109,IF(A110&lt;'Données projet'!$A$114,$BV$205^A110,IF(A110='Données projet'!$A$114,'Données projet'!$B$114,BY109+BX110-CG109)))</f>
        <v>291.80000000000007</v>
      </c>
      <c r="BZ110" s="13">
        <f>BY110*VLOOKUP('Données projet'!$B$12,Paramètres!$A$1:$I$89,3,0)*VLOOKUP('Données projet'!$B$12,Paramètres!$A$1:$I$89,5,0)</f>
        <v>245.81232000000011</v>
      </c>
      <c r="CA110" s="13">
        <f t="shared" si="93"/>
        <v>59.688332495943037</v>
      </c>
      <c r="CB110" s="20">
        <f t="shared" si="64"/>
        <v>532.08030309710091</v>
      </c>
      <c r="CC110" s="59">
        <f t="shared" si="65"/>
        <v>825.41363643043428</v>
      </c>
      <c r="CD110" s="59">
        <f ca="1">AVERAGE(OFFSET($CC$3,0,0,'Données projet'!$E$12+1,1))-AVERAGE(OFFSET($H$3,0,0,'Données projet'!$E$12+1,1))</f>
        <v>258.28817640749349</v>
      </c>
      <c r="CE110" s="59">
        <f t="shared" si="94"/>
        <v>158.16416492761954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21.484599301045982</v>
      </c>
      <c r="CL110" s="21">
        <f>EXP(-LN(2)/25)*CL109+(1-EXP(-LN(2)/25))/(LN(2)/25)*Calculateur!CG110*Calculateur!CI110*VLOOKUP('Données projet'!$B$12,Paramètres!$A$1:$I$89,3,0)*0.475*44/12</f>
        <v>27.524903724098809</v>
      </c>
      <c r="CM110" s="21">
        <f>EXP(-LN(2)/2)*CM109+(1-EXP(-LN(2)/2))/(LN(2)/2)*CG110*CJ110*VLOOKUP('Données projet'!$B$12,Paramètres!$A$1:$I$89,3,0)*0.475*44/12</f>
        <v>4.5342037439473964E-8</v>
      </c>
      <c r="CN110" s="22">
        <f t="shared" si="66"/>
        <v>49.009503070486829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1.1368683772161603E-13</v>
      </c>
      <c r="O111" s="13">
        <f>N111*VLOOKUP('Données projet'!$B$9,Paramètres!$A$1:$I$89,3,0)*VLOOKUP('Données projet'!$B$9,Paramètres!$A$1:$I$89,5,0)</f>
        <v>6.7984728957526396E-14</v>
      </c>
      <c r="P111" s="13">
        <f t="shared" si="87"/>
        <v>1.0682447123141398E-12</v>
      </c>
      <c r="Q111" s="20">
        <f t="shared" si="107"/>
        <v>1.978932943548152E-12</v>
      </c>
      <c r="R111" s="59">
        <f t="shared" si="55"/>
        <v>293.3333333333353</v>
      </c>
      <c r="S111" s="59">
        <f ca="1">AVERAGE(OFFSET($R$3,0,0,'Données projet'!$E$9+1,1))-AVERAGE(OFFSET($H$3,0,0,'Données projet'!$E$9+1,1))</f>
        <v>149.5086927376081</v>
      </c>
      <c r="T111" s="59">
        <f t="shared" si="88"/>
        <v>364.59164590134498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12.860166217190436</v>
      </c>
      <c r="AA111" s="21">
        <f>EXP(-LN(2)/25)*AA110+(1-EXP(-LN(2)/25))/(LN(2)/25)*Calculateur!V111*Calculateur!X111*VLOOKUP('Données projet'!$B$9,Paramètres!$A$1:$I$89,3,0)*0.475*44/12</f>
        <v>4.8369521190027678</v>
      </c>
      <c r="AB111" s="21">
        <f>EXP(-LN(2)/2)*AB110+(1-EXP(-LN(2)/2))/(LN(2)/2)*V111*Y111*VLOOKUP('Données projet'!$B$9,Paramètres!$A$1:$I$89,3,0)*0.475*44/12</f>
        <v>9.6982639192977039E-11</v>
      </c>
      <c r="AC111" s="22">
        <f t="shared" si="57"/>
        <v>17.697118336290185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0</v>
      </c>
      <c r="AO111" s="59">
        <f t="shared" si="90"/>
        <v>0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-8.5265128291212022E-14</v>
      </c>
      <c r="BE111" s="13">
        <f>BD111*VLOOKUP('Données projet'!$B$11,Paramètres!$A$1:$I$89,3,0)*VLOOKUP('Données projet'!$B$11,Paramètres!$A$1:$I$89,5,0)</f>
        <v>-6.9167072069831198E-14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175.73034516698141</v>
      </c>
      <c r="BJ111" s="59">
        <f t="shared" si="92"/>
        <v>203.59461632821052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0.639657965298423</v>
      </c>
      <c r="BR111" s="21">
        <f>EXP(-LN(2)/2)*BR110+(1-EXP(-LN(2)/2))/(LN(2)/2)*BL111*BO111*VLOOKUP('Données projet'!$B$11,Paramètres!$A$1:$I$89,3,0)*0.475*44/12</f>
        <v>1.4846876158281529E-11</v>
      </c>
      <c r="BS111" s="22">
        <f t="shared" si="63"/>
        <v>0.63965796531326991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4.4000000000000004</v>
      </c>
      <c r="BY111" s="12">
        <f>IF('Données projet'!$A$114&gt;35,BY110+BX111-CG110,IF(A111&lt;'Données projet'!$A$114,$BV$205^A111,IF(A111='Données projet'!$A$114,'Données projet'!$B$114,BY110+BX111-CG110)))</f>
        <v>296.20000000000005</v>
      </c>
      <c r="BZ111" s="13">
        <f>BY111*VLOOKUP('Données projet'!$B$12,Paramètres!$A$1:$I$89,3,0)*VLOOKUP('Données projet'!$B$12,Paramètres!$A$1:$I$89,5,0)</f>
        <v>249.51888000000005</v>
      </c>
      <c r="CA111" s="13">
        <f t="shared" si="93"/>
        <v>60.482904697997903</v>
      </c>
      <c r="CB111" s="20">
        <f t="shared" si="64"/>
        <v>539.91977501567965</v>
      </c>
      <c r="CC111" s="59">
        <f t="shared" si="65"/>
        <v>833.25310834901302</v>
      </c>
      <c r="CD111" s="59">
        <f ca="1">AVERAGE(OFFSET($CC$3,0,0,'Données projet'!$E$12+1,1))-AVERAGE(OFFSET($H$3,0,0,'Données projet'!$E$12+1,1))</f>
        <v>258.28817640749349</v>
      </c>
      <c r="CE111" s="59">
        <f t="shared" si="94"/>
        <v>158.16416492761954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21.063299413064101</v>
      </c>
      <c r="CL111" s="21">
        <f>EXP(-LN(2)/25)*CL110+(1-EXP(-LN(2)/25))/(LN(2)/25)*Calculateur!CG111*Calculateur!CI111*VLOOKUP('Données projet'!$B$12,Paramètres!$A$1:$I$89,3,0)*0.475*44/12</f>
        <v>26.772233784291551</v>
      </c>
      <c r="CM111" s="21">
        <f>EXP(-LN(2)/2)*CM110+(1-EXP(-LN(2)/2))/(LN(2)/2)*CG111*CJ111*VLOOKUP('Données projet'!$B$12,Paramètres!$A$1:$I$89,3,0)*0.475*44/12</f>
        <v>3.2061662146266362E-8</v>
      </c>
      <c r="CN111" s="22">
        <f t="shared" si="66"/>
        <v>47.835533229417315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1.1368683772161603E-13</v>
      </c>
      <c r="O112" s="13">
        <f>N112*VLOOKUP('Données projet'!$B$9,Paramètres!$A$1:$I$89,3,0)*VLOOKUP('Données projet'!$B$9,Paramètres!$A$1:$I$89,5,0)</f>
        <v>6.7984728957526396E-14</v>
      </c>
      <c r="P112" s="13">
        <f t="shared" si="87"/>
        <v>1.0682447123141398E-12</v>
      </c>
      <c r="Q112" s="20">
        <f t="shared" si="107"/>
        <v>1.978932943548152E-12</v>
      </c>
      <c r="R112" s="59">
        <f t="shared" si="55"/>
        <v>293.3333333333353</v>
      </c>
      <c r="S112" s="59">
        <f ca="1">AVERAGE(OFFSET($R$3,0,0,'Données projet'!$E$9+1,1))-AVERAGE(OFFSET($H$3,0,0,'Données projet'!$E$9+1,1))</f>
        <v>149.5086927376081</v>
      </c>
      <c r="T112" s="59">
        <f t="shared" si="88"/>
        <v>364.59164590134498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12.6079862015982</v>
      </c>
      <c r="AA112" s="21">
        <f>EXP(-LN(2)/25)*AA111+(1-EXP(-LN(2)/25))/(LN(2)/25)*Calculateur!V112*Calculateur!X112*VLOOKUP('Données projet'!$B$9,Paramètres!$A$1:$I$89,3,0)*0.475*44/12</f>
        <v>4.7046854089443801</v>
      </c>
      <c r="AB112" s="21">
        <f>EXP(-LN(2)/2)*AB111+(1-EXP(-LN(2)/2))/(LN(2)/2)*V112*Y112*VLOOKUP('Données projet'!$B$9,Paramètres!$A$1:$I$89,3,0)*0.475*44/12</f>
        <v>6.8577081830722302E-11</v>
      </c>
      <c r="AC112" s="22">
        <f t="shared" si="57"/>
        <v>17.312671610611158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0</v>
      </c>
      <c r="AO112" s="59">
        <f t="shared" si="90"/>
        <v>0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-8.5265128291212022E-14</v>
      </c>
      <c r="BE112" s="13">
        <f>BD112*VLOOKUP('Données projet'!$B$11,Paramètres!$A$1:$I$89,3,0)*VLOOKUP('Données projet'!$B$11,Paramètres!$A$1:$I$89,5,0)</f>
        <v>-6.9167072069831198E-14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175.73034516698141</v>
      </c>
      <c r="BJ112" s="59">
        <f t="shared" si="92"/>
        <v>203.59461632821052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0.62216648459918722</v>
      </c>
      <c r="BR112" s="21">
        <f>EXP(-LN(2)/2)*BR111+(1-EXP(-LN(2)/2))/(LN(2)/2)*BL112*BO112*VLOOKUP('Données projet'!$B$11,Paramètres!$A$1:$I$89,3,0)*0.475*44/12</f>
        <v>1.0498326810957747E-11</v>
      </c>
      <c r="BS112" s="22">
        <f t="shared" si="63"/>
        <v>0.6221664846096856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4.4000000000000004</v>
      </c>
      <c r="BY112" s="12">
        <f>IF('Données projet'!$A$114&gt;35,BY111+BX112-CG111,IF(A112&lt;'Données projet'!$A$114,$BV$205^A112,IF(A112='Données projet'!$A$114,'Données projet'!$B$114,BY111+BX112-CG111)))</f>
        <v>300.60000000000002</v>
      </c>
      <c r="BZ112" s="13">
        <f>BY112*VLOOKUP('Données projet'!$B$12,Paramètres!$A$1:$I$89,3,0)*VLOOKUP('Données projet'!$B$12,Paramètres!$A$1:$I$89,5,0)</f>
        <v>253.22544000000002</v>
      </c>
      <c r="CA112" s="13">
        <f t="shared" si="93"/>
        <v>61.276104137439475</v>
      </c>
      <c r="CB112" s="20">
        <f t="shared" si="64"/>
        <v>547.7568560393737</v>
      </c>
      <c r="CC112" s="59">
        <f t="shared" si="65"/>
        <v>841.09018937270707</v>
      </c>
      <c r="CD112" s="59">
        <f ca="1">AVERAGE(OFFSET($CC$3,0,0,'Données projet'!$E$12+1,1))-AVERAGE(OFFSET($H$3,0,0,'Données projet'!$E$12+1,1))</f>
        <v>258.28817640749349</v>
      </c>
      <c r="CE112" s="59">
        <f t="shared" si="94"/>
        <v>158.16416492761954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20.650260958917986</v>
      </c>
      <c r="CL112" s="21">
        <f>EXP(-LN(2)/25)*CL111+(1-EXP(-LN(2)/25))/(LN(2)/25)*Calculateur!CG112*Calculateur!CI112*VLOOKUP('Données projet'!$B$12,Paramètres!$A$1:$I$89,3,0)*0.475*44/12</f>
        <v>26.040145643569513</v>
      </c>
      <c r="CM112" s="21">
        <f>EXP(-LN(2)/2)*CM111+(1-EXP(-LN(2)/2))/(LN(2)/2)*CG112*CJ112*VLOOKUP('Données projet'!$B$12,Paramètres!$A$1:$I$89,3,0)*0.475*44/12</f>
        <v>2.2671018719736982E-8</v>
      </c>
      <c r="CN112" s="22">
        <f t="shared" si="66"/>
        <v>46.690406625158516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1.1368683772161603E-13</v>
      </c>
      <c r="O113" s="13">
        <f>N113*VLOOKUP('Données projet'!$B$9,Paramètres!$A$1:$I$89,3,0)*VLOOKUP('Données projet'!$B$9,Paramètres!$A$1:$I$89,5,0)</f>
        <v>6.7984728957526396E-14</v>
      </c>
      <c r="P113" s="13">
        <f t="shared" si="87"/>
        <v>1.0682447123141398E-12</v>
      </c>
      <c r="Q113" s="20">
        <f t="shared" si="107"/>
        <v>1.978932943548152E-12</v>
      </c>
      <c r="R113" s="59">
        <f t="shared" si="55"/>
        <v>293.3333333333353</v>
      </c>
      <c r="S113" s="59">
        <f ca="1">AVERAGE(OFFSET($R$3,0,0,'Données projet'!$E$9+1,1))-AVERAGE(OFFSET($H$3,0,0,'Données projet'!$E$9+1,1))</f>
        <v>149.5086927376081</v>
      </c>
      <c r="T113" s="59">
        <f t="shared" si="88"/>
        <v>364.59164590134498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12.360751282297107</v>
      </c>
      <c r="AA113" s="21">
        <f>EXP(-LN(2)/25)*AA112+(1-EXP(-LN(2)/25))/(LN(2)/25)*Calculateur!V113*Calculateur!X113*VLOOKUP('Données projet'!$B$9,Paramètres!$A$1:$I$89,3,0)*0.475*44/12</f>
        <v>4.5760355390281431</v>
      </c>
      <c r="AB113" s="21">
        <f>EXP(-LN(2)/2)*AB112+(1-EXP(-LN(2)/2))/(LN(2)/2)*V113*Y113*VLOOKUP('Données projet'!$B$9,Paramètres!$A$1:$I$89,3,0)*0.475*44/12</f>
        <v>4.8491319596488519E-11</v>
      </c>
      <c r="AC113" s="22">
        <f t="shared" si="57"/>
        <v>16.93678682137374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0</v>
      </c>
      <c r="AO113" s="59">
        <f t="shared" si="90"/>
        <v>0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-8.5265128291212022E-14</v>
      </c>
      <c r="BE113" s="13">
        <f>BD113*VLOOKUP('Données projet'!$B$11,Paramètres!$A$1:$I$89,3,0)*VLOOKUP('Données projet'!$B$11,Paramètres!$A$1:$I$89,5,0)</f>
        <v>-6.9167072069831198E-14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175.73034516698141</v>
      </c>
      <c r="BJ113" s="59">
        <f t="shared" si="92"/>
        <v>203.59461632821052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0.60515330935950895</v>
      </c>
      <c r="BR113" s="21">
        <f>EXP(-LN(2)/2)*BR112+(1-EXP(-LN(2)/2))/(LN(2)/2)*BL113*BO113*VLOOKUP('Données projet'!$B$11,Paramètres!$A$1:$I$89,3,0)*0.475*44/12</f>
        <v>7.4234380791407646E-12</v>
      </c>
      <c r="BS113" s="22">
        <f t="shared" si="63"/>
        <v>0.60515330936693235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305</v>
      </c>
      <c r="BW113" s="12">
        <f>VLOOKUP(A113,'Données projet'!$A$113:$I$133,9,0)</f>
        <v>4.4000000000000004</v>
      </c>
      <c r="BX113" s="12">
        <f t="array" ref="BX113">INDEX(BW:BW,MIN(IF(ISNUMBER(BW113:BW309),ROW(BW113:BW309),"")))</f>
        <v>4.4000000000000004</v>
      </c>
      <c r="BY113" s="12">
        <f>IF('Données projet'!$A$114&gt;35,BY112+BX113-CG112,IF(A113&lt;'Données projet'!$A$114,$BV$205^A113,IF(A113='Données projet'!$A$114,'Données projet'!$B$114,BY112+BX113-CG112)))</f>
        <v>305</v>
      </c>
      <c r="BZ113" s="13">
        <f>BY113*VLOOKUP('Données projet'!$B$12,Paramètres!$A$1:$I$89,3,0)*VLOOKUP('Données projet'!$B$12,Paramètres!$A$1:$I$89,5,0)</f>
        <v>256.93200000000002</v>
      </c>
      <c r="CA113" s="13">
        <f t="shared" si="93"/>
        <v>62.067953229346614</v>
      </c>
      <c r="CB113" s="20">
        <f t="shared" si="64"/>
        <v>555.59158520777862</v>
      </c>
      <c r="CC113" s="59">
        <f t="shared" si="65"/>
        <v>848.92491854111199</v>
      </c>
      <c r="CD113" s="59">
        <f ca="1">AVERAGE(OFFSET($CC$3,0,0,'Données projet'!$E$12+1,1))-AVERAGE(OFFSET($H$3,0,0,'Données projet'!$E$12+1,1))</f>
        <v>258.28817640749349</v>
      </c>
      <c r="CE113" s="59">
        <f t="shared" si="94"/>
        <v>158.16416492761954</v>
      </c>
      <c r="CF113" s="15">
        <f>IF(ISNA(VLOOKUP(A113,'Données projet'!$A$113:$I$133,3,0)),0,VLOOKUP(A113,'Données projet'!$A$113:$I$133,3,0))</f>
        <v>10</v>
      </c>
      <c r="CG113" s="15">
        <f>IF(ISNA(VLOOKUP(A113,'Données projet'!$A$113:$I$133,4,0)),0,VLOOKUP(A113,'Données projet'!$A$113:$I$133,4,0))</f>
        <v>39</v>
      </c>
      <c r="CH113" s="16">
        <f>IF(ISNA(VLOOKUP(A113,'Données projet'!$A$113:$I$133,5,0)),0%,VLOOKUP(A113,'Données projet'!$A$113:$I$133,5,0)*VLOOKUP('Données projet'!$B$12,Paramètres!$A$1:$I$89,7,0))</f>
        <v>0.23650000000000002</v>
      </c>
      <c r="CI113" s="16">
        <f>IF(ISNA(VLOOKUP(A113,'Données projet'!$A$113:$I$133,6,0)),0%,VLOOKUP(A113,'Données projet'!$A$113:$I$133,6,0)*VLOOKUP('Données projet'!$B$12,Paramètres!$A$1:$I$89,7,0))</f>
        <v>0.19350000000000001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28.834690149761208</v>
      </c>
      <c r="CL113" s="21">
        <f>EXP(-LN(2)/25)*CL112+(1-EXP(-LN(2)/25))/(LN(2)/25)*Calculateur!CG113*Calculateur!CI113*VLOOKUP('Données projet'!$B$12,Paramètres!$A$1:$I$89,3,0)*0.475*44/12</f>
        <v>32.328070798495347</v>
      </c>
      <c r="CM113" s="21">
        <f>EXP(-LN(2)/2)*CM112+(1-EXP(-LN(2)/2))/(LN(2)/2)*CG113*CJ113*VLOOKUP('Données projet'!$B$12,Paramètres!$A$1:$I$89,3,0)*0.475*44/12</f>
        <v>1.6030831073133181E-8</v>
      </c>
      <c r="CN113" s="22">
        <f t="shared" si="66"/>
        <v>61.162760964287386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1.1368683772161603E-13</v>
      </c>
      <c r="O114" s="13">
        <f>N114*VLOOKUP('Données projet'!$B$9,Paramètres!$A$1:$I$89,3,0)*VLOOKUP('Données projet'!$B$9,Paramètres!$A$1:$I$89,5,0)</f>
        <v>6.7984728957526396E-14</v>
      </c>
      <c r="P114" s="13">
        <f t="shared" si="87"/>
        <v>1.0682447123141398E-12</v>
      </c>
      <c r="Q114" s="20">
        <f t="shared" si="107"/>
        <v>1.978932943548152E-12</v>
      </c>
      <c r="R114" s="59">
        <f t="shared" si="55"/>
        <v>293.3333333333353</v>
      </c>
      <c r="S114" s="59">
        <f ca="1">AVERAGE(OFFSET($R$3,0,0,'Données projet'!$E$9+1,1))-AVERAGE(OFFSET($H$3,0,0,'Données projet'!$E$9+1,1))</f>
        <v>149.5086927376081</v>
      </c>
      <c r="T114" s="59">
        <f t="shared" si="88"/>
        <v>364.59164590134498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12.118364488965097</v>
      </c>
      <c r="AA114" s="21">
        <f>EXP(-LN(2)/25)*AA113+(1-EXP(-LN(2)/25))/(LN(2)/25)*Calculateur!V114*Calculateur!X114*VLOOKUP('Données projet'!$B$9,Paramètres!$A$1:$I$89,3,0)*0.475*44/12</f>
        <v>4.4509036065701686</v>
      </c>
      <c r="AB114" s="21">
        <f>EXP(-LN(2)/2)*AB113+(1-EXP(-LN(2)/2))/(LN(2)/2)*V114*Y114*VLOOKUP('Données projet'!$B$9,Paramètres!$A$1:$I$89,3,0)*0.475*44/12</f>
        <v>3.4288540915361151E-11</v>
      </c>
      <c r="AC114" s="22">
        <f t="shared" si="57"/>
        <v>16.569268095569551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0</v>
      </c>
      <c r="AO114" s="59">
        <f t="shared" si="90"/>
        <v>0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-8.5265128291212022E-14</v>
      </c>
      <c r="BE114" s="13">
        <f>BD114*VLOOKUP('Données projet'!$B$11,Paramètres!$A$1:$I$89,3,0)*VLOOKUP('Données projet'!$B$11,Paramètres!$A$1:$I$89,5,0)</f>
        <v>-6.9167072069831198E-14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175.73034516698141</v>
      </c>
      <c r="BJ114" s="59">
        <f t="shared" si="92"/>
        <v>203.59461632821052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0.58860536029144372</v>
      </c>
      <c r="BR114" s="21">
        <f>EXP(-LN(2)/2)*BR113+(1-EXP(-LN(2)/2))/(LN(2)/2)*BL114*BO114*VLOOKUP('Données projet'!$B$11,Paramètres!$A$1:$I$89,3,0)*0.475*44/12</f>
        <v>5.2491634054788734E-12</v>
      </c>
      <c r="BS114" s="22">
        <f t="shared" si="63"/>
        <v>0.58860536029669286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3.7</v>
      </c>
      <c r="BY114" s="12">
        <f>IF('Données projet'!$A$114&gt;35,BY113+BX114-CG113,IF(A114&lt;'Données projet'!$A$114,$BV$205^A114,IF(A114='Données projet'!$A$114,'Données projet'!$B$114,BY113+BX114-CG113)))</f>
        <v>269.7</v>
      </c>
      <c r="BZ114" s="13">
        <f>BY114*VLOOKUP('Données projet'!$B$12,Paramètres!$A$1:$I$89,3,0)*VLOOKUP('Données projet'!$B$12,Paramètres!$A$1:$I$89,5,0)</f>
        <v>227.19528000000003</v>
      </c>
      <c r="CA114" s="13">
        <f t="shared" si="93"/>
        <v>55.675803122401277</v>
      </c>
      <c r="CB114" s="20">
        <f t="shared" si="64"/>
        <v>492.66713643818213</v>
      </c>
      <c r="CC114" s="59">
        <f t="shared" si="65"/>
        <v>786.00046977151544</v>
      </c>
      <c r="CD114" s="59">
        <f ca="1">AVERAGE(OFFSET($CC$3,0,0,'Données projet'!$E$12+1,1))-AVERAGE(OFFSET($H$3,0,0,'Données projet'!$E$12+1,1))</f>
        <v>258.28817640749349</v>
      </c>
      <c r="CE114" s="59">
        <f t="shared" si="94"/>
        <v>158.16416492761954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28.269259463348767</v>
      </c>
      <c r="CL114" s="21">
        <f>EXP(-LN(2)/25)*CL113+(1-EXP(-LN(2)/25))/(LN(2)/25)*Calculateur!CG114*Calculateur!CI114*VLOOKUP('Données projet'!$B$12,Paramètres!$A$1:$I$89,3,0)*0.475*44/12</f>
        <v>31.444058002451136</v>
      </c>
      <c r="CM114" s="21">
        <f>EXP(-LN(2)/2)*CM113+(1-EXP(-LN(2)/2))/(LN(2)/2)*CG114*CJ114*VLOOKUP('Données projet'!$B$12,Paramètres!$A$1:$I$89,3,0)*0.475*44/12</f>
        <v>1.1335509359868491E-8</v>
      </c>
      <c r="CN114" s="22">
        <f t="shared" si="66"/>
        <v>59.713317477135412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1.1368683772161603E-13</v>
      </c>
      <c r="O115" s="13">
        <f>N115*VLOOKUP('Données projet'!$B$9,Paramètres!$A$1:$I$89,3,0)*VLOOKUP('Données projet'!$B$9,Paramètres!$A$1:$I$89,5,0)</f>
        <v>6.7984728957526396E-14</v>
      </c>
      <c r="P115" s="13">
        <f t="shared" si="87"/>
        <v>1.0682447123141398E-12</v>
      </c>
      <c r="Q115" s="20">
        <f t="shared" si="107"/>
        <v>1.978932943548152E-12</v>
      </c>
      <c r="R115" s="59">
        <f t="shared" si="55"/>
        <v>293.3333333333353</v>
      </c>
      <c r="S115" s="59">
        <f ca="1">AVERAGE(OFFSET($R$3,0,0,'Données projet'!$E$9+1,1))-AVERAGE(OFFSET($H$3,0,0,'Données projet'!$E$9+1,1))</f>
        <v>149.5086927376081</v>
      </c>
      <c r="T115" s="59">
        <f t="shared" si="88"/>
        <v>364.59164590134498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11.880730752808983</v>
      </c>
      <c r="AA115" s="21">
        <f>EXP(-LN(2)/25)*AA114+(1-EXP(-LN(2)/25))/(LN(2)/25)*Calculateur!V115*Calculateur!X115*VLOOKUP('Données projet'!$B$9,Paramètres!$A$1:$I$89,3,0)*0.475*44/12</f>
        <v>4.3291934133856591</v>
      </c>
      <c r="AB115" s="21">
        <f>EXP(-LN(2)/2)*AB114+(1-EXP(-LN(2)/2))/(LN(2)/2)*V115*Y115*VLOOKUP('Données projet'!$B$9,Paramètres!$A$1:$I$89,3,0)*0.475*44/12</f>
        <v>2.424565979824426E-11</v>
      </c>
      <c r="AC115" s="22">
        <f t="shared" si="57"/>
        <v>16.20992416621889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0</v>
      </c>
      <c r="AO115" s="59">
        <f t="shared" si="90"/>
        <v>0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-8.5265128291212022E-14</v>
      </c>
      <c r="BE115" s="13">
        <f>BD115*VLOOKUP('Données projet'!$B$11,Paramètres!$A$1:$I$89,3,0)*VLOOKUP('Données projet'!$B$11,Paramètres!$A$1:$I$89,5,0)</f>
        <v>-6.9167072069831198E-14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175.73034516698141</v>
      </c>
      <c r="BJ115" s="59">
        <f t="shared" si="92"/>
        <v>203.59461632821052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0.57250991576086352</v>
      </c>
      <c r="BR115" s="21">
        <f>EXP(-LN(2)/2)*BR114+(1-EXP(-LN(2)/2))/(LN(2)/2)*BL115*BO115*VLOOKUP('Données projet'!$B$11,Paramètres!$A$1:$I$89,3,0)*0.475*44/12</f>
        <v>3.7117190395703823E-12</v>
      </c>
      <c r="BS115" s="22">
        <f t="shared" si="63"/>
        <v>0.57250991576457522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3.7</v>
      </c>
      <c r="BY115" s="12">
        <f>IF('Données projet'!$A$114&gt;35,BY114+BX115-CG114,IF(A115&lt;'Données projet'!$A$114,$BV$205^A115,IF(A115='Données projet'!$A$114,'Données projet'!$B$114,BY114+BX115-CG114)))</f>
        <v>273.39999999999998</v>
      </c>
      <c r="BZ115" s="13">
        <f>BY115*VLOOKUP('Données projet'!$B$12,Paramètres!$A$1:$I$89,3,0)*VLOOKUP('Données projet'!$B$12,Paramètres!$A$1:$I$89,5,0)</f>
        <v>230.31216000000001</v>
      </c>
      <c r="CA115" s="13">
        <f t="shared" si="93"/>
        <v>56.350172492598382</v>
      </c>
      <c r="CB115" s="20">
        <f t="shared" si="64"/>
        <v>499.2702290912755</v>
      </c>
      <c r="CC115" s="59">
        <f t="shared" si="65"/>
        <v>792.60356242460875</v>
      </c>
      <c r="CD115" s="59">
        <f ca="1">AVERAGE(OFFSET($CC$3,0,0,'Données projet'!$E$12+1,1))-AVERAGE(OFFSET($H$3,0,0,'Données projet'!$E$12+1,1))</f>
        <v>258.28817640749349</v>
      </c>
      <c r="CE115" s="59">
        <f t="shared" si="94"/>
        <v>158.16416492761954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27.714916527818211</v>
      </c>
      <c r="CL115" s="21">
        <f>EXP(-LN(2)/25)*CL114+(1-EXP(-LN(2)/25))/(LN(2)/25)*Calculateur!CG115*Calculateur!CI115*VLOOKUP('Données projet'!$B$12,Paramètres!$A$1:$I$89,3,0)*0.475*44/12</f>
        <v>30.584218582802965</v>
      </c>
      <c r="CM115" s="21">
        <f>EXP(-LN(2)/2)*CM114+(1-EXP(-LN(2)/2))/(LN(2)/2)*CG115*CJ115*VLOOKUP('Données projet'!$B$12,Paramètres!$A$1:$I$89,3,0)*0.475*44/12</f>
        <v>8.0154155365665904E-9</v>
      </c>
      <c r="CN115" s="22">
        <f t="shared" si="66"/>
        <v>58.299135118636592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1.1368683772161603E-13</v>
      </c>
      <c r="O116" s="13">
        <f>N116*VLOOKUP('Données projet'!$B$9,Paramètres!$A$1:$I$89,3,0)*VLOOKUP('Données projet'!$B$9,Paramètres!$A$1:$I$89,5,0)</f>
        <v>6.7984728957526396E-14</v>
      </c>
      <c r="P116" s="13">
        <f t="shared" si="87"/>
        <v>1.0682447123141398E-12</v>
      </c>
      <c r="Q116" s="20">
        <f t="shared" si="107"/>
        <v>1.978932943548152E-12</v>
      </c>
      <c r="R116" s="59">
        <f t="shared" si="55"/>
        <v>293.3333333333353</v>
      </c>
      <c r="S116" s="59">
        <f ca="1">AVERAGE(OFFSET($R$3,0,0,'Données projet'!$E$9+1,1))-AVERAGE(OFFSET($H$3,0,0,'Données projet'!$E$9+1,1))</f>
        <v>149.5086927376081</v>
      </c>
      <c r="T116" s="59">
        <f t="shared" si="88"/>
        <v>364.59164590134498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11.647756869276623</v>
      </c>
      <c r="AA116" s="21">
        <f>EXP(-LN(2)/25)*AA115+(1-EXP(-LN(2)/25))/(LN(2)/25)*Calculateur!V116*Calculateur!X116*VLOOKUP('Données projet'!$B$9,Paramètres!$A$1:$I$89,3,0)*0.475*44/12</f>
        <v>4.2108113918342411</v>
      </c>
      <c r="AB116" s="21">
        <f>EXP(-LN(2)/2)*AB115+(1-EXP(-LN(2)/2))/(LN(2)/2)*V116*Y116*VLOOKUP('Données projet'!$B$9,Paramètres!$A$1:$I$89,3,0)*0.475*44/12</f>
        <v>1.7144270457680575E-11</v>
      </c>
      <c r="AC116" s="22">
        <f t="shared" si="57"/>
        <v>15.858568261128008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0</v>
      </c>
      <c r="AO116" s="59">
        <f t="shared" si="90"/>
        <v>0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-8.5265128291212022E-14</v>
      </c>
      <c r="BE116" s="13">
        <f>BD116*VLOOKUP('Données projet'!$B$11,Paramètres!$A$1:$I$89,3,0)*VLOOKUP('Données projet'!$B$11,Paramètres!$A$1:$I$89,5,0)</f>
        <v>-6.9167072069831198E-14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175.73034516698141</v>
      </c>
      <c r="BJ116" s="59">
        <f t="shared" si="92"/>
        <v>203.59461632821052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0.55685460200739467</v>
      </c>
      <c r="BR116" s="21">
        <f>EXP(-LN(2)/2)*BR115+(1-EXP(-LN(2)/2))/(LN(2)/2)*BL116*BO116*VLOOKUP('Données projet'!$B$11,Paramètres!$A$1:$I$89,3,0)*0.475*44/12</f>
        <v>2.6245817027394367E-12</v>
      </c>
      <c r="BS116" s="22">
        <f t="shared" si="63"/>
        <v>0.55685460201001924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3.7</v>
      </c>
      <c r="BY116" s="12">
        <f>IF('Données projet'!$A$114&gt;35,BY115+BX116-CG115,IF(A116&lt;'Données projet'!$A$114,$BV$205^A116,IF(A116='Données projet'!$A$114,'Données projet'!$B$114,BY115+BX116-CG115)))</f>
        <v>277.09999999999997</v>
      </c>
      <c r="BZ116" s="13">
        <f>BY116*VLOOKUP('Données projet'!$B$12,Paramètres!$A$1:$I$89,3,0)*VLOOKUP('Données projet'!$B$12,Paramètres!$A$1:$I$89,5,0)</f>
        <v>233.42903999999999</v>
      </c>
      <c r="CA116" s="13">
        <f t="shared" si="93"/>
        <v>57.02348034806014</v>
      </c>
      <c r="CB116" s="20">
        <f t="shared" si="64"/>
        <v>505.87147293953808</v>
      </c>
      <c r="CC116" s="59">
        <f t="shared" si="65"/>
        <v>799.20480627287134</v>
      </c>
      <c r="CD116" s="59">
        <f ca="1">AVERAGE(OFFSET($CC$3,0,0,'Données projet'!$E$12+1,1))-AVERAGE(OFFSET($H$3,0,0,'Données projet'!$E$12+1,1))</f>
        <v>258.28817640749349</v>
      </c>
      <c r="CE116" s="59">
        <f t="shared" si="94"/>
        <v>158.16416492761954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27.171443919137605</v>
      </c>
      <c r="CL116" s="21">
        <f>EXP(-LN(2)/25)*CL115+(1-EXP(-LN(2)/25))/(LN(2)/25)*Calculateur!CG116*Calculateur!CI116*VLOOKUP('Données projet'!$B$12,Paramètres!$A$1:$I$89,3,0)*0.475*44/12</f>
        <v>29.747891517302065</v>
      </c>
      <c r="CM116" s="21">
        <f>EXP(-LN(2)/2)*CM115+(1-EXP(-LN(2)/2))/(LN(2)/2)*CG116*CJ116*VLOOKUP('Données projet'!$B$12,Paramètres!$A$1:$I$89,3,0)*0.475*44/12</f>
        <v>5.6677546799342455E-9</v>
      </c>
      <c r="CN116" s="22">
        <f t="shared" si="66"/>
        <v>56.919335442107425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1.1368683772161603E-13</v>
      </c>
      <c r="O117" s="13">
        <f>N117*VLOOKUP('Données projet'!$B$9,Paramètres!$A$1:$I$89,3,0)*VLOOKUP('Données projet'!$B$9,Paramètres!$A$1:$I$89,5,0)</f>
        <v>6.7984728957526396E-14</v>
      </c>
      <c r="P117" s="13">
        <f t="shared" si="87"/>
        <v>1.0682447123141398E-12</v>
      </c>
      <c r="Q117" s="20">
        <f t="shared" si="107"/>
        <v>1.978932943548152E-12</v>
      </c>
      <c r="R117" s="59">
        <f t="shared" si="55"/>
        <v>293.3333333333353</v>
      </c>
      <c r="S117" s="59">
        <f ca="1">AVERAGE(OFFSET($R$3,0,0,'Données projet'!$E$9+1,1))-AVERAGE(OFFSET($H$3,0,0,'Données projet'!$E$9+1,1))</f>
        <v>149.5086927376081</v>
      </c>
      <c r="T117" s="59">
        <f t="shared" si="88"/>
        <v>364.59164590134498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11.419351461500295</v>
      </c>
      <c r="AA117" s="21">
        <f>EXP(-LN(2)/25)*AA116+(1-EXP(-LN(2)/25))/(LN(2)/25)*Calculateur!V117*Calculateur!X117*VLOOKUP('Données projet'!$B$9,Paramètres!$A$1:$I$89,3,0)*0.475*44/12</f>
        <v>4.095666532887587</v>
      </c>
      <c r="AB117" s="21">
        <f>EXP(-LN(2)/2)*AB116+(1-EXP(-LN(2)/2))/(LN(2)/2)*V117*Y117*VLOOKUP('Données projet'!$B$9,Paramètres!$A$1:$I$89,3,0)*0.475*44/12</f>
        <v>1.212282989912213E-11</v>
      </c>
      <c r="AC117" s="22">
        <f t="shared" si="57"/>
        <v>15.515017994400006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0</v>
      </c>
      <c r="AO117" s="59">
        <f t="shared" si="90"/>
        <v>0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-8.5265128291212022E-14</v>
      </c>
      <c r="BE117" s="13">
        <f>BD117*VLOOKUP('Données projet'!$B$11,Paramètres!$A$1:$I$89,3,0)*VLOOKUP('Données projet'!$B$11,Paramètres!$A$1:$I$89,5,0)</f>
        <v>-6.9167072069831198E-14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175.73034516698141</v>
      </c>
      <c r="BJ117" s="59">
        <f t="shared" si="92"/>
        <v>203.59461632821052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0.54162738363179164</v>
      </c>
      <c r="BR117" s="21">
        <f>EXP(-LN(2)/2)*BR116+(1-EXP(-LN(2)/2))/(LN(2)/2)*BL117*BO117*VLOOKUP('Données projet'!$B$11,Paramètres!$A$1:$I$89,3,0)*0.475*44/12</f>
        <v>1.8558595197851911E-12</v>
      </c>
      <c r="BS117" s="22">
        <f t="shared" si="63"/>
        <v>0.54162738363364749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3.7</v>
      </c>
      <c r="BY117" s="12">
        <f>IF('Données projet'!$A$114&gt;35,BY116+BX117-CG116,IF(A117&lt;'Données projet'!$A$114,$BV$205^A117,IF(A117='Données projet'!$A$114,'Données projet'!$B$114,BY116+BX117-CG116)))</f>
        <v>280.79999999999995</v>
      </c>
      <c r="BZ117" s="13">
        <f>BY117*VLOOKUP('Données projet'!$B$12,Paramètres!$A$1:$I$89,3,0)*VLOOKUP('Données projet'!$B$12,Paramètres!$A$1:$I$89,5,0)</f>
        <v>236.54591999999997</v>
      </c>
      <c r="CA117" s="13">
        <f t="shared" si="93"/>
        <v>57.695742501251033</v>
      </c>
      <c r="CB117" s="20">
        <f t="shared" si="64"/>
        <v>512.47089552301202</v>
      </c>
      <c r="CC117" s="59">
        <f t="shared" si="65"/>
        <v>805.80422885634539</v>
      </c>
      <c r="CD117" s="59">
        <f ca="1">AVERAGE(OFFSET($CC$3,0,0,'Données projet'!$E$12+1,1))-AVERAGE(OFFSET($H$3,0,0,'Données projet'!$E$12+1,1))</f>
        <v>258.28817640749349</v>
      </c>
      <c r="CE117" s="59">
        <f t="shared" si="94"/>
        <v>158.16416492761954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26.638628476827666</v>
      </c>
      <c r="CL117" s="21">
        <f>EXP(-LN(2)/25)*CL116+(1-EXP(-LN(2)/25))/(LN(2)/25)*Calculateur!CG117*Calculateur!CI117*VLOOKUP('Données projet'!$B$12,Paramètres!$A$1:$I$89,3,0)*0.475*44/12</f>
        <v>28.934433859387816</v>
      </c>
      <c r="CM117" s="21">
        <f>EXP(-LN(2)/2)*CM116+(1-EXP(-LN(2)/2))/(LN(2)/2)*CG117*CJ117*VLOOKUP('Données projet'!$B$12,Paramètres!$A$1:$I$89,3,0)*0.475*44/12</f>
        <v>4.0077077682832952E-9</v>
      </c>
      <c r="CN117" s="22">
        <f t="shared" si="66"/>
        <v>55.573062340223196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1.1368683772161603E-13</v>
      </c>
      <c r="O118" s="13">
        <f>N118*VLOOKUP('Données projet'!$B$9,Paramètres!$A$1:$I$89,3,0)*VLOOKUP('Données projet'!$B$9,Paramètres!$A$1:$I$89,5,0)</f>
        <v>6.7984728957526396E-14</v>
      </c>
      <c r="P118" s="13">
        <f t="shared" si="87"/>
        <v>1.0682447123141398E-12</v>
      </c>
      <c r="Q118" s="20">
        <f t="shared" si="107"/>
        <v>1.978932943548152E-12</v>
      </c>
      <c r="R118" s="59">
        <f t="shared" si="55"/>
        <v>293.3333333333353</v>
      </c>
      <c r="S118" s="59">
        <f ca="1">AVERAGE(OFFSET($R$3,0,0,'Données projet'!$E$9+1,1))-AVERAGE(OFFSET($H$3,0,0,'Données projet'!$E$9+1,1))</f>
        <v>149.5086927376081</v>
      </c>
      <c r="T118" s="59">
        <f t="shared" si="88"/>
        <v>364.59164590134498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11.195424944456917</v>
      </c>
      <c r="AA118" s="21">
        <f>EXP(-LN(2)/25)*AA117+(1-EXP(-LN(2)/25))/(LN(2)/25)*Calculateur!V118*Calculateur!X118*VLOOKUP('Données projet'!$B$9,Paramètres!$A$1:$I$89,3,0)*0.475*44/12</f>
        <v>3.9836703161640337</v>
      </c>
      <c r="AB118" s="21">
        <f>EXP(-LN(2)/2)*AB117+(1-EXP(-LN(2)/2))/(LN(2)/2)*V118*Y118*VLOOKUP('Données projet'!$B$9,Paramètres!$A$1:$I$89,3,0)*0.475*44/12</f>
        <v>8.5721352288402877E-12</v>
      </c>
      <c r="AC118" s="22">
        <f t="shared" si="57"/>
        <v>15.179095260629524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0</v>
      </c>
      <c r="AO118" s="59">
        <f t="shared" si="90"/>
        <v>0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-8.5265128291212022E-14</v>
      </c>
      <c r="BE118" s="13">
        <f>BD118*VLOOKUP('Données projet'!$B$11,Paramètres!$A$1:$I$89,3,0)*VLOOKUP('Données projet'!$B$11,Paramètres!$A$1:$I$89,5,0)</f>
        <v>-6.9167072069831198E-14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175.73034516698141</v>
      </c>
      <c r="BJ118" s="59">
        <f t="shared" si="92"/>
        <v>203.59461632821052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0.52681655434343411</v>
      </c>
      <c r="BR118" s="21">
        <f>EXP(-LN(2)/2)*BR117+(1-EXP(-LN(2)/2))/(LN(2)/2)*BL118*BO118*VLOOKUP('Données projet'!$B$11,Paramètres!$A$1:$I$89,3,0)*0.475*44/12</f>
        <v>1.3122908513697183E-12</v>
      </c>
      <c r="BS118" s="22">
        <f t="shared" si="63"/>
        <v>0.52681655434474639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3.7</v>
      </c>
      <c r="BY118" s="12">
        <f>IF('Données projet'!$A$114&gt;35,BY117+BX118-CG117,IF(A118&lt;'Données projet'!$A$114,$BV$205^A118,IF(A118='Données projet'!$A$114,'Données projet'!$B$114,BY117+BX118-CG117)))</f>
        <v>284.49999999999994</v>
      </c>
      <c r="BZ118" s="13">
        <f>BY118*VLOOKUP('Données projet'!$B$12,Paramètres!$A$1:$I$89,3,0)*VLOOKUP('Données projet'!$B$12,Paramètres!$A$1:$I$89,5,0)</f>
        <v>239.66279999999995</v>
      </c>
      <c r="CA118" s="13">
        <f t="shared" si="93"/>
        <v>58.366974323972791</v>
      </c>
      <c r="CB118" s="20">
        <f t="shared" si="64"/>
        <v>519.06852361425251</v>
      </c>
      <c r="CC118" s="59">
        <f t="shared" si="65"/>
        <v>812.40185694758588</v>
      </c>
      <c r="CD118" s="59">
        <f ca="1">AVERAGE(OFFSET($CC$3,0,0,'Données projet'!$E$12+1,1))-AVERAGE(OFFSET($H$3,0,0,'Données projet'!$E$12+1,1))</f>
        <v>258.28817640749349</v>
      </c>
      <c r="CE118" s="59">
        <f t="shared" si="94"/>
        <v>158.16416492761954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26.116261220356094</v>
      </c>
      <c r="CL118" s="21">
        <f>EXP(-LN(2)/25)*CL117+(1-EXP(-LN(2)/25))/(LN(2)/25)*Calculateur!CG118*Calculateur!CI118*VLOOKUP('Données projet'!$B$12,Paramètres!$A$1:$I$89,3,0)*0.475*44/12</f>
        <v>28.143220243907109</v>
      </c>
      <c r="CM118" s="21">
        <f>EXP(-LN(2)/2)*CM117+(1-EXP(-LN(2)/2))/(LN(2)/2)*CG118*CJ118*VLOOKUP('Données projet'!$B$12,Paramètres!$A$1:$I$89,3,0)*0.475*44/12</f>
        <v>2.8338773399671228E-9</v>
      </c>
      <c r="CN118" s="22">
        <f t="shared" si="66"/>
        <v>54.259481467097082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1.1368683772161603E-13</v>
      </c>
      <c r="O119" s="13">
        <f>N119*VLOOKUP('Données projet'!$B$9,Paramètres!$A$1:$I$89,3,0)*VLOOKUP('Données projet'!$B$9,Paramètres!$A$1:$I$89,5,0)</f>
        <v>6.7984728957526396E-14</v>
      </c>
      <c r="P119" s="13">
        <f t="shared" si="87"/>
        <v>1.0682447123141398E-12</v>
      </c>
      <c r="Q119" s="20">
        <f t="shared" si="107"/>
        <v>1.978932943548152E-12</v>
      </c>
      <c r="R119" s="59">
        <f t="shared" si="55"/>
        <v>293.3333333333353</v>
      </c>
      <c r="S119" s="59">
        <f ca="1">AVERAGE(OFFSET($R$3,0,0,'Données projet'!$E$9+1,1))-AVERAGE(OFFSET($H$3,0,0,'Données projet'!$E$9+1,1))</f>
        <v>149.5086927376081</v>
      </c>
      <c r="T119" s="59">
        <f t="shared" si="88"/>
        <v>364.59164590134498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10.975889489831072</v>
      </c>
      <c r="AA119" s="21">
        <f>EXP(-LN(2)/25)*AA118+(1-EXP(-LN(2)/25))/(LN(2)/25)*Calculateur!V119*Calculateur!X119*VLOOKUP('Données projet'!$B$9,Paramètres!$A$1:$I$89,3,0)*0.475*44/12</f>
        <v>3.8747366418764111</v>
      </c>
      <c r="AB119" s="21">
        <f>EXP(-LN(2)/2)*AB118+(1-EXP(-LN(2)/2))/(LN(2)/2)*V119*Y119*VLOOKUP('Données projet'!$B$9,Paramètres!$A$1:$I$89,3,0)*0.475*44/12</f>
        <v>6.0614149495610649E-12</v>
      </c>
      <c r="AC119" s="22">
        <f t="shared" si="57"/>
        <v>14.850626131713543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0</v>
      </c>
      <c r="AO119" s="59">
        <f t="shared" si="90"/>
        <v>0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-8.5265128291212022E-14</v>
      </c>
      <c r="BE119" s="13">
        <f>BD119*VLOOKUP('Données projet'!$B$11,Paramètres!$A$1:$I$89,3,0)*VLOOKUP('Données projet'!$B$11,Paramètres!$A$1:$I$89,5,0)</f>
        <v>-6.9167072069831198E-14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175.73034516698141</v>
      </c>
      <c r="BJ119" s="59">
        <f t="shared" si="92"/>
        <v>203.59461632821052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0.51241072796083431</v>
      </c>
      <c r="BR119" s="21">
        <f>EXP(-LN(2)/2)*BR118+(1-EXP(-LN(2)/2))/(LN(2)/2)*BL119*BO119*VLOOKUP('Données projet'!$B$11,Paramètres!$A$1:$I$89,3,0)*0.475*44/12</f>
        <v>9.2792975989259557E-13</v>
      </c>
      <c r="BS119" s="22">
        <f t="shared" si="63"/>
        <v>0.51241072796176224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3.7</v>
      </c>
      <c r="BY119" s="12">
        <f>IF('Données projet'!$A$114&gt;35,BY118+BX119-CG118,IF(A119&lt;'Données projet'!$A$114,$BV$205^A119,IF(A119='Données projet'!$A$114,'Données projet'!$B$114,BY118+BX119-CG118)))</f>
        <v>288.19999999999993</v>
      </c>
      <c r="BZ119" s="13">
        <f>BY119*VLOOKUP('Données projet'!$B$12,Paramètres!$A$1:$I$89,3,0)*VLOOKUP('Données projet'!$B$12,Paramètres!$A$1:$I$89,5,0)</f>
        <v>242.77967999999998</v>
      </c>
      <c r="CA119" s="13">
        <f t="shared" si="93"/>
        <v>59.037190765212756</v>
      </c>
      <c r="CB119" s="20">
        <f t="shared" si="64"/>
        <v>525.66438324941225</v>
      </c>
      <c r="CC119" s="59">
        <f t="shared" si="65"/>
        <v>818.99771658274562</v>
      </c>
      <c r="CD119" s="59">
        <f ca="1">AVERAGE(OFFSET($CC$3,0,0,'Données projet'!$E$12+1,1))-AVERAGE(OFFSET($H$3,0,0,'Données projet'!$E$12+1,1))</f>
        <v>258.28817640749349</v>
      </c>
      <c r="CE119" s="59">
        <f t="shared" si="94"/>
        <v>158.16416492761954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25.604137267171364</v>
      </c>
      <c r="CL119" s="21">
        <f>EXP(-LN(2)/25)*CL118+(1-EXP(-LN(2)/25))/(LN(2)/25)*Calculateur!CG119*Calculateur!CI119*VLOOKUP('Données projet'!$B$12,Paramètres!$A$1:$I$89,3,0)*0.475*44/12</f>
        <v>27.373642406349838</v>
      </c>
      <c r="CM119" s="21">
        <f>EXP(-LN(2)/2)*CM118+(1-EXP(-LN(2)/2))/(LN(2)/2)*CG119*CJ119*VLOOKUP('Données projet'!$B$12,Paramètres!$A$1:$I$89,3,0)*0.475*44/12</f>
        <v>2.0038538841416476E-9</v>
      </c>
      <c r="CN119" s="22">
        <f t="shared" si="66"/>
        <v>52.977779675525049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1.1368683772161603E-13</v>
      </c>
      <c r="O120" s="13">
        <f>N120*VLOOKUP('Données projet'!$B$9,Paramètres!$A$1:$I$89,3,0)*VLOOKUP('Données projet'!$B$9,Paramètres!$A$1:$I$89,5,0)</f>
        <v>6.7984728957526396E-14</v>
      </c>
      <c r="P120" s="13">
        <f t="shared" si="87"/>
        <v>1.0682447123141398E-12</v>
      </c>
      <c r="Q120" s="20">
        <f t="shared" si="107"/>
        <v>1.978932943548152E-12</v>
      </c>
      <c r="R120" s="59">
        <f t="shared" si="55"/>
        <v>293.3333333333353</v>
      </c>
      <c r="S120" s="59">
        <f ca="1">AVERAGE(OFFSET($R$3,0,0,'Données projet'!$E$9+1,1))-AVERAGE(OFFSET($H$3,0,0,'Données projet'!$E$9+1,1))</f>
        <v>149.5086927376081</v>
      </c>
      <c r="T120" s="59">
        <f t="shared" si="88"/>
        <v>364.59164590134498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10.760658991567034</v>
      </c>
      <c r="AA120" s="21">
        <f>EXP(-LN(2)/25)*AA119+(1-EXP(-LN(2)/25))/(LN(2)/25)*Calculateur!V120*Calculateur!X120*VLOOKUP('Données projet'!$B$9,Paramètres!$A$1:$I$89,3,0)*0.475*44/12</f>
        <v>3.7687817646407566</v>
      </c>
      <c r="AB120" s="21">
        <f>EXP(-LN(2)/2)*AB119+(1-EXP(-LN(2)/2))/(LN(2)/2)*V120*Y120*VLOOKUP('Données projet'!$B$9,Paramètres!$A$1:$I$89,3,0)*0.475*44/12</f>
        <v>4.2860676144201439E-12</v>
      </c>
      <c r="AC120" s="22">
        <f t="shared" si="57"/>
        <v>14.529440756212077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0</v>
      </c>
      <c r="AO120" s="59">
        <f t="shared" si="90"/>
        <v>0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-8.5265128291212022E-14</v>
      </c>
      <c r="BE120" s="13">
        <f>BD120*VLOOKUP('Données projet'!$B$11,Paramètres!$A$1:$I$89,3,0)*VLOOKUP('Données projet'!$B$11,Paramètres!$A$1:$I$89,5,0)</f>
        <v>-6.9167072069831198E-14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175.73034516698141</v>
      </c>
      <c r="BJ120" s="59">
        <f t="shared" si="92"/>
        <v>203.59461632821052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0.49839882965823623</v>
      </c>
      <c r="BR120" s="21">
        <f>EXP(-LN(2)/2)*BR119+(1-EXP(-LN(2)/2))/(LN(2)/2)*BL120*BO120*VLOOKUP('Données projet'!$B$11,Paramètres!$A$1:$I$89,3,0)*0.475*44/12</f>
        <v>6.5614542568485917E-13</v>
      </c>
      <c r="BS120" s="22">
        <f t="shared" si="63"/>
        <v>0.49839882965889237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3.7</v>
      </c>
      <c r="BY120" s="12">
        <f>IF('Données projet'!$A$114&gt;35,BY119+BX120-CG119,IF(A120&lt;'Données projet'!$A$114,$BV$205^A120,IF(A120='Données projet'!$A$114,'Données projet'!$B$114,BY119+BX120-CG119)))</f>
        <v>291.89999999999992</v>
      </c>
      <c r="BZ120" s="13">
        <f>BY120*VLOOKUP('Données projet'!$B$12,Paramètres!$A$1:$I$89,3,0)*VLOOKUP('Données projet'!$B$12,Paramètres!$A$1:$I$89,5,0)</f>
        <v>245.89655999999997</v>
      </c>
      <c r="CA120" s="13">
        <f t="shared" si="93"/>
        <v>59.706406368049677</v>
      </c>
      <c r="CB120" s="20">
        <f t="shared" si="64"/>
        <v>532.25849975768642</v>
      </c>
      <c r="CC120" s="59">
        <f t="shared" si="65"/>
        <v>825.59183309101968</v>
      </c>
      <c r="CD120" s="59">
        <f ca="1">AVERAGE(OFFSET($CC$3,0,0,'Données projet'!$E$12+1,1))-AVERAGE(OFFSET($H$3,0,0,'Données projet'!$E$12+1,1))</f>
        <v>258.28817640749349</v>
      </c>
      <c r="CE120" s="59">
        <f t="shared" si="94"/>
        <v>158.16416492761954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25.102055752343819</v>
      </c>
      <c r="CL120" s="21">
        <f>EXP(-LN(2)/25)*CL119+(1-EXP(-LN(2)/25))/(LN(2)/25)*Calculateur!CG120*Calculateur!CI120*VLOOKUP('Données projet'!$B$12,Paramètres!$A$1:$I$89,3,0)*0.475*44/12</f>
        <v>26.625108715230912</v>
      </c>
      <c r="CM120" s="21">
        <f>EXP(-LN(2)/2)*CM119+(1-EXP(-LN(2)/2))/(LN(2)/2)*CG120*CJ120*VLOOKUP('Données projet'!$B$12,Paramètres!$A$1:$I$89,3,0)*0.475*44/12</f>
        <v>1.4169386699835614E-9</v>
      </c>
      <c r="CN120" s="22">
        <f t="shared" si="66"/>
        <v>51.727164468991667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1.1368683772161603E-13</v>
      </c>
      <c r="O121" s="13">
        <f>N121*VLOOKUP('Données projet'!$B$9,Paramètres!$A$1:$I$89,3,0)*VLOOKUP('Données projet'!$B$9,Paramètres!$A$1:$I$89,5,0)</f>
        <v>6.7984728957526396E-14</v>
      </c>
      <c r="P121" s="13">
        <f t="shared" si="87"/>
        <v>1.0682447123141398E-12</v>
      </c>
      <c r="Q121" s="20">
        <f t="shared" si="107"/>
        <v>1.978932943548152E-12</v>
      </c>
      <c r="R121" s="59">
        <f t="shared" si="55"/>
        <v>293.3333333333353</v>
      </c>
      <c r="S121" s="59">
        <f ca="1">AVERAGE(OFFSET($R$3,0,0,'Données projet'!$E$9+1,1))-AVERAGE(OFFSET($H$3,0,0,'Données projet'!$E$9+1,1))</f>
        <v>149.5086927376081</v>
      </c>
      <c r="T121" s="59">
        <f t="shared" si="88"/>
        <v>364.59164590134498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10.549649032096312</v>
      </c>
      <c r="AA121" s="21">
        <f>EXP(-LN(2)/25)*AA120+(1-EXP(-LN(2)/25))/(LN(2)/25)*Calculateur!V121*Calculateur!X121*VLOOKUP('Données projet'!$B$9,Paramètres!$A$1:$I$89,3,0)*0.475*44/12</f>
        <v>3.6657242290950358</v>
      </c>
      <c r="AB121" s="21">
        <f>EXP(-LN(2)/2)*AB120+(1-EXP(-LN(2)/2))/(LN(2)/2)*V121*Y121*VLOOKUP('Données projet'!$B$9,Paramètres!$A$1:$I$89,3,0)*0.475*44/12</f>
        <v>3.0307074747805325E-12</v>
      </c>
      <c r="AC121" s="22">
        <f t="shared" si="57"/>
        <v>14.215373261194378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0</v>
      </c>
      <c r="AO121" s="59">
        <f t="shared" si="90"/>
        <v>0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-8.5265128291212022E-14</v>
      </c>
      <c r="BE121" s="13">
        <f>BD121*VLOOKUP('Données projet'!$B$11,Paramètres!$A$1:$I$89,3,0)*VLOOKUP('Données projet'!$B$11,Paramètres!$A$1:$I$89,5,0)</f>
        <v>-6.9167072069831198E-14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175.73034516698141</v>
      </c>
      <c r="BJ121" s="59">
        <f t="shared" si="92"/>
        <v>203.59461632821052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0.4847700874515764</v>
      </c>
      <c r="BR121" s="21">
        <f>EXP(-LN(2)/2)*BR120+(1-EXP(-LN(2)/2))/(LN(2)/2)*BL121*BO121*VLOOKUP('Données projet'!$B$11,Paramètres!$A$1:$I$89,3,0)*0.475*44/12</f>
        <v>4.6396487994629779E-13</v>
      </c>
      <c r="BS121" s="22">
        <f t="shared" si="63"/>
        <v>0.48477008745204037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3.7</v>
      </c>
      <c r="BY121" s="12">
        <f>IF('Données projet'!$A$114&gt;35,BY120+BX121-CG120,IF(A121&lt;'Données projet'!$A$114,$BV$205^A121,IF(A121='Données projet'!$A$114,'Données projet'!$B$114,BY120+BX121-CG120)))</f>
        <v>295.59999999999991</v>
      </c>
      <c r="BZ121" s="13">
        <f>BY121*VLOOKUP('Données projet'!$B$12,Paramètres!$A$1:$I$89,3,0)*VLOOKUP('Données projet'!$B$12,Paramètres!$A$1:$I$89,5,0)</f>
        <v>249.01343999999995</v>
      </c>
      <c r="CA121" s="13">
        <f t="shared" si="93"/>
        <v>60.374635285677577</v>
      </c>
      <c r="CB121" s="20">
        <f t="shared" si="64"/>
        <v>538.85089778922168</v>
      </c>
      <c r="CC121" s="59">
        <f t="shared" si="65"/>
        <v>832.18423112255505</v>
      </c>
      <c r="CD121" s="59">
        <f ca="1">AVERAGE(OFFSET($CC$3,0,0,'Données projet'!$E$12+1,1))-AVERAGE(OFFSET($H$3,0,0,'Données projet'!$E$12+1,1))</f>
        <v>258.28817640749349</v>
      </c>
      <c r="CE121" s="59">
        <f t="shared" si="94"/>
        <v>158.16416492761954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24.609819749782556</v>
      </c>
      <c r="CL121" s="21">
        <f>EXP(-LN(2)/25)*CL120+(1-EXP(-LN(2)/25))/(LN(2)/25)*Calculateur!CG121*Calculateur!CI121*VLOOKUP('Données projet'!$B$12,Paramètres!$A$1:$I$89,3,0)*0.475*44/12</f>
        <v>25.897043717259308</v>
      </c>
      <c r="CM121" s="21">
        <f>EXP(-LN(2)/2)*CM120+(1-EXP(-LN(2)/2))/(LN(2)/2)*CG121*CJ121*VLOOKUP('Données projet'!$B$12,Paramètres!$A$1:$I$89,3,0)*0.475*44/12</f>
        <v>1.0019269420708238E-9</v>
      </c>
      <c r="CN121" s="22">
        <f t="shared" si="66"/>
        <v>50.506863468043797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1.1368683772161603E-13</v>
      </c>
      <c r="O122" s="13">
        <f>N122*VLOOKUP('Données projet'!$B$9,Paramètres!$A$1:$I$89,3,0)*VLOOKUP('Données projet'!$B$9,Paramètres!$A$1:$I$89,5,0)</f>
        <v>6.7984728957526396E-14</v>
      </c>
      <c r="P122" s="13">
        <f t="shared" si="87"/>
        <v>1.0682447123141398E-12</v>
      </c>
      <c r="Q122" s="20">
        <f t="shared" si="107"/>
        <v>1.978932943548152E-12</v>
      </c>
      <c r="R122" s="59">
        <f t="shared" si="55"/>
        <v>293.3333333333353</v>
      </c>
      <c r="S122" s="59">
        <f ca="1">AVERAGE(OFFSET($R$3,0,0,'Données projet'!$E$9+1,1))-AVERAGE(OFFSET($H$3,0,0,'Données projet'!$E$9+1,1))</f>
        <v>149.5086927376081</v>
      </c>
      <c r="T122" s="59">
        <f t="shared" si="88"/>
        <v>364.59164590134498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10.342776849227445</v>
      </c>
      <c r="AA122" s="21">
        <f>EXP(-LN(2)/25)*AA121+(1-EXP(-LN(2)/25))/(LN(2)/25)*Calculateur!V122*Calculateur!X122*VLOOKUP('Données projet'!$B$9,Paramètres!$A$1:$I$89,3,0)*0.475*44/12</f>
        <v>3.5654848072783731</v>
      </c>
      <c r="AB122" s="21">
        <f>EXP(-LN(2)/2)*AB121+(1-EXP(-LN(2)/2))/(LN(2)/2)*V122*Y122*VLOOKUP('Données projet'!$B$9,Paramètres!$A$1:$I$89,3,0)*0.475*44/12</f>
        <v>2.1430338072100719E-12</v>
      </c>
      <c r="AC122" s="22">
        <f t="shared" si="57"/>
        <v>13.90826165650796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0</v>
      </c>
      <c r="AO122" s="59">
        <f t="shared" si="90"/>
        <v>0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-8.5265128291212022E-14</v>
      </c>
      <c r="BE122" s="13">
        <f>BD122*VLOOKUP('Données projet'!$B$11,Paramètres!$A$1:$I$89,3,0)*VLOOKUP('Données projet'!$B$11,Paramètres!$A$1:$I$89,5,0)</f>
        <v>-6.9167072069831198E-14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175.73034516698141</v>
      </c>
      <c r="BJ122" s="59">
        <f t="shared" si="92"/>
        <v>203.59461632821052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0.4715140239172621</v>
      </c>
      <c r="BR122" s="21">
        <f>EXP(-LN(2)/2)*BR121+(1-EXP(-LN(2)/2))/(LN(2)/2)*BL122*BO122*VLOOKUP('Données projet'!$B$11,Paramètres!$A$1:$I$89,3,0)*0.475*44/12</f>
        <v>3.2807271284242959E-13</v>
      </c>
      <c r="BS122" s="22">
        <f t="shared" si="63"/>
        <v>0.47151402391759017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3.7</v>
      </c>
      <c r="BY122" s="12">
        <f>IF('Données projet'!$A$114&gt;35,BY121+BX122-CG121,IF(A122&lt;'Données projet'!$A$114,$BV$205^A122,IF(A122='Données projet'!$A$114,'Données projet'!$B$114,BY121+BX122-CG121)))</f>
        <v>299.2999999999999</v>
      </c>
      <c r="BZ122" s="13">
        <f>BY122*VLOOKUP('Données projet'!$B$12,Paramètres!$A$1:$I$89,3,0)*VLOOKUP('Données projet'!$B$12,Paramètres!$A$1:$I$89,5,0)</f>
        <v>252.13031999999995</v>
      </c>
      <c r="CA122" s="13">
        <f t="shared" si="93"/>
        <v>61.041891296605066</v>
      </c>
      <c r="CB122" s="20">
        <f t="shared" si="64"/>
        <v>545.4416013415871</v>
      </c>
      <c r="CC122" s="59">
        <f t="shared" si="65"/>
        <v>838.77493467492036</v>
      </c>
      <c r="CD122" s="59">
        <f ca="1">AVERAGE(OFFSET($CC$3,0,0,'Données projet'!$E$12+1,1))-AVERAGE(OFFSET($H$3,0,0,'Données projet'!$E$12+1,1))</f>
        <v>258.28817640749349</v>
      </c>
      <c r="CE122" s="59">
        <f t="shared" si="94"/>
        <v>158.16416492761954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24.127236194997202</v>
      </c>
      <c r="CL122" s="21">
        <f>EXP(-LN(2)/25)*CL121+(1-EXP(-LN(2)/25))/(LN(2)/25)*Calculateur!CG122*Calculateur!CI122*VLOOKUP('Données projet'!$B$12,Paramètres!$A$1:$I$89,3,0)*0.475*44/12</f>
        <v>25.188887694944512</v>
      </c>
      <c r="CM122" s="21">
        <f>EXP(-LN(2)/2)*CM121+(1-EXP(-LN(2)/2))/(LN(2)/2)*CG122*CJ122*VLOOKUP('Données projet'!$B$12,Paramètres!$A$1:$I$89,3,0)*0.475*44/12</f>
        <v>7.0846933499178069E-10</v>
      </c>
      <c r="CN122" s="22">
        <f t="shared" si="66"/>
        <v>49.316123890650182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1.1368683772161603E-13</v>
      </c>
      <c r="O123" s="13">
        <f>N123*VLOOKUP('Données projet'!$B$9,Paramètres!$A$1:$I$89,3,0)*VLOOKUP('Données projet'!$B$9,Paramètres!$A$1:$I$89,5,0)</f>
        <v>6.7984728957526396E-14</v>
      </c>
      <c r="P123" s="13">
        <f t="shared" si="87"/>
        <v>1.0682447123141398E-12</v>
      </c>
      <c r="Q123" s="20">
        <f t="shared" si="107"/>
        <v>1.978932943548152E-12</v>
      </c>
      <c r="R123" s="59">
        <f t="shared" si="55"/>
        <v>293.3333333333353</v>
      </c>
      <c r="S123" s="59">
        <f ca="1">AVERAGE(OFFSET($R$3,0,0,'Données projet'!$E$9+1,1))-AVERAGE(OFFSET($H$3,0,0,'Données projet'!$E$9+1,1))</f>
        <v>149.5086927376081</v>
      </c>
      <c r="T123" s="59">
        <f t="shared" si="88"/>
        <v>364.59164590134498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10.139961303685062</v>
      </c>
      <c r="AA123" s="21">
        <f>EXP(-LN(2)/25)*AA122+(1-EXP(-LN(2)/25))/(LN(2)/25)*Calculateur!V123*Calculateur!X123*VLOOKUP('Données projet'!$B$9,Paramètres!$A$1:$I$89,3,0)*0.475*44/12</f>
        <v>3.467986437722649</v>
      </c>
      <c r="AB123" s="21">
        <f>EXP(-LN(2)/2)*AB122+(1-EXP(-LN(2)/2))/(LN(2)/2)*V123*Y123*VLOOKUP('Données projet'!$B$9,Paramètres!$A$1:$I$89,3,0)*0.475*44/12</f>
        <v>1.5153537373902662E-12</v>
      </c>
      <c r="AC123" s="22">
        <f t="shared" si="57"/>
        <v>13.607947741409227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0</v>
      </c>
      <c r="AO123" s="59">
        <f t="shared" si="90"/>
        <v>0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-8.5265128291212022E-14</v>
      </c>
      <c r="BE123" s="13">
        <f>BD123*VLOOKUP('Données projet'!$B$11,Paramètres!$A$1:$I$89,3,0)*VLOOKUP('Données projet'!$B$11,Paramètres!$A$1:$I$89,5,0)</f>
        <v>-6.9167072069831198E-14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175.73034516698141</v>
      </c>
      <c r="BJ123" s="59">
        <f t="shared" si="92"/>
        <v>203.59461632821052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0.45862044813739972</v>
      </c>
      <c r="BR123" s="21">
        <f>EXP(-LN(2)/2)*BR122+(1-EXP(-LN(2)/2))/(LN(2)/2)*BL123*BO123*VLOOKUP('Données projet'!$B$11,Paramètres!$A$1:$I$89,3,0)*0.475*44/12</f>
        <v>2.3198243997314889E-13</v>
      </c>
      <c r="BS123" s="22">
        <f t="shared" si="63"/>
        <v>0.4586204481376317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303</v>
      </c>
      <c r="BW123" s="12">
        <f>VLOOKUP(A123,'Données projet'!$A$113:$I$133,9,0)</f>
        <v>3.7</v>
      </c>
      <c r="BX123" s="12">
        <f t="array" ref="BX123">INDEX(BW:BW,MIN(IF(ISNUMBER(BW123:BW319),ROW(BW123:BW319),"")))</f>
        <v>3.7</v>
      </c>
      <c r="BY123" s="12">
        <f>IF('Données projet'!$A$114&gt;35,BY122+BX123-CG122,IF(A123&lt;'Données projet'!$A$114,$BV$205^A123,IF(A123='Données projet'!$A$114,'Données projet'!$B$114,BY122+BX123-CG122)))</f>
        <v>302.99999999999989</v>
      </c>
      <c r="BZ123" s="13">
        <f>BY123*VLOOKUP('Données projet'!$B$12,Paramètres!$A$1:$I$89,3,0)*VLOOKUP('Données projet'!$B$12,Paramètres!$A$1:$I$89,5,0)</f>
        <v>255.24719999999994</v>
      </c>
      <c r="CA123" s="13">
        <f t="shared" si="93"/>
        <v>61.708187819081218</v>
      </c>
      <c r="CB123" s="20">
        <f t="shared" si="64"/>
        <v>552.03063378489958</v>
      </c>
      <c r="CC123" s="59">
        <f t="shared" si="65"/>
        <v>845.36396711823295</v>
      </c>
      <c r="CD123" s="59">
        <f ca="1">AVERAGE(OFFSET($CC$3,0,0,'Données projet'!$E$12+1,1))-AVERAGE(OFFSET($H$3,0,0,'Données projet'!$E$12+1,1))</f>
        <v>258.28817640749349</v>
      </c>
      <c r="CE123" s="59">
        <f t="shared" si="94"/>
        <v>158.16416492761954</v>
      </c>
      <c r="CF123" s="15">
        <f>IF(ISNA(VLOOKUP(A123,'Données projet'!$A$113:$I$133,3,0)),0,VLOOKUP(A123,'Données projet'!$A$113:$I$133,3,0))</f>
        <v>10</v>
      </c>
      <c r="CG123" s="15">
        <f>IF(ISNA(VLOOKUP(A123,'Données projet'!$A$113:$I$133,4,0)),0,VLOOKUP(A123,'Données projet'!$A$113:$I$133,4,0))</f>
        <v>303</v>
      </c>
      <c r="CH123" s="16">
        <f>IF(ISNA(VLOOKUP(A123,'Données projet'!$A$113:$I$133,5,0)),0%,VLOOKUP(A123,'Données projet'!$A$113:$I$133,5,0)*VLOOKUP('Données projet'!$B$12,Paramètres!$A$1:$I$89,7,0))</f>
        <v>0.25800000000000001</v>
      </c>
      <c r="CI123" s="16">
        <f>IF(ISNA(VLOOKUP(A123,'Données projet'!$A$113:$I$133,6,0)),0%,VLOOKUP(A123,'Données projet'!$A$113:$I$133,6,0)*VLOOKUP('Données projet'!$B$12,Paramètres!$A$1:$I$89,7,0))</f>
        <v>0.17200000000000001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96.453516326524792</v>
      </c>
      <c r="CL123" s="21">
        <f>EXP(-LN(2)/25)*CL122+(1-EXP(-LN(2)/25))/(LN(2)/25)*Calculateur!CG123*Calculateur!CI123*VLOOKUP('Données projet'!$B$12,Paramètres!$A$1:$I$89,3,0)*0.475*44/12</f>
        <v>72.841937262012351</v>
      </c>
      <c r="CM123" s="21">
        <f>EXP(-LN(2)/2)*CM122+(1-EXP(-LN(2)/2))/(LN(2)/2)*CG123*CJ123*VLOOKUP('Données projet'!$B$12,Paramètres!$A$1:$I$89,3,0)*0.475*44/12</f>
        <v>5.009634710354119E-10</v>
      </c>
      <c r="CN123" s="22">
        <f t="shared" si="66"/>
        <v>169.29545358903812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1.1368683772161603E-13</v>
      </c>
      <c r="O124" s="13">
        <f>N124*VLOOKUP('Données projet'!$B$9,Paramètres!$A$1:$I$89,3,0)*VLOOKUP('Données projet'!$B$9,Paramètres!$A$1:$I$89,5,0)</f>
        <v>6.7984728957526396E-14</v>
      </c>
      <c r="P124" s="13">
        <f t="shared" si="87"/>
        <v>1.0682447123141398E-12</v>
      </c>
      <c r="Q124" s="20">
        <f t="shared" si="107"/>
        <v>1.978932943548152E-12</v>
      </c>
      <c r="R124" s="59">
        <f t="shared" si="55"/>
        <v>293.3333333333353</v>
      </c>
      <c r="S124" s="59">
        <f ca="1">AVERAGE(OFFSET($R$3,0,0,'Données projet'!$E$9+1,1))-AVERAGE(OFFSET($H$3,0,0,'Données projet'!$E$9+1,1))</f>
        <v>149.5086927376081</v>
      </c>
      <c r="T124" s="59">
        <f t="shared" si="88"/>
        <v>364.59164590134498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9.9411228472854987</v>
      </c>
      <c r="AA124" s="21">
        <f>EXP(-LN(2)/25)*AA123+(1-EXP(-LN(2)/25))/(LN(2)/25)*Calculateur!V124*Calculateur!X124*VLOOKUP('Données projet'!$B$9,Paramètres!$A$1:$I$89,3,0)*0.475*44/12</f>
        <v>3.3731541662096425</v>
      </c>
      <c r="AB124" s="21">
        <f>EXP(-LN(2)/2)*AB123+(1-EXP(-LN(2)/2))/(LN(2)/2)*V124*Y124*VLOOKUP('Données projet'!$B$9,Paramètres!$A$1:$I$89,3,0)*0.475*44/12</f>
        <v>1.071516903605036E-12</v>
      </c>
      <c r="AC124" s="22">
        <f t="shared" si="57"/>
        <v>13.314277013496213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0</v>
      </c>
      <c r="AO124" s="59">
        <f t="shared" si="90"/>
        <v>0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-8.5265128291212022E-14</v>
      </c>
      <c r="BE124" s="13">
        <f>BD124*VLOOKUP('Données projet'!$B$11,Paramètres!$A$1:$I$89,3,0)*VLOOKUP('Données projet'!$B$11,Paramètres!$A$1:$I$89,5,0)</f>
        <v>-6.9167072069831198E-14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175.73034516698141</v>
      </c>
      <c r="BJ124" s="59">
        <f t="shared" si="92"/>
        <v>203.59461632821052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0.44607944786528136</v>
      </c>
      <c r="BR124" s="21">
        <f>EXP(-LN(2)/2)*BR123+(1-EXP(-LN(2)/2))/(LN(2)/2)*BL124*BO124*VLOOKUP('Données projet'!$B$11,Paramètres!$A$1:$I$89,3,0)*0.475*44/12</f>
        <v>1.6403635642121479E-13</v>
      </c>
      <c r="BS124" s="22">
        <f t="shared" si="63"/>
        <v>0.4460794478654454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-1.1368683772161603E-13</v>
      </c>
      <c r="BZ124" s="13">
        <f>BY124*VLOOKUP('Données projet'!$B$12,Paramètres!$A$1:$I$89,3,0)*VLOOKUP('Données projet'!$B$12,Paramètres!$A$1:$I$89,5,0)</f>
        <v>-9.5769792096689348E-14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258.28817640749349</v>
      </c>
      <c r="CE124" s="59">
        <f t="shared" si="94"/>
        <v>158.16416492761954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94.562121702197544</v>
      </c>
      <c r="CL124" s="21">
        <f>EXP(-LN(2)/25)*CL123+(1-EXP(-LN(2)/25))/(LN(2)/25)*Calculateur!CG124*Calculateur!CI124*VLOOKUP('Données projet'!$B$12,Paramètres!$A$1:$I$89,3,0)*0.475*44/12</f>
        <v>70.850070656991619</v>
      </c>
      <c r="CM124" s="21">
        <f>EXP(-LN(2)/2)*CM123+(1-EXP(-LN(2)/2))/(LN(2)/2)*CG124*CJ124*VLOOKUP('Données projet'!$B$12,Paramètres!$A$1:$I$89,3,0)*0.475*44/12</f>
        <v>3.5423466749589034E-10</v>
      </c>
      <c r="CN124" s="22">
        <f t="shared" si="66"/>
        <v>165.41219235954341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1.1368683772161603E-13</v>
      </c>
      <c r="O125" s="13">
        <f>N125*VLOOKUP('Données projet'!$B$9,Paramètres!$A$1:$I$89,3,0)*VLOOKUP('Données projet'!$B$9,Paramètres!$A$1:$I$89,5,0)</f>
        <v>6.7984728957526396E-14</v>
      </c>
      <c r="P125" s="13">
        <f t="shared" si="87"/>
        <v>1.0682447123141398E-12</v>
      </c>
      <c r="Q125" s="20">
        <f t="shared" si="107"/>
        <v>1.978932943548152E-12</v>
      </c>
      <c r="R125" s="59">
        <f t="shared" si="55"/>
        <v>293.3333333333353</v>
      </c>
      <c r="S125" s="59">
        <f ca="1">AVERAGE(OFFSET($R$3,0,0,'Données projet'!$E$9+1,1))-AVERAGE(OFFSET($H$3,0,0,'Données projet'!$E$9+1,1))</f>
        <v>149.5086927376081</v>
      </c>
      <c r="T125" s="59">
        <f t="shared" si="88"/>
        <v>364.59164590134498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9.7461834917364474</v>
      </c>
      <c r="AA125" s="21">
        <f>EXP(-LN(2)/25)*AA124+(1-EXP(-LN(2)/25))/(LN(2)/25)*Calculateur!V125*Calculateur!X125*VLOOKUP('Données projet'!$B$9,Paramètres!$A$1:$I$89,3,0)*0.475*44/12</f>
        <v>3.2809150881481717</v>
      </c>
      <c r="AB125" s="21">
        <f>EXP(-LN(2)/2)*AB124+(1-EXP(-LN(2)/2))/(LN(2)/2)*V125*Y125*VLOOKUP('Données projet'!$B$9,Paramètres!$A$1:$I$89,3,0)*0.475*44/12</f>
        <v>7.5767686869513311E-13</v>
      </c>
      <c r="AC125" s="22">
        <f t="shared" si="57"/>
        <v>13.027098579885378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0</v>
      </c>
      <c r="AO125" s="59">
        <f t="shared" si="90"/>
        <v>0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-8.5265128291212022E-14</v>
      </c>
      <c r="BE125" s="13">
        <f>BD125*VLOOKUP('Données projet'!$B$11,Paramètres!$A$1:$I$89,3,0)*VLOOKUP('Données projet'!$B$11,Paramètres!$A$1:$I$89,5,0)</f>
        <v>-6.9167072069831198E-14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175.73034516698141</v>
      </c>
      <c r="BJ125" s="59">
        <f t="shared" si="92"/>
        <v>203.59461632821052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0.43388138190510661</v>
      </c>
      <c r="BR125" s="21">
        <f>EXP(-LN(2)/2)*BR124+(1-EXP(-LN(2)/2))/(LN(2)/2)*BL125*BO125*VLOOKUP('Données projet'!$B$11,Paramètres!$A$1:$I$89,3,0)*0.475*44/12</f>
        <v>1.1599121998657445E-13</v>
      </c>
      <c r="BS125" s="22">
        <f t="shared" si="63"/>
        <v>0.43388138190522263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-1.1368683772161603E-13</v>
      </c>
      <c r="BZ125" s="13">
        <f>BY125*VLOOKUP('Données projet'!$B$12,Paramètres!$A$1:$I$89,3,0)*VLOOKUP('Données projet'!$B$12,Paramètres!$A$1:$I$89,5,0)</f>
        <v>-9.5769792096689348E-14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258.28817640749349</v>
      </c>
      <c r="CE125" s="59">
        <f t="shared" si="94"/>
        <v>158.16416492761954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92.707816172816536</v>
      </c>
      <c r="CL125" s="21">
        <f>EXP(-LN(2)/25)*CL124+(1-EXP(-LN(2)/25))/(LN(2)/25)*Calculateur!CG125*Calculateur!CI125*VLOOKUP('Données projet'!$B$12,Paramètres!$A$1:$I$89,3,0)*0.475*44/12</f>
        <v>68.912671749032896</v>
      </c>
      <c r="CM125" s="21">
        <f>EXP(-LN(2)/2)*CM124+(1-EXP(-LN(2)/2))/(LN(2)/2)*CG125*CJ125*VLOOKUP('Données projet'!$B$12,Paramètres!$A$1:$I$89,3,0)*0.475*44/12</f>
        <v>2.5048173551770595E-10</v>
      </c>
      <c r="CN125" s="22">
        <f t="shared" si="66"/>
        <v>161.6204879220999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1.1368683772161603E-13</v>
      </c>
      <c r="O126" s="13">
        <f>N126*VLOOKUP('Données projet'!$B$9,Paramètres!$A$1:$I$89,3,0)*VLOOKUP('Données projet'!$B$9,Paramètres!$A$1:$I$89,5,0)</f>
        <v>6.7984728957526396E-14</v>
      </c>
      <c r="P126" s="13">
        <f t="shared" si="87"/>
        <v>1.0682447123141398E-12</v>
      </c>
      <c r="Q126" s="20">
        <f t="shared" si="107"/>
        <v>1.978932943548152E-12</v>
      </c>
      <c r="R126" s="59">
        <f t="shared" si="55"/>
        <v>293.3333333333353</v>
      </c>
      <c r="S126" s="59">
        <f ca="1">AVERAGE(OFFSET($R$3,0,0,'Données projet'!$E$9+1,1))-AVERAGE(OFFSET($H$3,0,0,'Données projet'!$E$9+1,1))</f>
        <v>149.5086927376081</v>
      </c>
      <c r="T126" s="59">
        <f t="shared" si="88"/>
        <v>364.59164590134498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9.5550667780484471</v>
      </c>
      <c r="AA126" s="21">
        <f>EXP(-LN(2)/25)*AA125+(1-EXP(-LN(2)/25))/(LN(2)/25)*Calculateur!V126*Calculateur!X126*VLOOKUP('Données projet'!$B$9,Paramètres!$A$1:$I$89,3,0)*0.475*44/12</f>
        <v>3.1911982925269342</v>
      </c>
      <c r="AB126" s="21">
        <f>EXP(-LN(2)/2)*AB125+(1-EXP(-LN(2)/2))/(LN(2)/2)*V126*Y126*VLOOKUP('Données projet'!$B$9,Paramètres!$A$1:$I$89,3,0)*0.475*44/12</f>
        <v>5.3575845180251798E-13</v>
      </c>
      <c r="AC126" s="22">
        <f t="shared" si="57"/>
        <v>12.746265070575918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0</v>
      </c>
      <c r="AO126" s="59">
        <f t="shared" si="90"/>
        <v>0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-8.5265128291212022E-14</v>
      </c>
      <c r="BE126" s="13">
        <f>BD126*VLOOKUP('Données projet'!$B$11,Paramètres!$A$1:$I$89,3,0)*VLOOKUP('Données projet'!$B$11,Paramètres!$A$1:$I$89,5,0)</f>
        <v>-6.9167072069831198E-14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175.73034516698141</v>
      </c>
      <c r="BJ126" s="59">
        <f t="shared" si="92"/>
        <v>203.59461632821052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0.42201687270008126</v>
      </c>
      <c r="BR126" s="21">
        <f>EXP(-LN(2)/2)*BR125+(1-EXP(-LN(2)/2))/(LN(2)/2)*BL126*BO126*VLOOKUP('Données projet'!$B$11,Paramètres!$A$1:$I$89,3,0)*0.475*44/12</f>
        <v>8.2018178210607396E-14</v>
      </c>
      <c r="BS126" s="22">
        <f t="shared" si="63"/>
        <v>0.4220168727001633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-1.1368683772161603E-13</v>
      </c>
      <c r="BZ126" s="13">
        <f>BY126*VLOOKUP('Données projet'!$B$12,Paramètres!$A$1:$I$89,3,0)*VLOOKUP('Données projet'!$B$12,Paramètres!$A$1:$I$89,5,0)</f>
        <v>-9.5769792096689348E-14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258.28817640749349</v>
      </c>
      <c r="CE126" s="59">
        <f t="shared" si="94"/>
        <v>158.16416492761954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90.889872443851999</v>
      </c>
      <c r="CL126" s="21">
        <f>EXP(-LN(2)/25)*CL125+(1-EXP(-LN(2)/25))/(LN(2)/25)*Calculateur!CG126*Calculateur!CI126*VLOOKUP('Données projet'!$B$12,Paramètres!$A$1:$I$89,3,0)*0.475*44/12</f>
        <v>67.028251116095689</v>
      </c>
      <c r="CM126" s="21">
        <f>EXP(-LN(2)/2)*CM125+(1-EXP(-LN(2)/2))/(LN(2)/2)*CG126*CJ126*VLOOKUP('Données projet'!$B$12,Paramètres!$A$1:$I$89,3,0)*0.475*44/12</f>
        <v>1.7711733374794517E-10</v>
      </c>
      <c r="CN126" s="22">
        <f t="shared" si="66"/>
        <v>157.9181235601248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1.1368683772161603E-13</v>
      </c>
      <c r="O127" s="13">
        <f>N127*VLOOKUP('Données projet'!$B$9,Paramètres!$A$1:$I$89,3,0)*VLOOKUP('Données projet'!$B$9,Paramètres!$A$1:$I$89,5,0)</f>
        <v>6.7984728957526396E-14</v>
      </c>
      <c r="P127" s="13">
        <f t="shared" si="87"/>
        <v>1.0682447123141398E-12</v>
      </c>
      <c r="Q127" s="20">
        <f t="shared" si="107"/>
        <v>1.978932943548152E-12</v>
      </c>
      <c r="R127" s="59">
        <f t="shared" si="55"/>
        <v>293.3333333333353</v>
      </c>
      <c r="S127" s="59">
        <f ca="1">AVERAGE(OFFSET($R$3,0,0,'Données projet'!$E$9+1,1))-AVERAGE(OFFSET($H$3,0,0,'Données projet'!$E$9+1,1))</f>
        <v>149.5086927376081</v>
      </c>
      <c r="T127" s="59">
        <f t="shared" si="88"/>
        <v>364.59164590134498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9.3676977465461828</v>
      </c>
      <c r="AA127" s="21">
        <f>EXP(-LN(2)/25)*AA126+(1-EXP(-LN(2)/25))/(LN(2)/25)*Calculateur!V127*Calculateur!X127*VLOOKUP('Données projet'!$B$9,Paramètres!$A$1:$I$89,3,0)*0.475*44/12</f>
        <v>3.1039348073999604</v>
      </c>
      <c r="AB127" s="21">
        <f>EXP(-LN(2)/2)*AB126+(1-EXP(-LN(2)/2))/(LN(2)/2)*V127*Y127*VLOOKUP('Données projet'!$B$9,Paramètres!$A$1:$I$89,3,0)*0.475*44/12</f>
        <v>3.7883843434756656E-13</v>
      </c>
      <c r="AC127" s="22">
        <f t="shared" si="57"/>
        <v>12.471632553946522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0</v>
      </c>
      <c r="AO127" s="59">
        <f t="shared" si="90"/>
        <v>0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-8.5265128291212022E-14</v>
      </c>
      <c r="BE127" s="13">
        <f>BD127*VLOOKUP('Données projet'!$B$11,Paramètres!$A$1:$I$89,3,0)*VLOOKUP('Données projet'!$B$11,Paramètres!$A$1:$I$89,5,0)</f>
        <v>-6.9167072069831198E-14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175.73034516698141</v>
      </c>
      <c r="BJ127" s="59">
        <f t="shared" si="92"/>
        <v>203.59461632821052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0.41047679912319474</v>
      </c>
      <c r="BR127" s="21">
        <f>EXP(-LN(2)/2)*BR126+(1-EXP(-LN(2)/2))/(LN(2)/2)*BL127*BO127*VLOOKUP('Données projet'!$B$11,Paramètres!$A$1:$I$89,3,0)*0.475*44/12</f>
        <v>5.7995609993287223E-14</v>
      </c>
      <c r="BS127" s="22">
        <f t="shared" si="63"/>
        <v>0.41047679912325274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-1.1368683772161603E-13</v>
      </c>
      <c r="BZ127" s="13">
        <f>BY127*VLOOKUP('Données projet'!$B$12,Paramètres!$A$1:$I$89,3,0)*VLOOKUP('Données projet'!$B$12,Paramètres!$A$1:$I$89,5,0)</f>
        <v>-9.5769792096689348E-14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258.28817640749349</v>
      </c>
      <c r="CE127" s="59">
        <f t="shared" si="94"/>
        <v>158.16416492761954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89.107577482576275</v>
      </c>
      <c r="CL127" s="21">
        <f>EXP(-LN(2)/25)*CL126+(1-EXP(-LN(2)/25))/(LN(2)/25)*Calculateur!CG127*Calculateur!CI127*VLOOKUP('Données projet'!$B$12,Paramètres!$A$1:$I$89,3,0)*0.475*44/12</f>
        <v>65.195360064463515</v>
      </c>
      <c r="CM127" s="21">
        <f>EXP(-LN(2)/2)*CM126+(1-EXP(-LN(2)/2))/(LN(2)/2)*CG127*CJ127*VLOOKUP('Données projet'!$B$12,Paramètres!$A$1:$I$89,3,0)*0.475*44/12</f>
        <v>1.2524086775885298E-10</v>
      </c>
      <c r="CN127" s="22">
        <f t="shared" si="66"/>
        <v>154.30293754716504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1.1368683772161603E-13</v>
      </c>
      <c r="O128" s="13">
        <f>N128*VLOOKUP('Données projet'!$B$9,Paramètres!$A$1:$I$89,3,0)*VLOOKUP('Données projet'!$B$9,Paramètres!$A$1:$I$89,5,0)</f>
        <v>6.7984728957526396E-14</v>
      </c>
      <c r="P128" s="13">
        <f t="shared" si="87"/>
        <v>1.0682447123141398E-12</v>
      </c>
      <c r="Q128" s="20">
        <f t="shared" si="107"/>
        <v>1.978932943548152E-12</v>
      </c>
      <c r="R128" s="59">
        <f t="shared" si="55"/>
        <v>293.3333333333353</v>
      </c>
      <c r="S128" s="59">
        <f ca="1">AVERAGE(OFFSET($R$3,0,0,'Données projet'!$E$9+1,1))-AVERAGE(OFFSET($H$3,0,0,'Données projet'!$E$9+1,1))</f>
        <v>149.5086927376081</v>
      </c>
      <c r="T128" s="59">
        <f t="shared" si="88"/>
        <v>364.59164590134498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9.1840029074678533</v>
      </c>
      <c r="AA128" s="21">
        <f>EXP(-LN(2)/25)*AA127+(1-EXP(-LN(2)/25))/(LN(2)/25)*Calculateur!V128*Calculateur!X128*VLOOKUP('Données projet'!$B$9,Paramètres!$A$1:$I$89,3,0)*0.475*44/12</f>
        <v>3.0190575468627712</v>
      </c>
      <c r="AB128" s="21">
        <f>EXP(-LN(2)/2)*AB127+(1-EXP(-LN(2)/2))/(LN(2)/2)*V128*Y128*VLOOKUP('Données projet'!$B$9,Paramètres!$A$1:$I$89,3,0)*0.475*44/12</f>
        <v>2.6787922590125899E-13</v>
      </c>
      <c r="AC128" s="22">
        <f t="shared" si="57"/>
        <v>12.203060454330894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0</v>
      </c>
      <c r="AO128" s="59">
        <f t="shared" si="90"/>
        <v>0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-8.5265128291212022E-14</v>
      </c>
      <c r="BE128" s="13">
        <f>BD128*VLOOKUP('Données projet'!$B$11,Paramètres!$A$1:$I$89,3,0)*VLOOKUP('Données projet'!$B$11,Paramètres!$A$1:$I$89,5,0)</f>
        <v>-6.9167072069831198E-14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175.73034516698141</v>
      </c>
      <c r="BJ128" s="59">
        <f t="shared" si="92"/>
        <v>203.59461632821052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0.39925228946513425</v>
      </c>
      <c r="BR128" s="21">
        <f>EXP(-LN(2)/2)*BR127+(1-EXP(-LN(2)/2))/(LN(2)/2)*BL128*BO128*VLOOKUP('Données projet'!$B$11,Paramètres!$A$1:$I$89,3,0)*0.475*44/12</f>
        <v>4.1009089105303698E-14</v>
      </c>
      <c r="BS128" s="22">
        <f t="shared" si="63"/>
        <v>0.39925228946517527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-1.1368683772161603E-13</v>
      </c>
      <c r="BZ128" s="13">
        <f>BY128*VLOOKUP('Données projet'!$B$12,Paramètres!$A$1:$I$89,3,0)*VLOOKUP('Données projet'!$B$12,Paramètres!$A$1:$I$89,5,0)</f>
        <v>-9.5769792096689348E-14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258.28817640749349</v>
      </c>
      <c r="CE128" s="59">
        <f t="shared" si="94"/>
        <v>158.16416492761954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87.360232238398581</v>
      </c>
      <c r="CL128" s="21">
        <f>EXP(-LN(2)/25)*CL127+(1-EXP(-LN(2)/25))/(LN(2)/25)*Calculateur!CG128*Calculateur!CI128*VLOOKUP('Données projet'!$B$12,Paramètres!$A$1:$I$89,3,0)*0.475*44/12</f>
        <v>63.412589515025779</v>
      </c>
      <c r="CM128" s="21">
        <f>EXP(-LN(2)/2)*CM127+(1-EXP(-LN(2)/2))/(LN(2)/2)*CG128*CJ128*VLOOKUP('Données projet'!$B$12,Paramètres!$A$1:$I$89,3,0)*0.475*44/12</f>
        <v>8.8558666873972586E-11</v>
      </c>
      <c r="CN128" s="22">
        <f t="shared" si="66"/>
        <v>150.77282175351291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1.1368683772161603E-13</v>
      </c>
      <c r="O129" s="13">
        <f>N129*VLOOKUP('Données projet'!$B$9,Paramètres!$A$1:$I$89,3,0)*VLOOKUP('Données projet'!$B$9,Paramètres!$A$1:$I$89,5,0)</f>
        <v>6.7984728957526396E-14</v>
      </c>
      <c r="P129" s="13">
        <f t="shared" si="87"/>
        <v>1.0682447123141398E-12</v>
      </c>
      <c r="Q129" s="20">
        <f t="shared" si="107"/>
        <v>1.978932943548152E-12</v>
      </c>
      <c r="R129" s="59">
        <f t="shared" si="55"/>
        <v>293.3333333333353</v>
      </c>
      <c r="S129" s="59">
        <f ca="1">AVERAGE(OFFSET($R$3,0,0,'Données projet'!$E$9+1,1))-AVERAGE(OFFSET($H$3,0,0,'Données projet'!$E$9+1,1))</f>
        <v>149.5086927376081</v>
      </c>
      <c r="T129" s="59">
        <f t="shared" si="88"/>
        <v>364.59164590134498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9.0039102121410615</v>
      </c>
      <c r="AA129" s="21">
        <f>EXP(-LN(2)/25)*AA128+(1-EXP(-LN(2)/25))/(LN(2)/25)*Calculateur!V129*Calculateur!X129*VLOOKUP('Données projet'!$B$9,Paramètres!$A$1:$I$89,3,0)*0.475*44/12</f>
        <v>2.9365012594784723</v>
      </c>
      <c r="AB129" s="21">
        <f>EXP(-LN(2)/2)*AB128+(1-EXP(-LN(2)/2))/(LN(2)/2)*V129*Y129*VLOOKUP('Données projet'!$B$9,Paramètres!$A$1:$I$89,3,0)*0.475*44/12</f>
        <v>1.8941921717378328E-13</v>
      </c>
      <c r="AC129" s="22">
        <f t="shared" si="57"/>
        <v>11.940411471619724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0</v>
      </c>
      <c r="AO129" s="59">
        <f t="shared" si="90"/>
        <v>0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-8.5265128291212022E-14</v>
      </c>
      <c r="BE129" s="13">
        <f>BD129*VLOOKUP('Données projet'!$B$11,Paramètres!$A$1:$I$89,3,0)*VLOOKUP('Données projet'!$B$11,Paramètres!$A$1:$I$89,5,0)</f>
        <v>-6.9167072069831198E-14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175.73034516698141</v>
      </c>
      <c r="BJ129" s="59">
        <f t="shared" si="92"/>
        <v>203.59461632821052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0.38833471461394475</v>
      </c>
      <c r="BR129" s="21">
        <f>EXP(-LN(2)/2)*BR128+(1-EXP(-LN(2)/2))/(LN(2)/2)*BL129*BO129*VLOOKUP('Données projet'!$B$11,Paramètres!$A$1:$I$89,3,0)*0.475*44/12</f>
        <v>2.8997804996643612E-14</v>
      </c>
      <c r="BS129" s="22">
        <f t="shared" si="63"/>
        <v>0.38833471461397373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-1.1368683772161603E-13</v>
      </c>
      <c r="BZ129" s="13">
        <f>BY129*VLOOKUP('Données projet'!$B$12,Paramètres!$A$1:$I$89,3,0)*VLOOKUP('Données projet'!$B$12,Paramètres!$A$1:$I$89,5,0)</f>
        <v>-9.5769792096689348E-14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258.28817640749349</v>
      </c>
      <c r="CE129" s="59">
        <f t="shared" si="94"/>
        <v>158.16416492761954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85.647151368683851</v>
      </c>
      <c r="CL129" s="21">
        <f>EXP(-LN(2)/25)*CL128+(1-EXP(-LN(2)/25))/(LN(2)/25)*Calculateur!CG129*Calculateur!CI129*VLOOKUP('Données projet'!$B$12,Paramètres!$A$1:$I$89,3,0)*0.475*44/12</f>
        <v>61.67856892001425</v>
      </c>
      <c r="CM129" s="21">
        <f>EXP(-LN(2)/2)*CM128+(1-EXP(-LN(2)/2))/(LN(2)/2)*CG129*CJ129*VLOOKUP('Données projet'!$B$12,Paramètres!$A$1:$I$89,3,0)*0.475*44/12</f>
        <v>6.2620433879426488E-11</v>
      </c>
      <c r="CN129" s="22">
        <f t="shared" si="66"/>
        <v>147.32572028876072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1.1368683772161603E-13</v>
      </c>
      <c r="O130" s="13">
        <f>N130*VLOOKUP('Données projet'!$B$9,Paramètres!$A$1:$I$89,3,0)*VLOOKUP('Données projet'!$B$9,Paramètres!$A$1:$I$89,5,0)</f>
        <v>6.7984728957526396E-14</v>
      </c>
      <c r="P130" s="13">
        <f t="shared" si="87"/>
        <v>1.0682447123141398E-12</v>
      </c>
      <c r="Q130" s="20">
        <f t="shared" si="107"/>
        <v>1.978932943548152E-12</v>
      </c>
      <c r="R130" s="59">
        <f t="shared" si="55"/>
        <v>293.3333333333353</v>
      </c>
      <c r="S130" s="59">
        <f ca="1">AVERAGE(OFFSET($R$3,0,0,'Données projet'!$E$9+1,1))-AVERAGE(OFFSET($H$3,0,0,'Données projet'!$E$9+1,1))</f>
        <v>149.5086927376081</v>
      </c>
      <c r="T130" s="59">
        <f t="shared" si="88"/>
        <v>364.59164590134498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8.8273490247239295</v>
      </c>
      <c r="AA130" s="21">
        <f>EXP(-LN(2)/25)*AA129+(1-EXP(-LN(2)/25))/(LN(2)/25)*Calculateur!V130*Calculateur!X130*VLOOKUP('Données projet'!$B$9,Paramètres!$A$1:$I$89,3,0)*0.475*44/12</f>
        <v>2.8562024781141435</v>
      </c>
      <c r="AB130" s="21">
        <f>EXP(-LN(2)/2)*AB129+(1-EXP(-LN(2)/2))/(LN(2)/2)*V130*Y130*VLOOKUP('Données projet'!$B$9,Paramètres!$A$1:$I$89,3,0)*0.475*44/12</f>
        <v>1.339396129506295E-13</v>
      </c>
      <c r="AC130" s="22">
        <f t="shared" si="57"/>
        <v>11.683551502838206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0</v>
      </c>
      <c r="AO130" s="59">
        <f t="shared" si="90"/>
        <v>0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-8.5265128291212022E-14</v>
      </c>
      <c r="BE130" s="13">
        <f>BD130*VLOOKUP('Données projet'!$B$11,Paramètres!$A$1:$I$89,3,0)*VLOOKUP('Données projet'!$B$11,Paramètres!$A$1:$I$89,5,0)</f>
        <v>-6.9167072069831198E-14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175.73034516698141</v>
      </c>
      <c r="BJ130" s="59">
        <f t="shared" si="92"/>
        <v>203.59461632821052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0.37771568142119133</v>
      </c>
      <c r="BR130" s="21">
        <f>EXP(-LN(2)/2)*BR129+(1-EXP(-LN(2)/2))/(LN(2)/2)*BL130*BO130*VLOOKUP('Données projet'!$B$11,Paramètres!$A$1:$I$89,3,0)*0.475*44/12</f>
        <v>2.0504544552651849E-14</v>
      </c>
      <c r="BS130" s="22">
        <f t="shared" si="63"/>
        <v>0.37771568142121181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-1.1368683772161603E-13</v>
      </c>
      <c r="BZ130" s="13">
        <f>BY130*VLOOKUP('Données projet'!$B$12,Paramètres!$A$1:$I$89,3,0)*VLOOKUP('Données projet'!$B$12,Paramètres!$A$1:$I$89,5,0)</f>
        <v>-9.5769792096689348E-14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258.28817640749349</v>
      </c>
      <c r="CE130" s="59">
        <f t="shared" si="94"/>
        <v>158.16416492761954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83.967662969948066</v>
      </c>
      <c r="CL130" s="21">
        <f>EXP(-LN(2)/25)*CL129+(1-EXP(-LN(2)/25))/(LN(2)/25)*Calculateur!CG130*Calculateur!CI130*VLOOKUP('Données projet'!$B$12,Paramètres!$A$1:$I$89,3,0)*0.475*44/12</f>
        <v>59.991965209361489</v>
      </c>
      <c r="CM130" s="21">
        <f>EXP(-LN(2)/2)*CM129+(1-EXP(-LN(2)/2))/(LN(2)/2)*CG130*CJ130*VLOOKUP('Données projet'!$B$12,Paramètres!$A$1:$I$89,3,0)*0.475*44/12</f>
        <v>4.4279333436986293E-11</v>
      </c>
      <c r="CN130" s="22">
        <f t="shared" si="66"/>
        <v>143.95962817935384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1.1368683772161603E-13</v>
      </c>
      <c r="O131" s="13">
        <f>N131*VLOOKUP('Données projet'!$B$9,Paramètres!$A$1:$I$89,3,0)*VLOOKUP('Données projet'!$B$9,Paramètres!$A$1:$I$89,5,0)</f>
        <v>6.7984728957526396E-14</v>
      </c>
      <c r="P131" s="13">
        <f t="shared" si="87"/>
        <v>1.0682447123141398E-12</v>
      </c>
      <c r="Q131" s="20">
        <f t="shared" ref="Q131:Q153" si="108">(O131+P131)*0.475*44/12</f>
        <v>1.978932943548152E-12</v>
      </c>
      <c r="R131" s="59">
        <f t="shared" ref="R131:R194" si="109">Q131+(I131+J131)*44/12</f>
        <v>293.3333333333353</v>
      </c>
      <c r="S131" s="59">
        <f ca="1">AVERAGE(OFFSET($R$3,0,0,'Données projet'!$E$9+1,1))-AVERAGE(OFFSET($H$3,0,0,'Données projet'!$E$9+1,1))</f>
        <v>149.5086927376081</v>
      </c>
      <c r="T131" s="59">
        <f t="shared" si="88"/>
        <v>364.59164590134498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8.6542500945003571</v>
      </c>
      <c r="AA131" s="21">
        <f>EXP(-LN(2)/25)*AA130+(1-EXP(-LN(2)/25))/(LN(2)/25)*Calculateur!V131*Calculateur!X131*VLOOKUP('Données projet'!$B$9,Paramètres!$A$1:$I$89,3,0)*0.475*44/12</f>
        <v>2.7780994711489519</v>
      </c>
      <c r="AB131" s="21">
        <f>EXP(-LN(2)/2)*AB130+(1-EXP(-LN(2)/2))/(LN(2)/2)*V131*Y131*VLOOKUP('Données projet'!$B$9,Paramètres!$A$1:$I$89,3,0)*0.475*44/12</f>
        <v>9.4709608586891639E-14</v>
      </c>
      <c r="AC131" s="22">
        <f t="shared" si="57"/>
        <v>11.432349565649403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0</v>
      </c>
      <c r="AO131" s="59">
        <f t="shared" si="90"/>
        <v>0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-8.5265128291212022E-14</v>
      </c>
      <c r="BE131" s="13">
        <f>BD131*VLOOKUP('Données projet'!$B$11,Paramètres!$A$1:$I$89,3,0)*VLOOKUP('Données projet'!$B$11,Paramètres!$A$1:$I$89,5,0)</f>
        <v>-6.9167072069831198E-14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175.73034516698141</v>
      </c>
      <c r="BJ131" s="59">
        <f t="shared" si="92"/>
        <v>203.59461632821052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0.36738702624952446</v>
      </c>
      <c r="BR131" s="21">
        <f>EXP(-LN(2)/2)*BR130+(1-EXP(-LN(2)/2))/(LN(2)/2)*BL131*BO131*VLOOKUP('Données projet'!$B$11,Paramètres!$A$1:$I$89,3,0)*0.475*44/12</f>
        <v>1.4498902498321806E-14</v>
      </c>
      <c r="BS131" s="22">
        <f t="shared" si="63"/>
        <v>0.36738702624953895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-1.1368683772161603E-13</v>
      </c>
      <c r="BZ131" s="13">
        <f>BY131*VLOOKUP('Données projet'!$B$12,Paramètres!$A$1:$I$89,3,0)*VLOOKUP('Données projet'!$B$12,Paramètres!$A$1:$I$89,5,0)</f>
        <v>-9.5769792096689348E-14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258.28817640749349</v>
      </c>
      <c r="CE131" s="59">
        <f t="shared" si="94"/>
        <v>158.16416492761954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82.321108314324718</v>
      </c>
      <c r="CL131" s="21">
        <f>EXP(-LN(2)/25)*CL130+(1-EXP(-LN(2)/25))/(LN(2)/25)*Calculateur!CG131*Calculateur!CI131*VLOOKUP('Données projet'!$B$12,Paramètres!$A$1:$I$89,3,0)*0.475*44/12</f>
        <v>58.351481765871164</v>
      </c>
      <c r="CM131" s="21">
        <f>EXP(-LN(2)/2)*CM130+(1-EXP(-LN(2)/2))/(LN(2)/2)*CG131*CJ131*VLOOKUP('Données projet'!$B$12,Paramètres!$A$1:$I$89,3,0)*0.475*44/12</f>
        <v>3.1310216939713244E-11</v>
      </c>
      <c r="CN131" s="22">
        <f t="shared" si="66"/>
        <v>140.6725900802272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1.1368683772161603E-13</v>
      </c>
      <c r="O132" s="13">
        <f>N132*VLOOKUP('Données projet'!$B$9,Paramètres!$A$1:$I$89,3,0)*VLOOKUP('Données projet'!$B$9,Paramètres!$A$1:$I$89,5,0)</f>
        <v>6.7984728957526396E-14</v>
      </c>
      <c r="P132" s="13">
        <f t="shared" si="87"/>
        <v>1.0682447123141398E-12</v>
      </c>
      <c r="Q132" s="20">
        <f t="shared" si="108"/>
        <v>1.978932943548152E-12</v>
      </c>
      <c r="R132" s="59">
        <f t="shared" si="109"/>
        <v>293.3333333333353</v>
      </c>
      <c r="S132" s="59">
        <f ca="1">AVERAGE(OFFSET($R$3,0,0,'Données projet'!$E$9+1,1))-AVERAGE(OFFSET($H$3,0,0,'Données projet'!$E$9+1,1))</f>
        <v>149.5086927376081</v>
      </c>
      <c r="T132" s="59">
        <f t="shared" si="88"/>
        <v>364.59164590134498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8.4845455287185469</v>
      </c>
      <c r="AA132" s="21">
        <f>EXP(-LN(2)/25)*AA131+(1-EXP(-LN(2)/25))/(LN(2)/25)*Calculateur!V132*Calculateur!X132*VLOOKUP('Données projet'!$B$9,Paramètres!$A$1:$I$89,3,0)*0.475*44/12</f>
        <v>2.7021321950164823</v>
      </c>
      <c r="AB132" s="21">
        <f>EXP(-LN(2)/2)*AB131+(1-EXP(-LN(2)/2))/(LN(2)/2)*V132*Y132*VLOOKUP('Données projet'!$B$9,Paramètres!$A$1:$I$89,3,0)*0.475*44/12</f>
        <v>6.6969806475314748E-14</v>
      </c>
      <c r="AC132" s="22">
        <f t="shared" ref="AC132:AC153" si="111">SUM(Z132:AB132)</f>
        <v>11.186677723735096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0</v>
      </c>
      <c r="AO132" s="59">
        <f t="shared" si="90"/>
        <v>0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-8.5265128291212022E-14</v>
      </c>
      <c r="BE132" s="13">
        <f>BD132*VLOOKUP('Données projet'!$B$11,Paramètres!$A$1:$I$89,3,0)*VLOOKUP('Données projet'!$B$11,Paramètres!$A$1:$I$89,5,0)</f>
        <v>-6.9167072069831198E-14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175.73034516698141</v>
      </c>
      <c r="BJ132" s="59">
        <f t="shared" si="92"/>
        <v>203.59461632821052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0.35734080869668716</v>
      </c>
      <c r="BR132" s="21">
        <f>EXP(-LN(2)/2)*BR131+(1-EXP(-LN(2)/2))/(LN(2)/2)*BL132*BO132*VLOOKUP('Données projet'!$B$11,Paramètres!$A$1:$I$89,3,0)*0.475*44/12</f>
        <v>1.0252272276325925E-14</v>
      </c>
      <c r="BS132" s="22">
        <f t="shared" ref="BS132:BS153" si="117">SUM(BP132:BR132)</f>
        <v>0.35734080869669743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-1.1368683772161603E-13</v>
      </c>
      <c r="BZ132" s="13">
        <f>BY132*VLOOKUP('Données projet'!$B$12,Paramètres!$A$1:$I$89,3,0)*VLOOKUP('Données projet'!$B$12,Paramètres!$A$1:$I$89,5,0)</f>
        <v>-9.5769792096689348E-14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258.28817640749349</v>
      </c>
      <c r="CE132" s="59">
        <f t="shared" si="94"/>
        <v>158.16416492761954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80.706841591198966</v>
      </c>
      <c r="CL132" s="21">
        <f>EXP(-LN(2)/25)*CL131+(1-EXP(-LN(2)/25))/(LN(2)/25)*Calculateur!CG132*Calculateur!CI132*VLOOKUP('Données projet'!$B$12,Paramètres!$A$1:$I$89,3,0)*0.475*44/12</f>
        <v>56.755857428412355</v>
      </c>
      <c r="CM132" s="21">
        <f>EXP(-LN(2)/2)*CM131+(1-EXP(-LN(2)/2))/(LN(2)/2)*CG132*CJ132*VLOOKUP('Données projet'!$B$12,Paramètres!$A$1:$I$89,3,0)*0.475*44/12</f>
        <v>2.2139666718493147E-11</v>
      </c>
      <c r="CN132" s="22">
        <f t="shared" ref="CN132:CN153" si="120">SUM(CK132:CM132)</f>
        <v>137.46269901963345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1.1368683772161603E-13</v>
      </c>
      <c r="O133" s="13">
        <f>N133*VLOOKUP('Données projet'!$B$9,Paramètres!$A$1:$I$89,3,0)*VLOOKUP('Données projet'!$B$9,Paramètres!$A$1:$I$89,5,0)</f>
        <v>6.7984728957526396E-14</v>
      </c>
      <c r="P133" s="13">
        <f t="shared" ref="P133:P196" si="141">EXP(-1.0587+0.8836*LN(O133)+0.284)</f>
        <v>1.0682447123141398E-12</v>
      </c>
      <c r="Q133" s="20">
        <f t="shared" si="108"/>
        <v>1.978932943548152E-12</v>
      </c>
      <c r="R133" s="59">
        <f t="shared" si="109"/>
        <v>293.3333333333353</v>
      </c>
      <c r="S133" s="59">
        <f ca="1">AVERAGE(OFFSET($R$3,0,0,'Données projet'!$E$9+1,1))-AVERAGE(OFFSET($H$3,0,0,'Données projet'!$E$9+1,1))</f>
        <v>149.5086927376081</v>
      </c>
      <c r="T133" s="59">
        <f t="shared" ref="T133:T196" si="142">$T$3</f>
        <v>364.59164590134498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8.3181687659621542</v>
      </c>
      <c r="AA133" s="21">
        <f>EXP(-LN(2)/25)*AA132+(1-EXP(-LN(2)/25))/(LN(2)/25)*Calculateur!V133*Calculateur!X133*VLOOKUP('Données projet'!$B$9,Paramètres!$A$1:$I$89,3,0)*0.475*44/12</f>
        <v>2.6282422480448004</v>
      </c>
      <c r="AB133" s="21">
        <f>EXP(-LN(2)/2)*AB132+(1-EXP(-LN(2)/2))/(LN(2)/2)*V133*Y133*VLOOKUP('Données projet'!$B$9,Paramètres!$A$1:$I$89,3,0)*0.475*44/12</f>
        <v>4.735480429344582E-14</v>
      </c>
      <c r="AC133" s="22">
        <f t="shared" si="111"/>
        <v>10.946411014007003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0</v>
      </c>
      <c r="AO133" s="59">
        <f t="shared" ref="AO133:AO196" si="144">$AO$3</f>
        <v>0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-8.5265128291212022E-14</v>
      </c>
      <c r="BE133" s="13">
        <f>BD133*VLOOKUP('Données projet'!$B$11,Paramètres!$A$1:$I$89,3,0)*VLOOKUP('Données projet'!$B$11,Paramètres!$A$1:$I$89,5,0)</f>
        <v>-6.9167072069831198E-14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175.73034516698141</v>
      </c>
      <c r="BJ133" s="59">
        <f t="shared" ref="BJ133:BJ196" si="146">$BJ$3</f>
        <v>203.59461632821052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0.34756930549113985</v>
      </c>
      <c r="BR133" s="21">
        <f>EXP(-LN(2)/2)*BR132+(1-EXP(-LN(2)/2))/(LN(2)/2)*BL133*BO133*VLOOKUP('Données projet'!$B$11,Paramètres!$A$1:$I$89,3,0)*0.475*44/12</f>
        <v>7.2494512491609029E-15</v>
      </c>
      <c r="BS133" s="22">
        <f t="shared" si="117"/>
        <v>0.34756930549114712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-1.1368683772161603E-13</v>
      </c>
      <c r="BZ133" s="13">
        <f>BY133*VLOOKUP('Données projet'!$B$12,Paramètres!$A$1:$I$89,3,0)*VLOOKUP('Données projet'!$B$12,Paramètres!$A$1:$I$89,5,0)</f>
        <v>-9.5769792096689348E-14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258.28817640749349</v>
      </c>
      <c r="CE133" s="59">
        <f t="shared" ref="CE133:CE196" si="148">$CE$3</f>
        <v>158.16416492761954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79.12422965390823</v>
      </c>
      <c r="CL133" s="21">
        <f>EXP(-LN(2)/25)*CL132+(1-EXP(-LN(2)/25))/(LN(2)/25)*Calculateur!CG133*Calculateur!CI133*VLOOKUP('Données projet'!$B$12,Paramètres!$A$1:$I$89,3,0)*0.475*44/12</f>
        <v>55.203865522371593</v>
      </c>
      <c r="CM133" s="21">
        <f>EXP(-LN(2)/2)*CM132+(1-EXP(-LN(2)/2))/(LN(2)/2)*CG133*CJ133*VLOOKUP('Données projet'!$B$12,Paramètres!$A$1:$I$89,3,0)*0.475*44/12</f>
        <v>1.5655108469856622E-11</v>
      </c>
      <c r="CN133" s="22">
        <f t="shared" si="120"/>
        <v>134.32809517629548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1.1368683772161603E-13</v>
      </c>
      <c r="O134" s="13">
        <f>N134*VLOOKUP('Données projet'!$B$9,Paramètres!$A$1:$I$89,3,0)*VLOOKUP('Données projet'!$B$9,Paramètres!$A$1:$I$89,5,0)</f>
        <v>6.7984728957526396E-14</v>
      </c>
      <c r="P134" s="13">
        <f t="shared" si="141"/>
        <v>1.0682447123141398E-12</v>
      </c>
      <c r="Q134" s="20">
        <f t="shared" si="108"/>
        <v>1.978932943548152E-12</v>
      </c>
      <c r="R134" s="59">
        <f t="shared" si="109"/>
        <v>293.3333333333353</v>
      </c>
      <c r="S134" s="59">
        <f ca="1">AVERAGE(OFFSET($R$3,0,0,'Données projet'!$E$9+1,1))-AVERAGE(OFFSET($H$3,0,0,'Données projet'!$E$9+1,1))</f>
        <v>149.5086927376081</v>
      </c>
      <c r="T134" s="59">
        <f t="shared" si="142"/>
        <v>364.59164590134498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8.1550545500436087</v>
      </c>
      <c r="AA134" s="21">
        <f>EXP(-LN(2)/25)*AA133+(1-EXP(-LN(2)/25))/(LN(2)/25)*Calculateur!V134*Calculateur!X134*VLOOKUP('Données projet'!$B$9,Paramètres!$A$1:$I$89,3,0)*0.475*44/12</f>
        <v>2.5563728255587623</v>
      </c>
      <c r="AB134" s="21">
        <f>EXP(-LN(2)/2)*AB133+(1-EXP(-LN(2)/2))/(LN(2)/2)*V134*Y134*VLOOKUP('Données projet'!$B$9,Paramètres!$A$1:$I$89,3,0)*0.475*44/12</f>
        <v>3.3484903237657374E-14</v>
      </c>
      <c r="AC134" s="22">
        <f t="shared" si="111"/>
        <v>10.711427375602405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0</v>
      </c>
      <c r="AO134" s="59">
        <f t="shared" si="144"/>
        <v>0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-8.5265128291212022E-14</v>
      </c>
      <c r="BE134" s="13">
        <f>BD134*VLOOKUP('Données projet'!$B$11,Paramètres!$A$1:$I$89,3,0)*VLOOKUP('Données projet'!$B$11,Paramètres!$A$1:$I$89,5,0)</f>
        <v>-6.9167072069831198E-14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175.73034516698141</v>
      </c>
      <c r="BJ134" s="59">
        <f t="shared" si="146"/>
        <v>203.59461632821052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0.33806500455460925</v>
      </c>
      <c r="BR134" s="21">
        <f>EXP(-LN(2)/2)*BR133+(1-EXP(-LN(2)/2))/(LN(2)/2)*BL134*BO134*VLOOKUP('Données projet'!$B$11,Paramètres!$A$1:$I$89,3,0)*0.475*44/12</f>
        <v>5.1261361381629623E-15</v>
      </c>
      <c r="BS134" s="22">
        <f t="shared" si="117"/>
        <v>0.33806500455461436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-1.1368683772161603E-13</v>
      </c>
      <c r="BZ134" s="13">
        <f>BY134*VLOOKUP('Données projet'!$B$12,Paramètres!$A$1:$I$89,3,0)*VLOOKUP('Données projet'!$B$12,Paramètres!$A$1:$I$89,5,0)</f>
        <v>-9.5769792096689348E-14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258.28817640749349</v>
      </c>
      <c r="CE134" s="59">
        <f t="shared" si="148"/>
        <v>158.16416492761954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77.572651771409795</v>
      </c>
      <c r="CL134" s="21">
        <f>EXP(-LN(2)/25)*CL133+(1-EXP(-LN(2)/25))/(LN(2)/25)*Calculateur!CG134*Calculateur!CI134*VLOOKUP('Données projet'!$B$12,Paramètres!$A$1:$I$89,3,0)*0.475*44/12</f>
        <v>53.694312916617221</v>
      </c>
      <c r="CM134" s="21">
        <f>EXP(-LN(2)/2)*CM133+(1-EXP(-LN(2)/2))/(LN(2)/2)*CG134*CJ134*VLOOKUP('Données projet'!$B$12,Paramètres!$A$1:$I$89,3,0)*0.475*44/12</f>
        <v>1.1069833359246573E-11</v>
      </c>
      <c r="CN134" s="22">
        <f t="shared" si="120"/>
        <v>131.26696468803809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1.1368683772161603E-13</v>
      </c>
      <c r="O135" s="13">
        <f>N135*VLOOKUP('Données projet'!$B$9,Paramètres!$A$1:$I$89,3,0)*VLOOKUP('Données projet'!$B$9,Paramètres!$A$1:$I$89,5,0)</f>
        <v>6.7984728957526396E-14</v>
      </c>
      <c r="P135" s="13">
        <f t="shared" si="141"/>
        <v>1.0682447123141398E-12</v>
      </c>
      <c r="Q135" s="20">
        <f t="shared" si="108"/>
        <v>1.978932943548152E-12</v>
      </c>
      <c r="R135" s="59">
        <f t="shared" si="109"/>
        <v>293.3333333333353</v>
      </c>
      <c r="S135" s="59">
        <f ca="1">AVERAGE(OFFSET($R$3,0,0,'Données projet'!$E$9+1,1))-AVERAGE(OFFSET($H$3,0,0,'Données projet'!$E$9+1,1))</f>
        <v>149.5086927376081</v>
      </c>
      <c r="T135" s="59">
        <f t="shared" si="142"/>
        <v>364.59164590134498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7.9951389044093784</v>
      </c>
      <c r="AA135" s="21">
        <f>EXP(-LN(2)/25)*AA134+(1-EXP(-LN(2)/25))/(LN(2)/25)*Calculateur!V135*Calculateur!X135*VLOOKUP('Données projet'!$B$9,Paramètres!$A$1:$I$89,3,0)*0.475*44/12</f>
        <v>2.4864686762100536</v>
      </c>
      <c r="AB135" s="21">
        <f>EXP(-LN(2)/2)*AB134+(1-EXP(-LN(2)/2))/(LN(2)/2)*V135*Y135*VLOOKUP('Données projet'!$B$9,Paramètres!$A$1:$I$89,3,0)*0.475*44/12</f>
        <v>2.367740214672291E-14</v>
      </c>
      <c r="AC135" s="22">
        <f t="shared" si="111"/>
        <v>10.481607580619455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0</v>
      </c>
      <c r="AO135" s="59">
        <f t="shared" si="144"/>
        <v>0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-8.5265128291212022E-14</v>
      </c>
      <c r="BE135" s="13">
        <f>BD135*VLOOKUP('Données projet'!$B$11,Paramètres!$A$1:$I$89,3,0)*VLOOKUP('Données projet'!$B$11,Paramètres!$A$1:$I$89,5,0)</f>
        <v>-6.9167072069831198E-14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175.73034516698141</v>
      </c>
      <c r="BJ135" s="59">
        <f t="shared" si="146"/>
        <v>203.59461632821052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0.32882059922699752</v>
      </c>
      <c r="BR135" s="21">
        <f>EXP(-LN(2)/2)*BR134+(1-EXP(-LN(2)/2))/(LN(2)/2)*BL135*BO135*VLOOKUP('Données projet'!$B$11,Paramètres!$A$1:$I$89,3,0)*0.475*44/12</f>
        <v>3.6247256245804515E-15</v>
      </c>
      <c r="BS135" s="22">
        <f t="shared" si="117"/>
        <v>0.32882059922700113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-1.1368683772161603E-13</v>
      </c>
      <c r="BZ135" s="13">
        <f>BY135*VLOOKUP('Données projet'!$B$12,Paramètres!$A$1:$I$89,3,0)*VLOOKUP('Données projet'!$B$12,Paramètres!$A$1:$I$89,5,0)</f>
        <v>-9.5769792096689348E-14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258.28817640749349</v>
      </c>
      <c r="CE135" s="59">
        <f t="shared" si="148"/>
        <v>158.16416492761954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76.051499384818101</v>
      </c>
      <c r="CL135" s="21">
        <f>EXP(-LN(2)/25)*CL134+(1-EXP(-LN(2)/25))/(LN(2)/25)*Calculateur!CG135*Calculateur!CI135*VLOOKUP('Données projet'!$B$12,Paramètres!$A$1:$I$89,3,0)*0.475*44/12</f>
        <v>52.226039106251129</v>
      </c>
      <c r="CM135" s="21">
        <f>EXP(-LN(2)/2)*CM134+(1-EXP(-LN(2)/2))/(LN(2)/2)*CG135*CJ135*VLOOKUP('Données projet'!$B$12,Paramètres!$A$1:$I$89,3,0)*0.475*44/12</f>
        <v>7.827554234928311E-12</v>
      </c>
      <c r="CN135" s="22">
        <f t="shared" si="120"/>
        <v>128.27753849107705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1.1368683772161603E-13</v>
      </c>
      <c r="O136" s="13">
        <f>N136*VLOOKUP('Données projet'!$B$9,Paramètres!$A$1:$I$89,3,0)*VLOOKUP('Données projet'!$B$9,Paramètres!$A$1:$I$89,5,0)</f>
        <v>6.7984728957526396E-14</v>
      </c>
      <c r="P136" s="13">
        <f t="shared" si="141"/>
        <v>1.0682447123141398E-12</v>
      </c>
      <c r="Q136" s="20">
        <f t="shared" si="108"/>
        <v>1.978932943548152E-12</v>
      </c>
      <c r="R136" s="59">
        <f t="shared" si="109"/>
        <v>293.3333333333353</v>
      </c>
      <c r="S136" s="59">
        <f ca="1">AVERAGE(OFFSET($R$3,0,0,'Données projet'!$E$9+1,1))-AVERAGE(OFFSET($H$3,0,0,'Données projet'!$E$9+1,1))</f>
        <v>149.5086927376081</v>
      </c>
      <c r="T136" s="59">
        <f t="shared" si="142"/>
        <v>364.59164590134498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7.8383591070471228</v>
      </c>
      <c r="AA136" s="21">
        <f>EXP(-LN(2)/25)*AA135+(1-EXP(-LN(2)/25))/(LN(2)/25)*Calculateur!V136*Calculateur!X136*VLOOKUP('Données projet'!$B$9,Paramètres!$A$1:$I$89,3,0)*0.475*44/12</f>
        <v>2.4184760595013848</v>
      </c>
      <c r="AB136" s="21">
        <f>EXP(-LN(2)/2)*AB135+(1-EXP(-LN(2)/2))/(LN(2)/2)*V136*Y136*VLOOKUP('Données projet'!$B$9,Paramètres!$A$1:$I$89,3,0)*0.475*44/12</f>
        <v>1.6742451618828687E-14</v>
      </c>
      <c r="AC136" s="22">
        <f t="shared" si="111"/>
        <v>10.256835166548523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0</v>
      </c>
      <c r="AO136" s="59">
        <f t="shared" si="144"/>
        <v>0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-8.5265128291212022E-14</v>
      </c>
      <c r="BE136" s="13">
        <f>BD136*VLOOKUP('Données projet'!$B$11,Paramètres!$A$1:$I$89,3,0)*VLOOKUP('Données projet'!$B$11,Paramètres!$A$1:$I$89,5,0)</f>
        <v>-6.9167072069831198E-14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175.73034516698141</v>
      </c>
      <c r="BJ136" s="59">
        <f t="shared" si="146"/>
        <v>203.59461632821052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0.3198289826492115</v>
      </c>
      <c r="BR136" s="21">
        <f>EXP(-LN(2)/2)*BR135+(1-EXP(-LN(2)/2))/(LN(2)/2)*BL136*BO136*VLOOKUP('Données projet'!$B$11,Paramètres!$A$1:$I$89,3,0)*0.475*44/12</f>
        <v>2.5630680690814811E-15</v>
      </c>
      <c r="BS136" s="22">
        <f t="shared" si="117"/>
        <v>0.31982898264921406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-1.1368683772161603E-13</v>
      </c>
      <c r="BZ136" s="13">
        <f>BY136*VLOOKUP('Données projet'!$B$12,Paramètres!$A$1:$I$89,3,0)*VLOOKUP('Données projet'!$B$12,Paramètres!$A$1:$I$89,5,0)</f>
        <v>-9.5769792096689348E-14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258.28817640749349</v>
      </c>
      <c r="CE136" s="59">
        <f t="shared" si="148"/>
        <v>158.16416492761954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74.560175868716129</v>
      </c>
      <c r="CL136" s="21">
        <f>EXP(-LN(2)/25)*CL135+(1-EXP(-LN(2)/25))/(LN(2)/25)*Calculateur!CG136*Calculateur!CI136*VLOOKUP('Données projet'!$B$12,Paramètres!$A$1:$I$89,3,0)*0.475*44/12</f>
        <v>50.797915320442662</v>
      </c>
      <c r="CM136" s="21">
        <f>EXP(-LN(2)/2)*CM135+(1-EXP(-LN(2)/2))/(LN(2)/2)*CG136*CJ136*VLOOKUP('Données projet'!$B$12,Paramètres!$A$1:$I$89,3,0)*0.475*44/12</f>
        <v>5.5349166796232866E-12</v>
      </c>
      <c r="CN136" s="22">
        <f t="shared" si="120"/>
        <v>125.35809118916431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1.1368683772161603E-13</v>
      </c>
      <c r="O137" s="13">
        <f>N137*VLOOKUP('Données projet'!$B$9,Paramètres!$A$1:$I$89,3,0)*VLOOKUP('Données projet'!$B$9,Paramètres!$A$1:$I$89,5,0)</f>
        <v>6.7984728957526396E-14</v>
      </c>
      <c r="P137" s="13">
        <f t="shared" si="141"/>
        <v>1.0682447123141398E-12</v>
      </c>
      <c r="Q137" s="20">
        <f t="shared" si="108"/>
        <v>1.978932943548152E-12</v>
      </c>
      <c r="R137" s="59">
        <f t="shared" si="109"/>
        <v>293.3333333333353</v>
      </c>
      <c r="S137" s="59">
        <f ca="1">AVERAGE(OFFSET($R$3,0,0,'Données projet'!$E$9+1,1))-AVERAGE(OFFSET($H$3,0,0,'Données projet'!$E$9+1,1))</f>
        <v>149.5086927376081</v>
      </c>
      <c r="T137" s="59">
        <f t="shared" si="142"/>
        <v>364.59164590134498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7.6846536658849063</v>
      </c>
      <c r="AA137" s="21">
        <f>EXP(-LN(2)/25)*AA136+(1-EXP(-LN(2)/25))/(LN(2)/25)*Calculateur!V137*Calculateur!X137*VLOOKUP('Données projet'!$B$9,Paramètres!$A$1:$I$89,3,0)*0.475*44/12</f>
        <v>2.352342704472191</v>
      </c>
      <c r="AB137" s="21">
        <f>EXP(-LN(2)/2)*AB136+(1-EXP(-LN(2)/2))/(LN(2)/2)*V137*Y137*VLOOKUP('Données projet'!$B$9,Paramètres!$A$1:$I$89,3,0)*0.475*44/12</f>
        <v>1.1838701073361455E-14</v>
      </c>
      <c r="AC137" s="22">
        <f t="shared" si="111"/>
        <v>10.036996370357111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0</v>
      </c>
      <c r="AO137" s="59">
        <f t="shared" si="144"/>
        <v>0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-8.5265128291212022E-14</v>
      </c>
      <c r="BE137" s="13">
        <f>BD137*VLOOKUP('Données projet'!$B$11,Paramètres!$A$1:$I$89,3,0)*VLOOKUP('Données projet'!$B$11,Paramètres!$A$1:$I$89,5,0)</f>
        <v>-6.9167072069831198E-14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175.73034516698141</v>
      </c>
      <c r="BJ137" s="59">
        <f t="shared" si="146"/>
        <v>203.59461632821052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0.31108324229959361</v>
      </c>
      <c r="BR137" s="21">
        <f>EXP(-LN(2)/2)*BR136+(1-EXP(-LN(2)/2))/(LN(2)/2)*BL137*BO137*VLOOKUP('Données projet'!$B$11,Paramètres!$A$1:$I$89,3,0)*0.475*44/12</f>
        <v>1.8123628122902257E-15</v>
      </c>
      <c r="BS137" s="22">
        <f t="shared" si="117"/>
        <v>0.31108324229959544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-1.1368683772161603E-13</v>
      </c>
      <c r="BZ137" s="13">
        <f>BY137*VLOOKUP('Données projet'!$B$12,Paramètres!$A$1:$I$89,3,0)*VLOOKUP('Données projet'!$B$12,Paramètres!$A$1:$I$89,5,0)</f>
        <v>-9.5769792096689348E-14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258.28817640749349</v>
      </c>
      <c r="CE137" s="59">
        <f t="shared" si="148"/>
        <v>158.16416492761954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73.098096297147379</v>
      </c>
      <c r="CL137" s="21">
        <f>EXP(-LN(2)/25)*CL136+(1-EXP(-LN(2)/25))/(LN(2)/25)*Calculateur!CG137*Calculateur!CI137*VLOOKUP('Données projet'!$B$12,Paramètres!$A$1:$I$89,3,0)*0.475*44/12</f>
        <v>49.408843654658888</v>
      </c>
      <c r="CM137" s="21">
        <f>EXP(-LN(2)/2)*CM136+(1-EXP(-LN(2)/2))/(LN(2)/2)*CG137*CJ137*VLOOKUP('Données projet'!$B$12,Paramètres!$A$1:$I$89,3,0)*0.475*44/12</f>
        <v>3.9137771174641555E-12</v>
      </c>
      <c r="CN137" s="22">
        <f t="shared" si="120"/>
        <v>122.50693995181017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1.1368683772161603E-13</v>
      </c>
      <c r="O138" s="13">
        <f>N138*VLOOKUP('Données projet'!$B$9,Paramètres!$A$1:$I$89,3,0)*VLOOKUP('Données projet'!$B$9,Paramètres!$A$1:$I$89,5,0)</f>
        <v>6.7984728957526396E-14</v>
      </c>
      <c r="P138" s="13">
        <f t="shared" si="141"/>
        <v>1.0682447123141398E-12</v>
      </c>
      <c r="Q138" s="20">
        <f t="shared" si="108"/>
        <v>1.978932943548152E-12</v>
      </c>
      <c r="R138" s="59">
        <f t="shared" si="109"/>
        <v>293.3333333333353</v>
      </c>
      <c r="S138" s="59">
        <f ca="1">AVERAGE(OFFSET($R$3,0,0,'Données projet'!$E$9+1,1))-AVERAGE(OFFSET($H$3,0,0,'Données projet'!$E$9+1,1))</f>
        <v>149.5086927376081</v>
      </c>
      <c r="T138" s="59">
        <f t="shared" si="142"/>
        <v>364.59164590134498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7.5339622946728193</v>
      </c>
      <c r="AA138" s="21">
        <f>EXP(-LN(2)/25)*AA137+(1-EXP(-LN(2)/25))/(LN(2)/25)*Calculateur!V138*Calculateur!X138*VLOOKUP('Données projet'!$B$9,Paramètres!$A$1:$I$89,3,0)*0.475*44/12</f>
        <v>2.2880177695140724</v>
      </c>
      <c r="AB138" s="21">
        <f>EXP(-LN(2)/2)*AB137+(1-EXP(-LN(2)/2))/(LN(2)/2)*V138*Y138*VLOOKUP('Données projet'!$B$9,Paramètres!$A$1:$I$89,3,0)*0.475*44/12</f>
        <v>8.3712258094143435E-15</v>
      </c>
      <c r="AC138" s="22">
        <f t="shared" si="111"/>
        <v>9.8219800641869011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0</v>
      </c>
      <c r="AO138" s="59">
        <f t="shared" si="144"/>
        <v>0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-8.5265128291212022E-14</v>
      </c>
      <c r="BE138" s="13">
        <f>BD138*VLOOKUP('Données projet'!$B$11,Paramètres!$A$1:$I$89,3,0)*VLOOKUP('Données projet'!$B$11,Paramètres!$A$1:$I$89,5,0)</f>
        <v>-6.9167072069831198E-14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175.73034516698141</v>
      </c>
      <c r="BJ138" s="59">
        <f t="shared" si="146"/>
        <v>203.59461632821052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0.30257665467975448</v>
      </c>
      <c r="BR138" s="21">
        <f>EXP(-LN(2)/2)*BR137+(1-EXP(-LN(2)/2))/(LN(2)/2)*BL138*BO138*VLOOKUP('Données projet'!$B$11,Paramètres!$A$1:$I$89,3,0)*0.475*44/12</f>
        <v>1.2815340345407406E-15</v>
      </c>
      <c r="BS138" s="22">
        <f t="shared" si="117"/>
        <v>0.30257665467975575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-1.1368683772161603E-13</v>
      </c>
      <c r="BZ138" s="13">
        <f>BY138*VLOOKUP('Données projet'!$B$12,Paramètres!$A$1:$I$89,3,0)*VLOOKUP('Données projet'!$B$12,Paramètres!$A$1:$I$89,5,0)</f>
        <v>-9.5769792096689348E-14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258.28817640749349</v>
      </c>
      <c r="CE138" s="59">
        <f t="shared" si="148"/>
        <v>158.16416492761954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71.664687214196618</v>
      </c>
      <c r="CL138" s="21">
        <f>EXP(-LN(2)/25)*CL137+(1-EXP(-LN(2)/25))/(LN(2)/25)*Calculateur!CG138*Calculateur!CI138*VLOOKUP('Données projet'!$B$12,Paramètres!$A$1:$I$89,3,0)*0.475*44/12</f>
        <v>48.057756226624079</v>
      </c>
      <c r="CM138" s="21">
        <f>EXP(-LN(2)/2)*CM137+(1-EXP(-LN(2)/2))/(LN(2)/2)*CG138*CJ138*VLOOKUP('Données projet'!$B$12,Paramètres!$A$1:$I$89,3,0)*0.475*44/12</f>
        <v>2.7674583398116433E-12</v>
      </c>
      <c r="CN138" s="22">
        <f t="shared" si="120"/>
        <v>119.72244344082347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1.1368683772161603E-13</v>
      </c>
      <c r="O139" s="13">
        <f>N139*VLOOKUP('Données projet'!$B$9,Paramètres!$A$1:$I$89,3,0)*VLOOKUP('Données projet'!$B$9,Paramètres!$A$1:$I$89,5,0)</f>
        <v>6.7984728957526396E-14</v>
      </c>
      <c r="P139" s="13">
        <f t="shared" si="141"/>
        <v>1.0682447123141398E-12</v>
      </c>
      <c r="Q139" s="20">
        <f t="shared" si="108"/>
        <v>1.978932943548152E-12</v>
      </c>
      <c r="R139" s="59">
        <f t="shared" si="109"/>
        <v>293.3333333333353</v>
      </c>
      <c r="S139" s="59">
        <f ca="1">AVERAGE(OFFSET($R$3,0,0,'Données projet'!$E$9+1,1))-AVERAGE(OFFSET($H$3,0,0,'Données projet'!$E$9+1,1))</f>
        <v>149.5086927376081</v>
      </c>
      <c r="T139" s="59">
        <f t="shared" si="142"/>
        <v>364.59164590134498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7.3862258893375401</v>
      </c>
      <c r="AA139" s="21">
        <f>EXP(-LN(2)/25)*AA138+(1-EXP(-LN(2)/25))/(LN(2)/25)*Calculateur!V139*Calculateur!X139*VLOOKUP('Données projet'!$B$9,Paramètres!$A$1:$I$89,3,0)*0.475*44/12</f>
        <v>2.2254518032850847</v>
      </c>
      <c r="AB139" s="21">
        <f>EXP(-LN(2)/2)*AB138+(1-EXP(-LN(2)/2))/(LN(2)/2)*V139*Y139*VLOOKUP('Données projet'!$B$9,Paramètres!$A$1:$I$89,3,0)*0.475*44/12</f>
        <v>5.9193505366807275E-15</v>
      </c>
      <c r="AC139" s="22">
        <f t="shared" si="111"/>
        <v>9.6116776926226297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0</v>
      </c>
      <c r="AO139" s="59">
        <f t="shared" si="144"/>
        <v>0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-8.5265128291212022E-14</v>
      </c>
      <c r="BE139" s="13">
        <f>BD139*VLOOKUP('Données projet'!$B$11,Paramètres!$A$1:$I$89,3,0)*VLOOKUP('Données projet'!$B$11,Paramètres!$A$1:$I$89,5,0)</f>
        <v>-6.9167072069831198E-14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175.73034516698141</v>
      </c>
      <c r="BJ139" s="59">
        <f t="shared" si="146"/>
        <v>203.59461632821052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0.29430268014572186</v>
      </c>
      <c r="BR139" s="21">
        <f>EXP(-LN(2)/2)*BR138+(1-EXP(-LN(2)/2))/(LN(2)/2)*BL139*BO139*VLOOKUP('Données projet'!$B$11,Paramètres!$A$1:$I$89,3,0)*0.475*44/12</f>
        <v>9.0618140614511286E-16</v>
      </c>
      <c r="BS139" s="22">
        <f t="shared" si="117"/>
        <v>0.29430268014572275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-1.1368683772161603E-13</v>
      </c>
      <c r="BZ139" s="13">
        <f>BY139*VLOOKUP('Données projet'!$B$12,Paramètres!$A$1:$I$89,3,0)*VLOOKUP('Données projet'!$B$12,Paramètres!$A$1:$I$89,5,0)</f>
        <v>-9.5769792096689348E-14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258.28817640749349</v>
      </c>
      <c r="CE139" s="59">
        <f t="shared" si="148"/>
        <v>158.16416492761954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70.259386409069307</v>
      </c>
      <c r="CL139" s="21">
        <f>EXP(-LN(2)/25)*CL138+(1-EXP(-LN(2)/25))/(LN(2)/25)*Calculateur!CG139*Calculateur!CI139*VLOOKUP('Données projet'!$B$12,Paramètres!$A$1:$I$89,3,0)*0.475*44/12</f>
        <v>46.743614355359483</v>
      </c>
      <c r="CM139" s="21">
        <f>EXP(-LN(2)/2)*CM138+(1-EXP(-LN(2)/2))/(LN(2)/2)*CG139*CJ139*VLOOKUP('Données projet'!$B$12,Paramètres!$A$1:$I$89,3,0)*0.475*44/12</f>
        <v>1.9568885587320777E-12</v>
      </c>
      <c r="CN139" s="22">
        <f t="shared" si="120"/>
        <v>117.00300076443075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1.1368683772161603E-13</v>
      </c>
      <c r="O140" s="13">
        <f>N140*VLOOKUP('Données projet'!$B$9,Paramètres!$A$1:$I$89,3,0)*VLOOKUP('Données projet'!$B$9,Paramètres!$A$1:$I$89,5,0)</f>
        <v>6.7984728957526396E-14</v>
      </c>
      <c r="P140" s="13">
        <f t="shared" si="141"/>
        <v>1.0682447123141398E-12</v>
      </c>
      <c r="Q140" s="20">
        <f t="shared" si="108"/>
        <v>1.978932943548152E-12</v>
      </c>
      <c r="R140" s="59">
        <f t="shared" si="109"/>
        <v>293.3333333333353</v>
      </c>
      <c r="S140" s="59">
        <f ca="1">AVERAGE(OFFSET($R$3,0,0,'Données projet'!$E$9+1,1))-AVERAGE(OFFSET($H$3,0,0,'Données projet'!$E$9+1,1))</f>
        <v>149.5086927376081</v>
      </c>
      <c r="T140" s="59">
        <f t="shared" si="142"/>
        <v>364.59164590134498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7.2413865048005768</v>
      </c>
      <c r="AA140" s="21">
        <f>EXP(-LN(2)/25)*AA139+(1-EXP(-LN(2)/25))/(LN(2)/25)*Calculateur!V140*Calculateur!X140*VLOOKUP('Données projet'!$B$9,Paramètres!$A$1:$I$89,3,0)*0.475*44/12</f>
        <v>2.16459670669283</v>
      </c>
      <c r="AB140" s="21">
        <f>EXP(-LN(2)/2)*AB139+(1-EXP(-LN(2)/2))/(LN(2)/2)*V140*Y140*VLOOKUP('Données projet'!$B$9,Paramètres!$A$1:$I$89,3,0)*0.475*44/12</f>
        <v>4.1856129047071717E-15</v>
      </c>
      <c r="AC140" s="22">
        <f t="shared" si="111"/>
        <v>9.4059832114934103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0</v>
      </c>
      <c r="AO140" s="59">
        <f t="shared" si="144"/>
        <v>0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-8.5265128291212022E-14</v>
      </c>
      <c r="BE140" s="13">
        <f>BD140*VLOOKUP('Données projet'!$B$11,Paramètres!$A$1:$I$89,3,0)*VLOOKUP('Données projet'!$B$11,Paramètres!$A$1:$I$89,5,0)</f>
        <v>-6.9167072069831198E-14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175.73034516698141</v>
      </c>
      <c r="BJ140" s="59">
        <f t="shared" si="146"/>
        <v>203.59461632821052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0.28625495788043176</v>
      </c>
      <c r="BR140" s="21">
        <f>EXP(-LN(2)/2)*BR139+(1-EXP(-LN(2)/2))/(LN(2)/2)*BL140*BO140*VLOOKUP('Données projet'!$B$11,Paramètres!$A$1:$I$89,3,0)*0.475*44/12</f>
        <v>6.4076701727037028E-16</v>
      </c>
      <c r="BS140" s="22">
        <f t="shared" si="117"/>
        <v>0.28625495788043243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-1.1368683772161603E-13</v>
      </c>
      <c r="BZ140" s="13">
        <f>BY140*VLOOKUP('Données projet'!$B$12,Paramètres!$A$1:$I$89,3,0)*VLOOKUP('Données projet'!$B$12,Paramètres!$A$1:$I$89,5,0)</f>
        <v>-9.5769792096689348E-14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258.28817640749349</v>
      </c>
      <c r="CE140" s="59">
        <f t="shared" si="148"/>
        <v>158.16416492761954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68.881642695581689</v>
      </c>
      <c r="CL140" s="21">
        <f>EXP(-LN(2)/25)*CL139+(1-EXP(-LN(2)/25))/(LN(2)/25)*Calculateur!CG140*Calculateur!CI140*VLOOKUP('Données projet'!$B$12,Paramètres!$A$1:$I$89,3,0)*0.475*44/12</f>
        <v>45.465407762672335</v>
      </c>
      <c r="CM140" s="21">
        <f>EXP(-LN(2)/2)*CM139+(1-EXP(-LN(2)/2))/(LN(2)/2)*CG140*CJ140*VLOOKUP('Données projet'!$B$12,Paramètres!$A$1:$I$89,3,0)*0.475*44/12</f>
        <v>1.3837291699058217E-12</v>
      </c>
      <c r="CN140" s="22">
        <f t="shared" si="120"/>
        <v>114.3470504582554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1.1368683772161603E-13</v>
      </c>
      <c r="O141" s="13">
        <f>N141*VLOOKUP('Données projet'!$B$9,Paramètres!$A$1:$I$89,3,0)*VLOOKUP('Données projet'!$B$9,Paramètres!$A$1:$I$89,5,0)</f>
        <v>6.7984728957526396E-14</v>
      </c>
      <c r="P141" s="13">
        <f t="shared" si="141"/>
        <v>1.0682447123141398E-12</v>
      </c>
      <c r="Q141" s="20">
        <f t="shared" si="108"/>
        <v>1.978932943548152E-12</v>
      </c>
      <c r="R141" s="59">
        <f t="shared" si="109"/>
        <v>293.3333333333353</v>
      </c>
      <c r="S141" s="59">
        <f ca="1">AVERAGE(OFFSET($R$3,0,0,'Données projet'!$E$9+1,1))-AVERAGE(OFFSET($H$3,0,0,'Données projet'!$E$9+1,1))</f>
        <v>149.5086927376081</v>
      </c>
      <c r="T141" s="59">
        <f t="shared" si="142"/>
        <v>364.59164590134498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7.0993873322510819</v>
      </c>
      <c r="AA141" s="21">
        <f>EXP(-LN(2)/25)*AA140+(1-EXP(-LN(2)/25))/(LN(2)/25)*Calculateur!V141*Calculateur!X141*VLOOKUP('Données projet'!$B$9,Paramètres!$A$1:$I$89,3,0)*0.475*44/12</f>
        <v>2.105405695917121</v>
      </c>
      <c r="AB141" s="21">
        <f>EXP(-LN(2)/2)*AB140+(1-EXP(-LN(2)/2))/(LN(2)/2)*V141*Y141*VLOOKUP('Données projet'!$B$9,Paramètres!$A$1:$I$89,3,0)*0.475*44/12</f>
        <v>2.9596752683403637E-15</v>
      </c>
      <c r="AC141" s="22">
        <f t="shared" si="111"/>
        <v>9.204793028168206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0</v>
      </c>
      <c r="AO141" s="59">
        <f t="shared" si="144"/>
        <v>0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-8.5265128291212022E-14</v>
      </c>
      <c r="BE141" s="13">
        <f>BD141*VLOOKUP('Données projet'!$B$11,Paramètres!$A$1:$I$89,3,0)*VLOOKUP('Données projet'!$B$11,Paramètres!$A$1:$I$89,5,0)</f>
        <v>-6.9167072069831198E-14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175.73034516698141</v>
      </c>
      <c r="BJ141" s="59">
        <f t="shared" si="146"/>
        <v>203.59461632821052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0.27842730100369734</v>
      </c>
      <c r="BR141" s="21">
        <f>EXP(-LN(2)/2)*BR140+(1-EXP(-LN(2)/2))/(LN(2)/2)*BL141*BO141*VLOOKUP('Données projet'!$B$11,Paramètres!$A$1:$I$89,3,0)*0.475*44/12</f>
        <v>4.5309070307255643E-16</v>
      </c>
      <c r="BS141" s="22">
        <f t="shared" si="117"/>
        <v>0.27842730100369778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-1.1368683772161603E-13</v>
      </c>
      <c r="BZ141" s="13">
        <f>BY141*VLOOKUP('Données projet'!$B$12,Paramètres!$A$1:$I$89,3,0)*VLOOKUP('Données projet'!$B$12,Paramètres!$A$1:$I$89,5,0)</f>
        <v>-9.5769792096689348E-14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258.28817640749349</v>
      </c>
      <c r="CE141" s="59">
        <f t="shared" si="148"/>
        <v>158.16416492761954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67.530915695974869</v>
      </c>
      <c r="CL141" s="21">
        <f>EXP(-LN(2)/25)*CL140+(1-EXP(-LN(2)/25))/(LN(2)/25)*Calculateur!CG141*Calculateur!CI141*VLOOKUP('Données projet'!$B$12,Paramètres!$A$1:$I$89,3,0)*0.475*44/12</f>
        <v>44.222153796480178</v>
      </c>
      <c r="CM141" s="21">
        <f>EXP(-LN(2)/2)*CM140+(1-EXP(-LN(2)/2))/(LN(2)/2)*CG141*CJ141*VLOOKUP('Données projet'!$B$12,Paramètres!$A$1:$I$89,3,0)*0.475*44/12</f>
        <v>9.7844427936603887E-13</v>
      </c>
      <c r="CN141" s="22">
        <f t="shared" si="120"/>
        <v>111.75306949245602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1.1368683772161603E-13</v>
      </c>
      <c r="O142" s="13">
        <f>N142*VLOOKUP('Données projet'!$B$9,Paramètres!$A$1:$I$89,3,0)*VLOOKUP('Données projet'!$B$9,Paramètres!$A$1:$I$89,5,0)</f>
        <v>6.7984728957526396E-14</v>
      </c>
      <c r="P142" s="13">
        <f t="shared" si="141"/>
        <v>1.0682447123141398E-12</v>
      </c>
      <c r="Q142" s="20">
        <f t="shared" si="108"/>
        <v>1.978932943548152E-12</v>
      </c>
      <c r="R142" s="59">
        <f t="shared" si="109"/>
        <v>293.3333333333353</v>
      </c>
      <c r="S142" s="59">
        <f ca="1">AVERAGE(OFFSET($R$3,0,0,'Données projet'!$E$9+1,1))-AVERAGE(OFFSET($H$3,0,0,'Données projet'!$E$9+1,1))</f>
        <v>149.5086927376081</v>
      </c>
      <c r="T142" s="59">
        <f t="shared" si="142"/>
        <v>364.59164590134498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6.9601726768643388</v>
      </c>
      <c r="AA142" s="21">
        <f>EXP(-LN(2)/25)*AA141+(1-EXP(-LN(2)/25))/(LN(2)/25)*Calculateur!V142*Calculateur!X142*VLOOKUP('Données projet'!$B$9,Paramètres!$A$1:$I$89,3,0)*0.475*44/12</f>
        <v>2.0478332664437939</v>
      </c>
      <c r="AB142" s="21">
        <f>EXP(-LN(2)/2)*AB141+(1-EXP(-LN(2)/2))/(LN(2)/2)*V142*Y142*VLOOKUP('Données projet'!$B$9,Paramètres!$A$1:$I$89,3,0)*0.475*44/12</f>
        <v>2.0928064523535859E-15</v>
      </c>
      <c r="AC142" s="22">
        <f t="shared" si="111"/>
        <v>9.0080059433081345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0</v>
      </c>
      <c r="AO142" s="59">
        <f t="shared" si="144"/>
        <v>0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-8.5265128291212022E-14</v>
      </c>
      <c r="BE142" s="13">
        <f>BD142*VLOOKUP('Données projet'!$B$11,Paramètres!$A$1:$I$89,3,0)*VLOOKUP('Données projet'!$B$11,Paramètres!$A$1:$I$89,5,0)</f>
        <v>-6.9167072069831198E-14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175.73034516698141</v>
      </c>
      <c r="BJ142" s="59">
        <f t="shared" si="146"/>
        <v>203.59461632821052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0.27081369181589582</v>
      </c>
      <c r="BR142" s="21">
        <f>EXP(-LN(2)/2)*BR141+(1-EXP(-LN(2)/2))/(LN(2)/2)*BL142*BO142*VLOOKUP('Données projet'!$B$11,Paramètres!$A$1:$I$89,3,0)*0.475*44/12</f>
        <v>3.2038350863518514E-16</v>
      </c>
      <c r="BS142" s="22">
        <f t="shared" si="117"/>
        <v>0.27081369181589615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-1.1368683772161603E-13</v>
      </c>
      <c r="BZ142" s="13">
        <f>BY142*VLOOKUP('Données projet'!$B$12,Paramètres!$A$1:$I$89,3,0)*VLOOKUP('Données projet'!$B$12,Paramètres!$A$1:$I$89,5,0)</f>
        <v>-9.5769792096689348E-14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258.28817640749349</v>
      </c>
      <c r="CE142" s="59">
        <f t="shared" si="148"/>
        <v>158.16416492761954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66.206675628968227</v>
      </c>
      <c r="CL142" s="21">
        <f>EXP(-LN(2)/25)*CL141+(1-EXP(-LN(2)/25))/(LN(2)/25)*Calculateur!CG142*Calculateur!CI142*VLOOKUP('Données projet'!$B$12,Paramètres!$A$1:$I$89,3,0)*0.475*44/12</f>
        <v>43.012896675373433</v>
      </c>
      <c r="CM142" s="21">
        <f>EXP(-LN(2)/2)*CM141+(1-EXP(-LN(2)/2))/(LN(2)/2)*CG142*CJ142*VLOOKUP('Données projet'!$B$12,Paramètres!$A$1:$I$89,3,0)*0.475*44/12</f>
        <v>6.9186458495291083E-13</v>
      </c>
      <c r="CN142" s="22">
        <f t="shared" si="120"/>
        <v>109.21957230434235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1.1368683772161603E-13</v>
      </c>
      <c r="O143" s="13">
        <f>N143*VLOOKUP('Données projet'!$B$9,Paramètres!$A$1:$I$89,3,0)*VLOOKUP('Données projet'!$B$9,Paramètres!$A$1:$I$89,5,0)</f>
        <v>6.7984728957526396E-14</v>
      </c>
      <c r="P143" s="13">
        <f t="shared" si="141"/>
        <v>1.0682447123141398E-12</v>
      </c>
      <c r="Q143" s="20">
        <f t="shared" si="108"/>
        <v>1.978932943548152E-12</v>
      </c>
      <c r="R143" s="59">
        <f t="shared" si="109"/>
        <v>293.3333333333353</v>
      </c>
      <c r="S143" s="59">
        <f ca="1">AVERAGE(OFFSET($R$3,0,0,'Données projet'!$E$9+1,1))-AVERAGE(OFFSET($H$3,0,0,'Données projet'!$E$9+1,1))</f>
        <v>149.5086927376081</v>
      </c>
      <c r="T143" s="59">
        <f t="shared" si="142"/>
        <v>364.59164590134498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6.8236879359571745</v>
      </c>
      <c r="AA143" s="21">
        <f>EXP(-LN(2)/25)*AA142+(1-EXP(-LN(2)/25))/(LN(2)/25)*Calculateur!V143*Calculateur!X143*VLOOKUP('Données projet'!$B$9,Paramètres!$A$1:$I$89,3,0)*0.475*44/12</f>
        <v>1.9918351580820173</v>
      </c>
      <c r="AB143" s="21">
        <f>EXP(-LN(2)/2)*AB142+(1-EXP(-LN(2)/2))/(LN(2)/2)*V143*Y143*VLOOKUP('Données projet'!$B$9,Paramètres!$A$1:$I$89,3,0)*0.475*44/12</f>
        <v>1.4798376341701819E-15</v>
      </c>
      <c r="AC143" s="22">
        <f t="shared" si="111"/>
        <v>8.8155230940391931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0</v>
      </c>
      <c r="AO143" s="59">
        <f t="shared" si="144"/>
        <v>0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-8.5265128291212022E-14</v>
      </c>
      <c r="BE143" s="13">
        <f>BD143*VLOOKUP('Données projet'!$B$11,Paramètres!$A$1:$I$89,3,0)*VLOOKUP('Données projet'!$B$11,Paramètres!$A$1:$I$89,5,0)</f>
        <v>-6.9167072069831198E-14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175.73034516698141</v>
      </c>
      <c r="BJ143" s="59">
        <f t="shared" si="146"/>
        <v>203.59461632821052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0.26340827717171705</v>
      </c>
      <c r="BR143" s="21">
        <f>EXP(-LN(2)/2)*BR142+(1-EXP(-LN(2)/2))/(LN(2)/2)*BL143*BO143*VLOOKUP('Données projet'!$B$11,Paramètres!$A$1:$I$89,3,0)*0.475*44/12</f>
        <v>2.2654535153627822E-16</v>
      </c>
      <c r="BS143" s="22">
        <f t="shared" si="117"/>
        <v>0.26340827717171728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-1.1368683772161603E-13</v>
      </c>
      <c r="BZ143" s="13">
        <f>BY143*VLOOKUP('Données projet'!$B$12,Paramètres!$A$1:$I$89,3,0)*VLOOKUP('Données projet'!$B$12,Paramètres!$A$1:$I$89,5,0)</f>
        <v>-9.5769792096689348E-14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258.28817640749349</v>
      </c>
      <c r="CE143" s="59">
        <f t="shared" si="148"/>
        <v>158.16416492761954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64.908403101968901</v>
      </c>
      <c r="CL143" s="21">
        <f>EXP(-LN(2)/25)*CL142+(1-EXP(-LN(2)/25))/(LN(2)/25)*Calculateur!CG143*Calculateur!CI143*VLOOKUP('Données projet'!$B$12,Paramètres!$A$1:$I$89,3,0)*0.475*44/12</f>
        <v>41.836706753835415</v>
      </c>
      <c r="CM143" s="21">
        <f>EXP(-LN(2)/2)*CM142+(1-EXP(-LN(2)/2))/(LN(2)/2)*CG143*CJ143*VLOOKUP('Données projet'!$B$12,Paramètres!$A$1:$I$89,3,0)*0.475*44/12</f>
        <v>4.8922213968301943E-13</v>
      </c>
      <c r="CN143" s="22">
        <f t="shared" si="120"/>
        <v>106.7451098558048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1.1368683772161603E-13</v>
      </c>
      <c r="O144" s="13">
        <f>N144*VLOOKUP('Données projet'!$B$9,Paramètres!$A$1:$I$89,3,0)*VLOOKUP('Données projet'!$B$9,Paramètres!$A$1:$I$89,5,0)</f>
        <v>6.7984728957526396E-14</v>
      </c>
      <c r="P144" s="13">
        <f t="shared" si="141"/>
        <v>1.0682447123141398E-12</v>
      </c>
      <c r="Q144" s="20">
        <f t="shared" si="108"/>
        <v>1.978932943548152E-12</v>
      </c>
      <c r="R144" s="59">
        <f t="shared" si="109"/>
        <v>293.3333333333353</v>
      </c>
      <c r="S144" s="59">
        <f ca="1">AVERAGE(OFFSET($R$3,0,0,'Données projet'!$E$9+1,1))-AVERAGE(OFFSET($H$3,0,0,'Données projet'!$E$9+1,1))</f>
        <v>149.5086927376081</v>
      </c>
      <c r="T144" s="59">
        <f t="shared" si="142"/>
        <v>364.59164590134498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6.6898795775717277</v>
      </c>
      <c r="AA144" s="21">
        <f>EXP(-LN(2)/25)*AA143+(1-EXP(-LN(2)/25))/(LN(2)/25)*Calculateur!V144*Calculateur!X144*VLOOKUP('Données projet'!$B$9,Paramètres!$A$1:$I$89,3,0)*0.475*44/12</f>
        <v>1.937368320938206</v>
      </c>
      <c r="AB144" s="21">
        <f>EXP(-LN(2)/2)*AB143+(1-EXP(-LN(2)/2))/(LN(2)/2)*V144*Y144*VLOOKUP('Données projet'!$B$9,Paramètres!$A$1:$I$89,3,0)*0.475*44/12</f>
        <v>1.0464032261767929E-15</v>
      </c>
      <c r="AC144" s="22">
        <f t="shared" si="111"/>
        <v>8.6272478985099355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0</v>
      </c>
      <c r="AO144" s="59">
        <f t="shared" si="144"/>
        <v>0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-8.5265128291212022E-14</v>
      </c>
      <c r="BE144" s="13">
        <f>BD144*VLOOKUP('Données projet'!$B$11,Paramètres!$A$1:$I$89,3,0)*VLOOKUP('Données projet'!$B$11,Paramètres!$A$1:$I$89,5,0)</f>
        <v>-6.9167072069831198E-14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175.73034516698141</v>
      </c>
      <c r="BJ144" s="59">
        <f t="shared" si="146"/>
        <v>203.59461632821052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0.25620536398041716</v>
      </c>
      <c r="BR144" s="21">
        <f>EXP(-LN(2)/2)*BR143+(1-EXP(-LN(2)/2))/(LN(2)/2)*BL144*BO144*VLOOKUP('Données projet'!$B$11,Paramètres!$A$1:$I$89,3,0)*0.475*44/12</f>
        <v>1.6019175431759257E-16</v>
      </c>
      <c r="BS144" s="22">
        <f t="shared" si="117"/>
        <v>0.25620536398041732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-1.1368683772161603E-13</v>
      </c>
      <c r="BZ144" s="13">
        <f>BY144*VLOOKUP('Données projet'!$B$12,Paramètres!$A$1:$I$89,3,0)*VLOOKUP('Données projet'!$B$12,Paramètres!$A$1:$I$89,5,0)</f>
        <v>-9.5769792096689348E-14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258.28817640749349</v>
      </c>
      <c r="CE144" s="59">
        <f t="shared" si="148"/>
        <v>158.16416492761954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63.635588907355974</v>
      </c>
      <c r="CL144" s="21">
        <f>EXP(-LN(2)/25)*CL143+(1-EXP(-LN(2)/25))/(LN(2)/25)*Calculateur!CG144*Calculateur!CI144*VLOOKUP('Données projet'!$B$12,Paramètres!$A$1:$I$89,3,0)*0.475*44/12</f>
        <v>40.692679807554995</v>
      </c>
      <c r="CM144" s="21">
        <f>EXP(-LN(2)/2)*CM143+(1-EXP(-LN(2)/2))/(LN(2)/2)*CG144*CJ144*VLOOKUP('Données projet'!$B$12,Paramètres!$A$1:$I$89,3,0)*0.475*44/12</f>
        <v>3.4593229247645541E-13</v>
      </c>
      <c r="CN144" s="22">
        <f t="shared" si="120"/>
        <v>104.3282687149113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1.1368683772161603E-13</v>
      </c>
      <c r="O145" s="13">
        <f>N145*VLOOKUP('Données projet'!$B$9,Paramètres!$A$1:$I$89,3,0)*VLOOKUP('Données projet'!$B$9,Paramètres!$A$1:$I$89,5,0)</f>
        <v>6.7984728957526396E-14</v>
      </c>
      <c r="P145" s="13">
        <f t="shared" si="141"/>
        <v>1.0682447123141398E-12</v>
      </c>
      <c r="Q145" s="20">
        <f t="shared" si="108"/>
        <v>1.978932943548152E-12</v>
      </c>
      <c r="R145" s="59">
        <f t="shared" si="109"/>
        <v>293.3333333333353</v>
      </c>
      <c r="S145" s="59">
        <f ca="1">AVERAGE(OFFSET($R$3,0,0,'Données projet'!$E$9+1,1))-AVERAGE(OFFSET($H$3,0,0,'Données projet'!$E$9+1,1))</f>
        <v>149.5086927376081</v>
      </c>
      <c r="T145" s="59">
        <f t="shared" si="142"/>
        <v>364.59164590134498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6.5586951194791805</v>
      </c>
      <c r="AA145" s="21">
        <f>EXP(-LN(2)/25)*AA144+(1-EXP(-LN(2)/25))/(LN(2)/25)*Calculateur!V145*Calculateur!X145*VLOOKUP('Données projet'!$B$9,Paramètres!$A$1:$I$89,3,0)*0.475*44/12</f>
        <v>1.8843908823203788</v>
      </c>
      <c r="AB145" s="21">
        <f>EXP(-LN(2)/2)*AB144+(1-EXP(-LN(2)/2))/(LN(2)/2)*V145*Y145*VLOOKUP('Données projet'!$B$9,Paramètres!$A$1:$I$89,3,0)*0.475*44/12</f>
        <v>7.3991881708509093E-16</v>
      </c>
      <c r="AC145" s="22">
        <f t="shared" si="111"/>
        <v>8.4430860017995588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0</v>
      </c>
      <c r="AO145" s="59">
        <f t="shared" si="144"/>
        <v>0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-8.5265128291212022E-14</v>
      </c>
      <c r="BE145" s="13">
        <f>BD145*VLOOKUP('Données projet'!$B$11,Paramètres!$A$1:$I$89,3,0)*VLOOKUP('Données projet'!$B$11,Paramètres!$A$1:$I$89,5,0)</f>
        <v>-6.9167072069831198E-14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175.73034516698141</v>
      </c>
      <c r="BJ145" s="59">
        <f t="shared" si="146"/>
        <v>203.59461632821052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0.24919941482911812</v>
      </c>
      <c r="BR145" s="21">
        <f>EXP(-LN(2)/2)*BR144+(1-EXP(-LN(2)/2))/(LN(2)/2)*BL145*BO145*VLOOKUP('Données projet'!$B$11,Paramètres!$A$1:$I$89,3,0)*0.475*44/12</f>
        <v>1.1327267576813911E-16</v>
      </c>
      <c r="BS145" s="22">
        <f t="shared" si="117"/>
        <v>0.24919941482911823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-1.1368683772161603E-13</v>
      </c>
      <c r="BZ145" s="13">
        <f>BY145*VLOOKUP('Données projet'!$B$12,Paramètres!$A$1:$I$89,3,0)*VLOOKUP('Données projet'!$B$12,Paramètres!$A$1:$I$89,5,0)</f>
        <v>-9.5769792096689348E-14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258.28817640749349</v>
      </c>
      <c r="CE145" s="59">
        <f t="shared" si="148"/>
        <v>158.16416492761954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62.387733822759408</v>
      </c>
      <c r="CL145" s="21">
        <f>EXP(-LN(2)/25)*CL144+(1-EXP(-LN(2)/25))/(LN(2)/25)*Calculateur!CG145*Calculateur!CI145*VLOOKUP('Données projet'!$B$12,Paramètres!$A$1:$I$89,3,0)*0.475*44/12</f>
        <v>39.57993633828238</v>
      </c>
      <c r="CM145" s="21">
        <f>EXP(-LN(2)/2)*CM144+(1-EXP(-LN(2)/2))/(LN(2)/2)*CG145*CJ145*VLOOKUP('Données projet'!$B$12,Paramètres!$A$1:$I$89,3,0)*0.475*44/12</f>
        <v>2.4461106984150972E-13</v>
      </c>
      <c r="CN145" s="22">
        <f t="shared" si="120"/>
        <v>101.96767016104202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1.1368683772161603E-13</v>
      </c>
      <c r="O146" s="13">
        <f>N146*VLOOKUP('Données projet'!$B$9,Paramètres!$A$1:$I$89,3,0)*VLOOKUP('Données projet'!$B$9,Paramètres!$A$1:$I$89,5,0)</f>
        <v>6.7984728957526396E-14</v>
      </c>
      <c r="P146" s="13">
        <f t="shared" si="141"/>
        <v>1.0682447123141398E-12</v>
      </c>
      <c r="Q146" s="20">
        <f t="shared" si="108"/>
        <v>1.978932943548152E-12</v>
      </c>
      <c r="R146" s="59">
        <f t="shared" si="109"/>
        <v>293.3333333333353</v>
      </c>
      <c r="S146" s="59">
        <f ca="1">AVERAGE(OFFSET($R$3,0,0,'Données projet'!$E$9+1,1))-AVERAGE(OFFSET($H$3,0,0,'Données projet'!$E$9+1,1))</f>
        <v>149.5086927376081</v>
      </c>
      <c r="T146" s="59">
        <f t="shared" si="142"/>
        <v>364.59164590134498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6.430083108595209</v>
      </c>
      <c r="AA146" s="21">
        <f>EXP(-LN(2)/25)*AA145+(1-EXP(-LN(2)/25))/(LN(2)/25)*Calculateur!V146*Calculateur!X146*VLOOKUP('Données projet'!$B$9,Paramètres!$A$1:$I$89,3,0)*0.475*44/12</f>
        <v>1.8328621145475184</v>
      </c>
      <c r="AB146" s="21">
        <f>EXP(-LN(2)/2)*AB145+(1-EXP(-LN(2)/2))/(LN(2)/2)*V146*Y146*VLOOKUP('Données projet'!$B$9,Paramètres!$A$1:$I$89,3,0)*0.475*44/12</f>
        <v>5.2320161308839647E-16</v>
      </c>
      <c r="AC146" s="22">
        <f t="shared" si="111"/>
        <v>8.2629452231427276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0</v>
      </c>
      <c r="AO146" s="59">
        <f t="shared" si="144"/>
        <v>0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-8.5265128291212022E-14</v>
      </c>
      <c r="BE146" s="13">
        <f>BD146*VLOOKUP('Données projet'!$B$11,Paramètres!$A$1:$I$89,3,0)*VLOOKUP('Données projet'!$B$11,Paramètres!$A$1:$I$89,5,0)</f>
        <v>-6.9167072069831198E-14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175.73034516698141</v>
      </c>
      <c r="BJ146" s="59">
        <f t="shared" si="146"/>
        <v>203.59461632821052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0.2423850437257882</v>
      </c>
      <c r="BR146" s="21">
        <f>EXP(-LN(2)/2)*BR145+(1-EXP(-LN(2)/2))/(LN(2)/2)*BL146*BO146*VLOOKUP('Données projet'!$B$11,Paramètres!$A$1:$I$89,3,0)*0.475*44/12</f>
        <v>8.0095877158796285E-17</v>
      </c>
      <c r="BS146" s="22">
        <f t="shared" si="117"/>
        <v>0.24238504372578829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-1.1368683772161603E-13</v>
      </c>
      <c r="BZ146" s="13">
        <f>BY146*VLOOKUP('Données projet'!$B$12,Paramètres!$A$1:$I$89,3,0)*VLOOKUP('Données projet'!$B$12,Paramètres!$A$1:$I$89,5,0)</f>
        <v>-9.5769792096689348E-14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258.28817640749349</v>
      </c>
      <c r="CE146" s="59">
        <f t="shared" si="148"/>
        <v>158.16416492761954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61.164348415255333</v>
      </c>
      <c r="CL146" s="21">
        <f>EXP(-LN(2)/25)*CL145+(1-EXP(-LN(2)/25))/(LN(2)/25)*Calculateur!CG146*Calculateur!CI146*VLOOKUP('Données projet'!$B$12,Paramètres!$A$1:$I$89,3,0)*0.475*44/12</f>
        <v>38.497620897693658</v>
      </c>
      <c r="CM146" s="21">
        <f>EXP(-LN(2)/2)*CM145+(1-EXP(-LN(2)/2))/(LN(2)/2)*CG146*CJ146*VLOOKUP('Données projet'!$B$12,Paramètres!$A$1:$I$89,3,0)*0.475*44/12</f>
        <v>1.7296614623822771E-13</v>
      </c>
      <c r="CN146" s="22">
        <f t="shared" si="120"/>
        <v>99.661969312949168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1.1368683772161603E-13</v>
      </c>
      <c r="O147" s="13">
        <f>N147*VLOOKUP('Données projet'!$B$9,Paramètres!$A$1:$I$89,3,0)*VLOOKUP('Données projet'!$B$9,Paramètres!$A$1:$I$89,5,0)</f>
        <v>6.7984728957526396E-14</v>
      </c>
      <c r="P147" s="13">
        <f t="shared" si="141"/>
        <v>1.0682447123141398E-12</v>
      </c>
      <c r="Q147" s="20">
        <f t="shared" si="108"/>
        <v>1.978932943548152E-12</v>
      </c>
      <c r="R147" s="59">
        <f t="shared" si="109"/>
        <v>293.3333333333353</v>
      </c>
      <c r="S147" s="59">
        <f ca="1">AVERAGE(OFFSET($R$3,0,0,'Données projet'!$E$9+1,1))-AVERAGE(OFFSET($H$3,0,0,'Données projet'!$E$9+1,1))</f>
        <v>149.5086927376081</v>
      </c>
      <c r="T147" s="59">
        <f t="shared" si="142"/>
        <v>364.59164590134498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6.3039931007990919</v>
      </c>
      <c r="AA147" s="21">
        <f>EXP(-LN(2)/25)*AA146+(1-EXP(-LN(2)/25))/(LN(2)/25)*Calculateur!V147*Calculateur!X147*VLOOKUP('Données projet'!$B$9,Paramètres!$A$1:$I$89,3,0)*0.475*44/12</f>
        <v>1.782742403639187</v>
      </c>
      <c r="AB147" s="21">
        <f>EXP(-LN(2)/2)*AB146+(1-EXP(-LN(2)/2))/(LN(2)/2)*V147*Y147*VLOOKUP('Données projet'!$B$9,Paramètres!$A$1:$I$89,3,0)*0.475*44/12</f>
        <v>3.6995940854254547E-16</v>
      </c>
      <c r="AC147" s="22">
        <f t="shared" si="111"/>
        <v>8.0867355044382787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0</v>
      </c>
      <c r="AO147" s="59">
        <f t="shared" si="144"/>
        <v>0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-8.5265128291212022E-14</v>
      </c>
      <c r="BE147" s="13">
        <f>BD147*VLOOKUP('Données projet'!$B$11,Paramètres!$A$1:$I$89,3,0)*VLOOKUP('Données projet'!$B$11,Paramètres!$A$1:$I$89,5,0)</f>
        <v>-6.9167072069831198E-14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175.73034516698141</v>
      </c>
      <c r="BJ147" s="59">
        <f t="shared" si="146"/>
        <v>203.59461632821052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0.23575701195863105</v>
      </c>
      <c r="BR147" s="21">
        <f>EXP(-LN(2)/2)*BR146+(1-EXP(-LN(2)/2))/(LN(2)/2)*BL147*BO147*VLOOKUP('Données projet'!$B$11,Paramètres!$A$1:$I$89,3,0)*0.475*44/12</f>
        <v>5.6636337884069554E-17</v>
      </c>
      <c r="BS147" s="22">
        <f t="shared" si="117"/>
        <v>0.23575701195863111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-1.1368683772161603E-13</v>
      </c>
      <c r="BZ147" s="13">
        <f>BY147*VLOOKUP('Données projet'!$B$12,Paramètres!$A$1:$I$89,3,0)*VLOOKUP('Données projet'!$B$12,Paramètres!$A$1:$I$89,5,0)</f>
        <v>-9.5769792096689348E-14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258.28817640749349</v>
      </c>
      <c r="CE147" s="59">
        <f t="shared" si="148"/>
        <v>158.16416492761954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59.964952849400994</v>
      </c>
      <c r="CL147" s="21">
        <f>EXP(-LN(2)/25)*CL146+(1-EXP(-LN(2)/25))/(LN(2)/25)*Calculateur!CG147*Calculateur!CI147*VLOOKUP('Données projet'!$B$12,Paramètres!$A$1:$I$89,3,0)*0.475*44/12</f>
        <v>37.444901429744327</v>
      </c>
      <c r="CM147" s="21">
        <f>EXP(-LN(2)/2)*CM146+(1-EXP(-LN(2)/2))/(LN(2)/2)*CG147*CJ147*VLOOKUP('Données projet'!$B$12,Paramètres!$A$1:$I$89,3,0)*0.475*44/12</f>
        <v>1.2230553492075486E-13</v>
      </c>
      <c r="CN147" s="22">
        <f t="shared" si="120"/>
        <v>97.409854279145449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1.1368683772161603E-13</v>
      </c>
      <c r="O148" s="13">
        <f>N148*VLOOKUP('Données projet'!$B$9,Paramètres!$A$1:$I$89,3,0)*VLOOKUP('Données projet'!$B$9,Paramètres!$A$1:$I$89,5,0)</f>
        <v>6.7984728957526396E-14</v>
      </c>
      <c r="P148" s="13">
        <f t="shared" si="141"/>
        <v>1.0682447123141398E-12</v>
      </c>
      <c r="Q148" s="20">
        <f t="shared" si="108"/>
        <v>1.978932943548152E-12</v>
      </c>
      <c r="R148" s="59">
        <f t="shared" si="109"/>
        <v>293.3333333333353</v>
      </c>
      <c r="S148" s="59">
        <f ca="1">AVERAGE(OFFSET($R$3,0,0,'Données projet'!$E$9+1,1))-AVERAGE(OFFSET($H$3,0,0,'Données projet'!$E$9+1,1))</f>
        <v>149.5086927376081</v>
      </c>
      <c r="T148" s="59">
        <f t="shared" si="142"/>
        <v>364.59164590134498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6.1803756411485455</v>
      </c>
      <c r="AA148" s="21">
        <f>EXP(-LN(2)/25)*AA147+(1-EXP(-LN(2)/25))/(LN(2)/25)*Calculateur!V148*Calculateur!X148*VLOOKUP('Données projet'!$B$9,Paramètres!$A$1:$I$89,3,0)*0.475*44/12</f>
        <v>1.733993218861325</v>
      </c>
      <c r="AB148" s="21">
        <f>EXP(-LN(2)/2)*AB147+(1-EXP(-LN(2)/2))/(LN(2)/2)*V148*Y148*VLOOKUP('Données projet'!$B$9,Paramètres!$A$1:$I$89,3,0)*0.475*44/12</f>
        <v>2.6160080654419823E-16</v>
      </c>
      <c r="AC148" s="22">
        <f t="shared" si="111"/>
        <v>7.9143688600098709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0</v>
      </c>
      <c r="AO148" s="59">
        <f t="shared" si="144"/>
        <v>0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-8.5265128291212022E-14</v>
      </c>
      <c r="BE148" s="13">
        <f>BD148*VLOOKUP('Données projet'!$B$11,Paramètres!$A$1:$I$89,3,0)*VLOOKUP('Données projet'!$B$11,Paramètres!$A$1:$I$89,5,0)</f>
        <v>-6.9167072069831198E-14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175.73034516698141</v>
      </c>
      <c r="BJ148" s="59">
        <f t="shared" si="146"/>
        <v>203.59461632821052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0.22931022406869986</v>
      </c>
      <c r="BR148" s="21">
        <f>EXP(-LN(2)/2)*BR147+(1-EXP(-LN(2)/2))/(LN(2)/2)*BL148*BO148*VLOOKUP('Données projet'!$B$11,Paramètres!$A$1:$I$89,3,0)*0.475*44/12</f>
        <v>4.0047938579398143E-17</v>
      </c>
      <c r="BS148" s="22">
        <f t="shared" si="117"/>
        <v>0.22931022406869989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-1.1368683772161603E-13</v>
      </c>
      <c r="BZ148" s="13">
        <f>BY148*VLOOKUP('Données projet'!$B$12,Paramètres!$A$1:$I$89,3,0)*VLOOKUP('Données projet'!$B$12,Paramètres!$A$1:$I$89,5,0)</f>
        <v>-9.5769792096689348E-14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258.28817640749349</v>
      </c>
      <c r="CE148" s="59">
        <f t="shared" si="148"/>
        <v>158.16416492761954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58.789076699033998</v>
      </c>
      <c r="CL148" s="21">
        <f>EXP(-LN(2)/25)*CL147+(1-EXP(-LN(2)/25))/(LN(2)/25)*Calculateur!CG148*Calculateur!CI148*VLOOKUP('Données projet'!$B$12,Paramètres!$A$1:$I$89,3,0)*0.475*44/12</f>
        <v>36.420968631006183</v>
      </c>
      <c r="CM148" s="21">
        <f>EXP(-LN(2)/2)*CM147+(1-EXP(-LN(2)/2))/(LN(2)/2)*CG148*CJ148*VLOOKUP('Données projet'!$B$12,Paramètres!$A$1:$I$89,3,0)*0.475*44/12</f>
        <v>8.6483073119113854E-14</v>
      </c>
      <c r="CN148" s="22">
        <f t="shared" si="120"/>
        <v>95.210045330040259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1.1368683772161603E-13</v>
      </c>
      <c r="O149" s="13">
        <f>N149*VLOOKUP('Données projet'!$B$9,Paramètres!$A$1:$I$89,3,0)*VLOOKUP('Données projet'!$B$9,Paramètres!$A$1:$I$89,5,0)</f>
        <v>6.7984728957526396E-14</v>
      </c>
      <c r="P149" s="13">
        <f t="shared" si="141"/>
        <v>1.0682447123141398E-12</v>
      </c>
      <c r="Q149" s="20">
        <f t="shared" si="108"/>
        <v>1.978932943548152E-12</v>
      </c>
      <c r="R149" s="59">
        <f t="shared" si="109"/>
        <v>293.3333333333353</v>
      </c>
      <c r="S149" s="59">
        <f ca="1">AVERAGE(OFFSET($R$3,0,0,'Données projet'!$E$9+1,1))-AVERAGE(OFFSET($H$3,0,0,'Données projet'!$E$9+1,1))</f>
        <v>149.5086927376081</v>
      </c>
      <c r="T149" s="59">
        <f t="shared" si="142"/>
        <v>364.59164590134498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6.0591822444825407</v>
      </c>
      <c r="AA149" s="21">
        <f>EXP(-LN(2)/25)*AA148+(1-EXP(-LN(2)/25))/(LN(2)/25)*Calculateur!V149*Calculateur!X149*VLOOKUP('Données projet'!$B$9,Paramètres!$A$1:$I$89,3,0)*0.475*44/12</f>
        <v>1.6865770831048217</v>
      </c>
      <c r="AB149" s="21">
        <f>EXP(-LN(2)/2)*AB148+(1-EXP(-LN(2)/2))/(LN(2)/2)*V149*Y149*VLOOKUP('Données projet'!$B$9,Paramètres!$A$1:$I$89,3,0)*0.475*44/12</f>
        <v>1.8497970427127273E-16</v>
      </c>
      <c r="AC149" s="22">
        <f t="shared" si="111"/>
        <v>7.7457593275873622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0</v>
      </c>
      <c r="AO149" s="59">
        <f t="shared" si="144"/>
        <v>0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-8.5265128291212022E-14</v>
      </c>
      <c r="BE149" s="13">
        <f>BD149*VLOOKUP('Données projet'!$B$11,Paramètres!$A$1:$I$89,3,0)*VLOOKUP('Données projet'!$B$11,Paramètres!$A$1:$I$89,5,0)</f>
        <v>-6.9167072069831198E-14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175.73034516698141</v>
      </c>
      <c r="BJ149" s="59">
        <f t="shared" si="146"/>
        <v>203.59461632821052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0.22303972393264068</v>
      </c>
      <c r="BR149" s="21">
        <f>EXP(-LN(2)/2)*BR148+(1-EXP(-LN(2)/2))/(LN(2)/2)*BL149*BO149*VLOOKUP('Données projet'!$B$11,Paramètres!$A$1:$I$89,3,0)*0.475*44/12</f>
        <v>2.8318168942034777E-17</v>
      </c>
      <c r="BS149" s="22">
        <f t="shared" si="117"/>
        <v>0.22303972393264071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-1.1368683772161603E-13</v>
      </c>
      <c r="BZ149" s="13">
        <f>BY149*VLOOKUP('Données projet'!$B$12,Paramètres!$A$1:$I$89,3,0)*VLOOKUP('Données projet'!$B$12,Paramètres!$A$1:$I$89,5,0)</f>
        <v>-9.5769792096689348E-14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258.28817640749349</v>
      </c>
      <c r="CE149" s="59">
        <f t="shared" si="148"/>
        <v>158.16416492761954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57.636258762762061</v>
      </c>
      <c r="CL149" s="21">
        <f>EXP(-LN(2)/25)*CL148+(1-EXP(-LN(2)/25))/(LN(2)/25)*Calculateur!CG149*Calculateur!CI149*VLOOKUP('Données projet'!$B$12,Paramètres!$A$1:$I$89,3,0)*0.475*44/12</f>
        <v>35.425035328495817</v>
      </c>
      <c r="CM149" s="21">
        <f>EXP(-LN(2)/2)*CM148+(1-EXP(-LN(2)/2))/(LN(2)/2)*CG149*CJ149*VLOOKUP('Données projet'!$B$12,Paramètres!$A$1:$I$89,3,0)*0.475*44/12</f>
        <v>6.1152767460377429E-14</v>
      </c>
      <c r="CN149" s="22">
        <f t="shared" si="120"/>
        <v>93.061294091257935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1.1368683772161603E-13</v>
      </c>
      <c r="O150" s="13">
        <f>N150*VLOOKUP('Données projet'!$B$9,Paramètres!$A$1:$I$89,3,0)*VLOOKUP('Données projet'!$B$9,Paramètres!$A$1:$I$89,5,0)</f>
        <v>6.7984728957526396E-14</v>
      </c>
      <c r="P150" s="13">
        <f t="shared" si="141"/>
        <v>1.0682447123141398E-12</v>
      </c>
      <c r="Q150" s="20">
        <f t="shared" si="108"/>
        <v>1.978932943548152E-12</v>
      </c>
      <c r="R150" s="59">
        <f t="shared" si="109"/>
        <v>293.3333333333353</v>
      </c>
      <c r="S150" s="59">
        <f ca="1">AVERAGE(OFFSET($R$3,0,0,'Données projet'!$E$9+1,1))-AVERAGE(OFFSET($H$3,0,0,'Données projet'!$E$9+1,1))</f>
        <v>149.5086927376081</v>
      </c>
      <c r="T150" s="59">
        <f t="shared" si="142"/>
        <v>364.59164590134498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5.9403653764044835</v>
      </c>
      <c r="AA150" s="21">
        <f>EXP(-LN(2)/25)*AA149+(1-EXP(-LN(2)/25))/(LN(2)/25)*Calculateur!V150*Calculateur!X150*VLOOKUP('Données projet'!$B$9,Paramètres!$A$1:$I$89,3,0)*0.475*44/12</f>
        <v>1.6404575440740863</v>
      </c>
      <c r="AB150" s="21">
        <f>EXP(-LN(2)/2)*AB149+(1-EXP(-LN(2)/2))/(LN(2)/2)*V150*Y150*VLOOKUP('Données projet'!$B$9,Paramètres!$A$1:$I$89,3,0)*0.475*44/12</f>
        <v>1.3080040327209912E-16</v>
      </c>
      <c r="AC150" s="22">
        <f t="shared" si="111"/>
        <v>7.5808229204785693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0</v>
      </c>
      <c r="AO150" s="59">
        <f t="shared" si="144"/>
        <v>0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-8.5265128291212022E-14</v>
      </c>
      <c r="BE150" s="13">
        <f>BD150*VLOOKUP('Données projet'!$B$11,Paramètres!$A$1:$I$89,3,0)*VLOOKUP('Données projet'!$B$11,Paramètres!$A$1:$I$89,5,0)</f>
        <v>-6.9167072069831198E-14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175.73034516698141</v>
      </c>
      <c r="BJ150" s="59">
        <f t="shared" si="146"/>
        <v>203.59461632821052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0.21694069095255331</v>
      </c>
      <c r="BR150" s="21">
        <f>EXP(-LN(2)/2)*BR149+(1-EXP(-LN(2)/2))/(LN(2)/2)*BL150*BO150*VLOOKUP('Données projet'!$B$11,Paramètres!$A$1:$I$89,3,0)*0.475*44/12</f>
        <v>2.0023969289699071E-17</v>
      </c>
      <c r="BS150" s="22">
        <f t="shared" si="117"/>
        <v>0.21694069095255333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-1.1368683772161603E-13</v>
      </c>
      <c r="BZ150" s="13">
        <f>BY150*VLOOKUP('Données projet'!$B$12,Paramètres!$A$1:$I$89,3,0)*VLOOKUP('Données projet'!$B$12,Paramètres!$A$1:$I$89,5,0)</f>
        <v>-9.5769792096689348E-14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258.28817640749349</v>
      </c>
      <c r="CE150" s="59">
        <f t="shared" si="148"/>
        <v>158.16416492761954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56.506046883070908</v>
      </c>
      <c r="CL150" s="21">
        <f>EXP(-LN(2)/25)*CL149+(1-EXP(-LN(2)/25))/(LN(2)/25)*Calculateur!CG150*Calculateur!CI150*VLOOKUP('Données projet'!$B$12,Paramètres!$A$1:$I$89,3,0)*0.475*44/12</f>
        <v>34.456335874516455</v>
      </c>
      <c r="CM150" s="21">
        <f>EXP(-LN(2)/2)*CM149+(1-EXP(-LN(2)/2))/(LN(2)/2)*CG150*CJ150*VLOOKUP('Données projet'!$B$12,Paramètres!$A$1:$I$89,3,0)*0.475*44/12</f>
        <v>4.3241536559556927E-14</v>
      </c>
      <c r="CN150" s="22">
        <f t="shared" si="120"/>
        <v>90.962382757587406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1.1368683772161603E-13</v>
      </c>
      <c r="O151" s="13">
        <f>N151*VLOOKUP('Données projet'!$B$9,Paramètres!$A$1:$I$89,3,0)*VLOOKUP('Données projet'!$B$9,Paramètres!$A$1:$I$89,5,0)</f>
        <v>6.7984728957526396E-14</v>
      </c>
      <c r="P151" s="13">
        <f t="shared" si="141"/>
        <v>1.0682447123141398E-12</v>
      </c>
      <c r="Q151" s="20">
        <f t="shared" si="108"/>
        <v>1.978932943548152E-12</v>
      </c>
      <c r="R151" s="59">
        <f t="shared" si="109"/>
        <v>293.3333333333353</v>
      </c>
      <c r="S151" s="59">
        <f ca="1">AVERAGE(OFFSET($R$3,0,0,'Données projet'!$E$9+1,1))-AVERAGE(OFFSET($H$3,0,0,'Données projet'!$E$9+1,1))</f>
        <v>149.5086927376081</v>
      </c>
      <c r="T151" s="59">
        <f t="shared" si="142"/>
        <v>364.59164590134498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5.8238784346383037</v>
      </c>
      <c r="AA151" s="21">
        <f>EXP(-LN(2)/25)*AA150+(1-EXP(-LN(2)/25))/(LN(2)/25)*Calculateur!V151*Calculateur!X151*VLOOKUP('Données projet'!$B$9,Paramètres!$A$1:$I$89,3,0)*0.475*44/12</f>
        <v>1.5955991462634675</v>
      </c>
      <c r="AB151" s="21">
        <f>EXP(-LN(2)/2)*AB150+(1-EXP(-LN(2)/2))/(LN(2)/2)*V151*Y151*VLOOKUP('Données projet'!$B$9,Paramètres!$A$1:$I$89,3,0)*0.475*44/12</f>
        <v>9.2489852135636367E-17</v>
      </c>
      <c r="AC151" s="22">
        <f t="shared" si="111"/>
        <v>7.4194775809017717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0</v>
      </c>
      <c r="AO151" s="59">
        <f t="shared" si="144"/>
        <v>0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-8.5265128291212022E-14</v>
      </c>
      <c r="BE151" s="13">
        <f>BD151*VLOOKUP('Données projet'!$B$11,Paramètres!$A$1:$I$89,3,0)*VLOOKUP('Données projet'!$B$11,Paramètres!$A$1:$I$89,5,0)</f>
        <v>-6.9167072069831198E-14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175.73034516698141</v>
      </c>
      <c r="BJ151" s="59">
        <f t="shared" si="146"/>
        <v>203.59461632821052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0.21100843635004063</v>
      </c>
      <c r="BR151" s="21">
        <f>EXP(-LN(2)/2)*BR150+(1-EXP(-LN(2)/2))/(LN(2)/2)*BL151*BO151*VLOOKUP('Données projet'!$B$11,Paramètres!$A$1:$I$89,3,0)*0.475*44/12</f>
        <v>1.4159084471017389E-17</v>
      </c>
      <c r="BS151" s="22">
        <f t="shared" si="117"/>
        <v>0.21100843635004066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-1.1368683772161603E-13</v>
      </c>
      <c r="BZ151" s="13">
        <f>BY151*VLOOKUP('Données projet'!$B$12,Paramètres!$A$1:$I$89,3,0)*VLOOKUP('Données projet'!$B$12,Paramètres!$A$1:$I$89,5,0)</f>
        <v>-9.5769792096689348E-14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258.28817640749349</v>
      </c>
      <c r="CE151" s="59">
        <f t="shared" si="148"/>
        <v>158.16416492761954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55.397997768979323</v>
      </c>
      <c r="CL151" s="21">
        <f>EXP(-LN(2)/25)*CL150+(1-EXP(-LN(2)/25))/(LN(2)/25)*Calculateur!CG151*Calculateur!CI151*VLOOKUP('Données projet'!$B$12,Paramètres!$A$1:$I$89,3,0)*0.475*44/12</f>
        <v>33.514125558047851</v>
      </c>
      <c r="CM151" s="21">
        <f>EXP(-LN(2)/2)*CM150+(1-EXP(-LN(2)/2))/(LN(2)/2)*CG151*CJ151*VLOOKUP('Données projet'!$B$12,Paramètres!$A$1:$I$89,3,0)*0.475*44/12</f>
        <v>3.0576383730188715E-14</v>
      </c>
      <c r="CN151" s="22">
        <f t="shared" si="120"/>
        <v>88.912123327027203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1.1368683772161603E-13</v>
      </c>
      <c r="O152" s="13">
        <f>N152*VLOOKUP('Données projet'!$B$9,Paramètres!$A$1:$I$89,3,0)*VLOOKUP('Données projet'!$B$9,Paramètres!$A$1:$I$89,5,0)</f>
        <v>6.7984728957526396E-14</v>
      </c>
      <c r="P152" s="13">
        <f t="shared" si="141"/>
        <v>1.0682447123141398E-12</v>
      </c>
      <c r="Q152" s="20">
        <f t="shared" si="108"/>
        <v>1.978932943548152E-12</v>
      </c>
      <c r="R152" s="59">
        <f t="shared" si="109"/>
        <v>293.3333333333353</v>
      </c>
      <c r="S152" s="59">
        <f ca="1">AVERAGE(OFFSET($R$3,0,0,'Données projet'!$E$9+1,1))-AVERAGE(OFFSET($H$3,0,0,'Données projet'!$E$9+1,1))</f>
        <v>149.5086927376081</v>
      </c>
      <c r="T152" s="59">
        <f t="shared" si="142"/>
        <v>364.59164590134498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5.7096757307501393</v>
      </c>
      <c r="AA152" s="21">
        <f>EXP(-LN(2)/25)*AA151+(1-EXP(-LN(2)/25))/(LN(2)/25)*Calculateur!V152*Calculateur!X152*VLOOKUP('Données projet'!$B$9,Paramètres!$A$1:$I$89,3,0)*0.475*44/12</f>
        <v>1.5519674036999807</v>
      </c>
      <c r="AB152" s="21">
        <f>EXP(-LN(2)/2)*AB151+(1-EXP(-LN(2)/2))/(LN(2)/2)*V152*Y152*VLOOKUP('Données projet'!$B$9,Paramètres!$A$1:$I$89,3,0)*0.475*44/12</f>
        <v>6.5400201636049558E-17</v>
      </c>
      <c r="AC152" s="22">
        <f t="shared" si="111"/>
        <v>7.2616431344501198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0</v>
      </c>
      <c r="AO152" s="59">
        <f t="shared" si="144"/>
        <v>0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-8.5265128291212022E-14</v>
      </c>
      <c r="BE152" s="13">
        <f>BD152*VLOOKUP('Données projet'!$B$11,Paramètres!$A$1:$I$89,3,0)*VLOOKUP('Données projet'!$B$11,Paramètres!$A$1:$I$89,5,0)</f>
        <v>-6.9167072069831198E-14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175.73034516698141</v>
      </c>
      <c r="BJ152" s="59">
        <f t="shared" si="146"/>
        <v>203.59461632821052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0.20523839956159737</v>
      </c>
      <c r="BR152" s="21">
        <f>EXP(-LN(2)/2)*BR151+(1-EXP(-LN(2)/2))/(LN(2)/2)*BL152*BO152*VLOOKUP('Données projet'!$B$11,Paramètres!$A$1:$I$89,3,0)*0.475*44/12</f>
        <v>1.0011984644849536E-17</v>
      </c>
      <c r="BS152" s="22">
        <f t="shared" si="117"/>
        <v>0.20523839956159737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-1.1368683772161603E-13</v>
      </c>
      <c r="BZ152" s="13">
        <f>BY152*VLOOKUP('Données projet'!$B$12,Paramètres!$A$1:$I$89,3,0)*VLOOKUP('Données projet'!$B$12,Paramètres!$A$1:$I$89,5,0)</f>
        <v>-9.5769792096689348E-14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258.28817640749349</v>
      </c>
      <c r="CE152" s="59">
        <f t="shared" si="148"/>
        <v>158.16416492761954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54.311676822171847</v>
      </c>
      <c r="CL152" s="21">
        <f>EXP(-LN(2)/25)*CL151+(1-EXP(-LN(2)/25))/(LN(2)/25)*Calculateur!CG152*Calculateur!CI152*VLOOKUP('Données projet'!$B$12,Paramètres!$A$1:$I$89,3,0)*0.475*44/12</f>
        <v>32.597680032231764</v>
      </c>
      <c r="CM152" s="21">
        <f>EXP(-LN(2)/2)*CM151+(1-EXP(-LN(2)/2))/(LN(2)/2)*CG152*CJ152*VLOOKUP('Données projet'!$B$12,Paramètres!$A$1:$I$89,3,0)*0.475*44/12</f>
        <v>2.1620768279778463E-14</v>
      </c>
      <c r="CN152" s="22">
        <f t="shared" si="120"/>
        <v>86.90935685440364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1.1368683772161603E-13</v>
      </c>
      <c r="O153" s="13">
        <f>N153*VLOOKUP('Données projet'!$B$9,Paramètres!$A$1:$I$89,3,0)*VLOOKUP('Données projet'!$B$9,Paramètres!$A$1:$I$89,5,0)</f>
        <v>6.7984728957526396E-14</v>
      </c>
      <c r="P153" s="13">
        <f t="shared" si="141"/>
        <v>1.0682447123141398E-12</v>
      </c>
      <c r="Q153" s="20">
        <f t="shared" si="108"/>
        <v>1.978932943548152E-12</v>
      </c>
      <c r="R153" s="59">
        <f t="shared" si="109"/>
        <v>293.3333333333353</v>
      </c>
      <c r="S153" s="59">
        <f ca="1">AVERAGE(OFFSET($R$3,0,0,'Données projet'!$E$9+1,1))-AVERAGE(OFFSET($H$3,0,0,'Données projet'!$E$9+1,1))</f>
        <v>149.5086927376081</v>
      </c>
      <c r="T153" s="59">
        <f t="shared" si="142"/>
        <v>364.59164590134498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5.5977124722284506</v>
      </c>
      <c r="AA153" s="21">
        <f>EXP(-LN(2)/25)*AA152+(1-EXP(-LN(2)/25))/(LN(2)/25)*Calculateur!V153*Calculateur!X153*VLOOKUP('Données projet'!$B$9,Paramètres!$A$1:$I$89,3,0)*0.475*44/12</f>
        <v>1.509528773431386</v>
      </c>
      <c r="AB153" s="21">
        <f>EXP(-LN(2)/2)*AB152+(1-EXP(-LN(2)/2))/(LN(2)/2)*V153*Y153*VLOOKUP('Données projet'!$B$9,Paramètres!$A$1:$I$89,3,0)*0.475*44/12</f>
        <v>4.6244926067818183E-17</v>
      </c>
      <c r="AC153" s="22">
        <f t="shared" si="111"/>
        <v>7.1072412456598366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0</v>
      </c>
      <c r="AO153" s="59">
        <f t="shared" si="144"/>
        <v>0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-8.5265128291212022E-14</v>
      </c>
      <c r="BE153" s="13">
        <f>BD153*VLOOKUP('Données projet'!$B$11,Paramètres!$A$1:$I$89,3,0)*VLOOKUP('Données projet'!$B$11,Paramètres!$A$1:$I$89,5,0)</f>
        <v>-6.9167072069831198E-14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175.73034516698141</v>
      </c>
      <c r="BJ153" s="59">
        <f t="shared" si="146"/>
        <v>203.59461632821052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0.19962614473256712</v>
      </c>
      <c r="BR153" s="21">
        <f>EXP(-LN(2)/2)*BR152+(1-EXP(-LN(2)/2))/(LN(2)/2)*BL153*BO153*VLOOKUP('Données projet'!$B$11,Paramètres!$A$1:$I$89,3,0)*0.475*44/12</f>
        <v>7.0795422355086943E-18</v>
      </c>
      <c r="BS153" s="22">
        <f t="shared" si="117"/>
        <v>0.19962614473256712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-1.1368683772161603E-13</v>
      </c>
      <c r="BZ153" s="13">
        <f>BY153*VLOOKUP('Données projet'!$B$12,Paramètres!$A$1:$I$89,3,0)*VLOOKUP('Données projet'!$B$12,Paramètres!$A$1:$I$89,5,0)</f>
        <v>-9.5769792096689348E-14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258.28817640749349</v>
      </c>
      <c r="CE153" s="59">
        <f t="shared" si="148"/>
        <v>158.16416492761954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53.246657966540916</v>
      </c>
      <c r="CL153" s="21">
        <f>EXP(-LN(2)/25)*CL152+(1-EXP(-LN(2)/25))/(LN(2)/25)*Calculateur!CG153*Calculateur!CI153*VLOOKUP('Données projet'!$B$12,Paramètres!$A$1:$I$89,3,0)*0.475*44/12</f>
        <v>31.706294757512897</v>
      </c>
      <c r="CM153" s="21">
        <f>EXP(-LN(2)/2)*CM152+(1-EXP(-LN(2)/2))/(LN(2)/2)*CG153*CJ153*VLOOKUP('Données projet'!$B$12,Paramètres!$A$1:$I$89,3,0)*0.475*44/12</f>
        <v>1.5288191865094357E-14</v>
      </c>
      <c r="CN153" s="22">
        <f t="shared" si="120"/>
        <v>84.95295272405383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1.1368683772161603E-13</v>
      </c>
      <c r="O154" s="13">
        <f>N154*VLOOKUP('Données projet'!$B$9,Paramètres!$A$1:$I$89,3,0)*VLOOKUP('Données projet'!$B$9,Paramètres!$A$1:$I$89,5,0)</f>
        <v>6.7984728957526396E-14</v>
      </c>
      <c r="P154" s="13">
        <f t="shared" si="141"/>
        <v>1.0682447123141398E-12</v>
      </c>
      <c r="Q154" s="20">
        <f t="shared" ref="Q154:Q203" si="162">(O154+P154)*0.475*44/12</f>
        <v>1.978932943548152E-12</v>
      </c>
      <c r="R154" s="59">
        <f t="shared" si="109"/>
        <v>293.3333333333353</v>
      </c>
      <c r="S154" s="59">
        <f ca="1">AVERAGE(OFFSET($R$3,0,0,'Données projet'!$E$9+1,1))-AVERAGE(OFFSET($H$3,0,0,'Données projet'!$E$9+1,1))</f>
        <v>149.5086927376081</v>
      </c>
      <c r="T154" s="59">
        <f t="shared" si="142"/>
        <v>364.59164590134498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5.4879447449155281</v>
      </c>
      <c r="AA154" s="21">
        <f>EXP(-LN(2)/25)*AA153+(1-EXP(-LN(2)/25))/(LN(2)/25)*Calculateur!V154*Calculateur!X154*VLOOKUP('Données projet'!$B$9,Paramètres!$A$1:$I$89,3,0)*0.475*44/12</f>
        <v>1.4682506297392366</v>
      </c>
      <c r="AB154" s="21">
        <f>EXP(-LN(2)/2)*AB153+(1-EXP(-LN(2)/2))/(LN(2)/2)*V154*Y154*VLOOKUP('Données projet'!$B$9,Paramètres!$A$1:$I$89,3,0)*0.475*44/12</f>
        <v>3.2700100818024779E-17</v>
      </c>
      <c r="AC154" s="22">
        <f t="shared" ref="AC154:AC203" si="163">SUM(Z154:AB154)</f>
        <v>6.9561953746547651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0</v>
      </c>
      <c r="AO154" s="59">
        <f t="shared" si="144"/>
        <v>0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-8.5265128291212022E-14</v>
      </c>
      <c r="BE154" s="13">
        <f>BD154*VLOOKUP('Données projet'!$B$11,Paramètres!$A$1:$I$89,3,0)*VLOOKUP('Données projet'!$B$11,Paramètres!$A$1:$I$89,5,0)</f>
        <v>-6.9167072069831198E-14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175.73034516698141</v>
      </c>
      <c r="BJ154" s="59">
        <f t="shared" si="146"/>
        <v>203.59461632821052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0.19416735730697238</v>
      </c>
      <c r="BR154" s="21">
        <f>EXP(-LN(2)/2)*BR153+(1-EXP(-LN(2)/2))/(LN(2)/2)*BL154*BO154*VLOOKUP('Données projet'!$B$11,Paramètres!$A$1:$I$89,3,0)*0.475*44/12</f>
        <v>5.0059923224247678E-18</v>
      </c>
      <c r="BS154" s="22">
        <f t="shared" ref="BS154:BS203" si="169">SUM(BP154:BR154)</f>
        <v>0.19416735730697238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-1.1368683772161603E-13</v>
      </c>
      <c r="BZ154" s="13">
        <f>BY154*VLOOKUP('Données projet'!$B$12,Paramètres!$A$1:$I$89,3,0)*VLOOKUP('Données projet'!$B$12,Paramètres!$A$1:$I$89,5,0)</f>
        <v>-9.5769792096689348E-14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258.28817640749349</v>
      </c>
      <c r="CE154" s="59">
        <f t="shared" si="148"/>
        <v>158.16416492761954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52.202523481071545</v>
      </c>
      <c r="CL154" s="21">
        <f>EXP(-LN(2)/25)*CL153+(1-EXP(-LN(2)/25))/(LN(2)/25)*Calculateur!CG154*Calculateur!CI154*VLOOKUP('Données projet'!$B$12,Paramètres!$A$1:$I$89,3,0)*0.475*44/12</f>
        <v>30.839284460007132</v>
      </c>
      <c r="CM154" s="21">
        <f>EXP(-LN(2)/2)*CM153+(1-EXP(-LN(2)/2))/(LN(2)/2)*CG154*CJ154*VLOOKUP('Données projet'!$B$12,Paramètres!$A$1:$I$89,3,0)*0.475*44/12</f>
        <v>1.0810384139889232E-14</v>
      </c>
      <c r="CN154" s="22">
        <f t="shared" ref="CN154:CN203" si="172">SUM(CK154:CM154)</f>
        <v>83.041807941078687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1.1368683772161603E-13</v>
      </c>
      <c r="O155" s="13">
        <f>N155*VLOOKUP('Données projet'!$B$9,Paramètres!$A$1:$I$89,3,0)*VLOOKUP('Données projet'!$B$9,Paramètres!$A$1:$I$89,5,0)</f>
        <v>6.7984728957526396E-14</v>
      </c>
      <c r="P155" s="13">
        <f t="shared" si="141"/>
        <v>1.0682447123141398E-12</v>
      </c>
      <c r="Q155" s="20">
        <f t="shared" si="162"/>
        <v>1.978932943548152E-12</v>
      </c>
      <c r="R155" s="59">
        <f t="shared" si="109"/>
        <v>293.3333333333353</v>
      </c>
      <c r="S155" s="59">
        <f ca="1">AVERAGE(OFFSET($R$3,0,0,'Données projet'!$E$9+1,1))-AVERAGE(OFFSET($H$3,0,0,'Données projet'!$E$9+1,1))</f>
        <v>149.5086927376081</v>
      </c>
      <c r="T155" s="59">
        <f t="shared" si="142"/>
        <v>364.59164590134498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5.3803294957835091</v>
      </c>
      <c r="AA155" s="21">
        <f>EXP(-LN(2)/25)*AA154+(1-EXP(-LN(2)/25))/(LN(2)/25)*Calculateur!V155*Calculateur!X155*VLOOKUP('Données projet'!$B$9,Paramètres!$A$1:$I$89,3,0)*0.475*44/12</f>
        <v>1.4281012390570722</v>
      </c>
      <c r="AB155" s="21">
        <f>EXP(-LN(2)/2)*AB154+(1-EXP(-LN(2)/2))/(LN(2)/2)*V155*Y155*VLOOKUP('Données projet'!$B$9,Paramètres!$A$1:$I$89,3,0)*0.475*44/12</f>
        <v>2.3122463033909092E-17</v>
      </c>
      <c r="AC155" s="22">
        <f t="shared" si="163"/>
        <v>6.8084307348405808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0</v>
      </c>
      <c r="AO155" s="59">
        <f t="shared" si="144"/>
        <v>0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-8.5265128291212022E-14</v>
      </c>
      <c r="BE155" s="13">
        <f>BD155*VLOOKUP('Données projet'!$B$11,Paramètres!$A$1:$I$89,3,0)*VLOOKUP('Données projet'!$B$11,Paramètres!$A$1:$I$89,5,0)</f>
        <v>-6.9167072069831198E-14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175.73034516698141</v>
      </c>
      <c r="BJ155" s="59">
        <f t="shared" si="146"/>
        <v>203.59461632821052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0.18885784071059566</v>
      </c>
      <c r="BR155" s="21">
        <f>EXP(-LN(2)/2)*BR154+(1-EXP(-LN(2)/2))/(LN(2)/2)*BL155*BO155*VLOOKUP('Données projet'!$B$11,Paramètres!$A$1:$I$89,3,0)*0.475*44/12</f>
        <v>3.5397711177543471E-18</v>
      </c>
      <c r="BS155" s="22">
        <f t="shared" si="169"/>
        <v>0.18885784071059566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-1.1368683772161603E-13</v>
      </c>
      <c r="BZ155" s="13">
        <f>BY155*VLOOKUP('Données projet'!$B$12,Paramètres!$A$1:$I$89,3,0)*VLOOKUP('Données projet'!$B$12,Paramètres!$A$1:$I$89,5,0)</f>
        <v>-9.5769792096689348E-14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258.28817640749349</v>
      </c>
      <c r="CE155" s="59">
        <f t="shared" si="148"/>
        <v>158.16416492761954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51.178863836003075</v>
      </c>
      <c r="CL155" s="21">
        <f>EXP(-LN(2)/25)*CL154+(1-EXP(-LN(2)/25))/(LN(2)/25)*Calculateur!CG155*Calculateur!CI155*VLOOKUP('Données projet'!$B$12,Paramètres!$A$1:$I$89,3,0)*0.475*44/12</f>
        <v>29.995982604680751</v>
      </c>
      <c r="CM155" s="21">
        <f>EXP(-LN(2)/2)*CM154+(1-EXP(-LN(2)/2))/(LN(2)/2)*CG155*CJ155*VLOOKUP('Données projet'!$B$12,Paramètres!$A$1:$I$89,3,0)*0.475*44/12</f>
        <v>7.6440959325471787E-15</v>
      </c>
      <c r="CN155" s="22">
        <f t="shared" si="172"/>
        <v>81.174846440683837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1.1368683772161603E-13</v>
      </c>
      <c r="O156" s="13">
        <f>N156*VLOOKUP('Données projet'!$B$9,Paramètres!$A$1:$I$89,3,0)*VLOOKUP('Données projet'!$B$9,Paramètres!$A$1:$I$89,5,0)</f>
        <v>6.7984728957526396E-14</v>
      </c>
      <c r="P156" s="13">
        <f t="shared" si="141"/>
        <v>1.0682447123141398E-12</v>
      </c>
      <c r="Q156" s="20">
        <f t="shared" si="162"/>
        <v>1.978932943548152E-12</v>
      </c>
      <c r="R156" s="59">
        <f t="shared" si="109"/>
        <v>293.3333333333353</v>
      </c>
      <c r="S156" s="59">
        <f ca="1">AVERAGE(OFFSET($R$3,0,0,'Données projet'!$E$9+1,1))-AVERAGE(OFFSET($H$3,0,0,'Données projet'!$E$9+1,1))</f>
        <v>149.5086927376081</v>
      </c>
      <c r="T156" s="59">
        <f t="shared" si="142"/>
        <v>364.59164590134498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5.2748245160481479</v>
      </c>
      <c r="AA156" s="21">
        <f>EXP(-LN(2)/25)*AA155+(1-EXP(-LN(2)/25))/(LN(2)/25)*Calculateur!V156*Calculateur!X156*VLOOKUP('Données projet'!$B$9,Paramètres!$A$1:$I$89,3,0)*0.475*44/12</f>
        <v>1.3890497355744764</v>
      </c>
      <c r="AB156" s="21">
        <f>EXP(-LN(2)/2)*AB155+(1-EXP(-LN(2)/2))/(LN(2)/2)*V156*Y156*VLOOKUP('Données projet'!$B$9,Paramètres!$A$1:$I$89,3,0)*0.475*44/12</f>
        <v>1.635005040901239E-17</v>
      </c>
      <c r="AC156" s="22">
        <f t="shared" si="163"/>
        <v>6.6638742516226248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0</v>
      </c>
      <c r="AO156" s="59">
        <f t="shared" si="144"/>
        <v>0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-8.5265128291212022E-14</v>
      </c>
      <c r="BE156" s="13">
        <f>BD156*VLOOKUP('Données projet'!$B$11,Paramètres!$A$1:$I$89,3,0)*VLOOKUP('Données projet'!$B$11,Paramètres!$A$1:$I$89,5,0)</f>
        <v>-6.9167072069831198E-14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175.73034516698141</v>
      </c>
      <c r="BJ156" s="59">
        <f t="shared" si="146"/>
        <v>203.59461632821052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0.18369351312476223</v>
      </c>
      <c r="BR156" s="21">
        <f>EXP(-LN(2)/2)*BR155+(1-EXP(-LN(2)/2))/(LN(2)/2)*BL156*BO156*VLOOKUP('Données projet'!$B$11,Paramètres!$A$1:$I$89,3,0)*0.475*44/12</f>
        <v>2.5029961612123839E-18</v>
      </c>
      <c r="BS156" s="22">
        <f t="shared" si="169"/>
        <v>0.18369351312476223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-1.1368683772161603E-13</v>
      </c>
      <c r="BZ156" s="13">
        <f>BY156*VLOOKUP('Données projet'!$B$12,Paramètres!$A$1:$I$89,3,0)*VLOOKUP('Données projet'!$B$12,Paramètres!$A$1:$I$89,5,0)</f>
        <v>-9.5769792096689348E-14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258.28817640749349</v>
      </c>
      <c r="CE156" s="59">
        <f t="shared" si="148"/>
        <v>158.16416492761954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50.175277532203665</v>
      </c>
      <c r="CL156" s="21">
        <f>EXP(-LN(2)/25)*CL155+(1-EXP(-LN(2)/25))/(LN(2)/25)*Calculateur!CG156*Calculateur!CI156*VLOOKUP('Données projet'!$B$12,Paramètres!$A$1:$I$89,3,0)*0.475*44/12</f>
        <v>29.175740882935589</v>
      </c>
      <c r="CM156" s="21">
        <f>EXP(-LN(2)/2)*CM155+(1-EXP(-LN(2)/2))/(LN(2)/2)*CG156*CJ156*VLOOKUP('Données projet'!$B$12,Paramètres!$A$1:$I$89,3,0)*0.475*44/12</f>
        <v>5.4051920699446158E-15</v>
      </c>
      <c r="CN156" s="22">
        <f t="shared" si="172"/>
        <v>79.351018415139251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1.1368683772161603E-13</v>
      </c>
      <c r="O157" s="13">
        <f>N157*VLOOKUP('Données projet'!$B$9,Paramètres!$A$1:$I$89,3,0)*VLOOKUP('Données projet'!$B$9,Paramètres!$A$1:$I$89,5,0)</f>
        <v>6.7984728957526396E-14</v>
      </c>
      <c r="P157" s="13">
        <f t="shared" si="141"/>
        <v>1.0682447123141398E-12</v>
      </c>
      <c r="Q157" s="20">
        <f t="shared" si="162"/>
        <v>1.978932943548152E-12</v>
      </c>
      <c r="R157" s="59">
        <f t="shared" si="109"/>
        <v>293.3333333333353</v>
      </c>
      <c r="S157" s="59">
        <f ca="1">AVERAGE(OFFSET($R$3,0,0,'Données projet'!$E$9+1,1))-AVERAGE(OFFSET($H$3,0,0,'Données projet'!$E$9+1,1))</f>
        <v>149.5086927376081</v>
      </c>
      <c r="T157" s="59">
        <f t="shared" si="142"/>
        <v>364.59164590134498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5.1713884246137143</v>
      </c>
      <c r="AA157" s="21">
        <f>EXP(-LN(2)/25)*AA156+(1-EXP(-LN(2)/25))/(LN(2)/25)*Calculateur!V157*Calculateur!X157*VLOOKUP('Données projet'!$B$9,Paramètres!$A$1:$I$89,3,0)*0.475*44/12</f>
        <v>1.3510660975082416</v>
      </c>
      <c r="AB157" s="21">
        <f>EXP(-LN(2)/2)*AB156+(1-EXP(-LN(2)/2))/(LN(2)/2)*V157*Y157*VLOOKUP('Données projet'!$B$9,Paramètres!$A$1:$I$89,3,0)*0.475*44/12</f>
        <v>1.1561231516954546E-17</v>
      </c>
      <c r="AC157" s="22">
        <f t="shared" si="163"/>
        <v>6.5224545221219561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0</v>
      </c>
      <c r="AO157" s="59">
        <f t="shared" si="144"/>
        <v>0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-8.5265128291212022E-14</v>
      </c>
      <c r="BE157" s="13">
        <f>BD157*VLOOKUP('Données projet'!$B$11,Paramètres!$A$1:$I$89,3,0)*VLOOKUP('Données projet'!$B$11,Paramètres!$A$1:$I$89,5,0)</f>
        <v>-6.9167072069831198E-14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175.73034516698141</v>
      </c>
      <c r="BJ157" s="59">
        <f t="shared" si="146"/>
        <v>203.59461632821052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0.17867040434834358</v>
      </c>
      <c r="BR157" s="21">
        <f>EXP(-LN(2)/2)*BR156+(1-EXP(-LN(2)/2))/(LN(2)/2)*BL157*BO157*VLOOKUP('Données projet'!$B$11,Paramètres!$A$1:$I$89,3,0)*0.475*44/12</f>
        <v>1.7698855588771736E-18</v>
      </c>
      <c r="BS157" s="22">
        <f t="shared" si="169"/>
        <v>0.17867040434834358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-1.1368683772161603E-13</v>
      </c>
      <c r="BZ157" s="13">
        <f>BY157*VLOOKUP('Données projet'!$B$12,Paramètres!$A$1:$I$89,3,0)*VLOOKUP('Données projet'!$B$12,Paramètres!$A$1:$I$89,5,0)</f>
        <v>-9.5769792096689348E-14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258.28817640749349</v>
      </c>
      <c r="CE157" s="59">
        <f t="shared" si="148"/>
        <v>158.16416492761954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49.191370943694565</v>
      </c>
      <c r="CL157" s="21">
        <f>EXP(-LN(2)/25)*CL156+(1-EXP(-LN(2)/25))/(LN(2)/25)*Calculateur!CG157*Calculateur!CI157*VLOOKUP('Données projet'!$B$12,Paramètres!$A$1:$I$89,3,0)*0.475*44/12</f>
        <v>28.377928714206185</v>
      </c>
      <c r="CM157" s="21">
        <f>EXP(-LN(2)/2)*CM156+(1-EXP(-LN(2)/2))/(LN(2)/2)*CG157*CJ157*VLOOKUP('Données projet'!$B$12,Paramètres!$A$1:$I$89,3,0)*0.475*44/12</f>
        <v>3.8220479662735893E-15</v>
      </c>
      <c r="CN157" s="22">
        <f t="shared" si="172"/>
        <v>77.569299657900757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1.1368683772161603E-13</v>
      </c>
      <c r="O158" s="13">
        <f>N158*VLOOKUP('Données projet'!$B$9,Paramètres!$A$1:$I$89,3,0)*VLOOKUP('Données projet'!$B$9,Paramètres!$A$1:$I$89,5,0)</f>
        <v>6.7984728957526396E-14</v>
      </c>
      <c r="P158" s="13">
        <f t="shared" si="141"/>
        <v>1.0682447123141398E-12</v>
      </c>
      <c r="Q158" s="20">
        <f t="shared" si="162"/>
        <v>1.978932943548152E-12</v>
      </c>
      <c r="R158" s="59">
        <f t="shared" si="109"/>
        <v>293.3333333333353</v>
      </c>
      <c r="S158" s="59">
        <f ca="1">AVERAGE(OFFSET($R$3,0,0,'Données projet'!$E$9+1,1))-AVERAGE(OFFSET($H$3,0,0,'Données projet'!$E$9+1,1))</f>
        <v>149.5086927376081</v>
      </c>
      <c r="T158" s="59">
        <f t="shared" si="142"/>
        <v>364.59164590134498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5.0699806518425232</v>
      </c>
      <c r="AA158" s="21">
        <f>EXP(-LN(2)/25)*AA157+(1-EXP(-LN(2)/25))/(LN(2)/25)*Calculateur!V158*Calculateur!X158*VLOOKUP('Données projet'!$B$9,Paramètres!$A$1:$I$89,3,0)*0.475*44/12</f>
        <v>1.3141211240224004</v>
      </c>
      <c r="AB158" s="21">
        <f>EXP(-LN(2)/2)*AB157+(1-EXP(-LN(2)/2))/(LN(2)/2)*V158*Y158*VLOOKUP('Données projet'!$B$9,Paramètres!$A$1:$I$89,3,0)*0.475*44/12</f>
        <v>8.1750252045061948E-18</v>
      </c>
      <c r="AC158" s="22">
        <f t="shared" si="163"/>
        <v>6.3841017758649237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0</v>
      </c>
      <c r="AO158" s="59">
        <f t="shared" si="144"/>
        <v>0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-8.5265128291212022E-14</v>
      </c>
      <c r="BE158" s="13">
        <f>BD158*VLOOKUP('Données projet'!$B$11,Paramètres!$A$1:$I$89,3,0)*VLOOKUP('Données projet'!$B$11,Paramètres!$A$1:$I$89,5,0)</f>
        <v>-6.9167072069831198E-14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175.73034516698141</v>
      </c>
      <c r="BJ158" s="59">
        <f t="shared" si="146"/>
        <v>203.59461632821052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0.17378465274556992</v>
      </c>
      <c r="BR158" s="21">
        <f>EXP(-LN(2)/2)*BR157+(1-EXP(-LN(2)/2))/(LN(2)/2)*BL158*BO158*VLOOKUP('Données projet'!$B$11,Paramètres!$A$1:$I$89,3,0)*0.475*44/12</f>
        <v>1.251498080606192E-18</v>
      </c>
      <c r="BS158" s="22">
        <f t="shared" si="169"/>
        <v>0.17378465274556992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-1.1368683772161603E-13</v>
      </c>
      <c r="BZ158" s="13">
        <f>BY158*VLOOKUP('Données projet'!$B$12,Paramètres!$A$1:$I$89,3,0)*VLOOKUP('Données projet'!$B$12,Paramètres!$A$1:$I$89,5,0)</f>
        <v>-9.5769792096689348E-14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258.28817640749349</v>
      </c>
      <c r="CE158" s="59">
        <f t="shared" si="148"/>
        <v>158.16416492761954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48.22675816326236</v>
      </c>
      <c r="CL158" s="21">
        <f>EXP(-LN(2)/25)*CL157+(1-EXP(-LN(2)/25))/(LN(2)/25)*Calculateur!CG158*Calculateur!CI158*VLOOKUP('Données projet'!$B$12,Paramètres!$A$1:$I$89,3,0)*0.475*44/12</f>
        <v>27.601932761185804</v>
      </c>
      <c r="CM158" s="21">
        <f>EXP(-LN(2)/2)*CM157+(1-EXP(-LN(2)/2))/(LN(2)/2)*CG158*CJ158*VLOOKUP('Données projet'!$B$12,Paramètres!$A$1:$I$89,3,0)*0.475*44/12</f>
        <v>2.7025960349723079E-15</v>
      </c>
      <c r="CN158" s="22">
        <f t="shared" si="172"/>
        <v>75.828690924448168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1.1368683772161603E-13</v>
      </c>
      <c r="O159" s="13">
        <f>N159*VLOOKUP('Données projet'!$B$9,Paramètres!$A$1:$I$89,3,0)*VLOOKUP('Données projet'!$B$9,Paramètres!$A$1:$I$89,5,0)</f>
        <v>6.7984728957526396E-14</v>
      </c>
      <c r="P159" s="13">
        <f t="shared" si="141"/>
        <v>1.0682447123141398E-12</v>
      </c>
      <c r="Q159" s="20">
        <f t="shared" si="162"/>
        <v>1.978932943548152E-12</v>
      </c>
      <c r="R159" s="59">
        <f t="shared" si="109"/>
        <v>293.3333333333353</v>
      </c>
      <c r="S159" s="59">
        <f ca="1">AVERAGE(OFFSET($R$3,0,0,'Données projet'!$E$9+1,1))-AVERAGE(OFFSET($H$3,0,0,'Données projet'!$E$9+1,1))</f>
        <v>149.5086927376081</v>
      </c>
      <c r="T159" s="59">
        <f t="shared" si="142"/>
        <v>364.59164590134498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4.9705614236427413</v>
      </c>
      <c r="AA159" s="21">
        <f>EXP(-LN(2)/25)*AA158+(1-EXP(-LN(2)/25))/(LN(2)/25)*Calculateur!V159*Calculateur!X159*VLOOKUP('Données projet'!$B$9,Paramètres!$A$1:$I$89,3,0)*0.475*44/12</f>
        <v>1.2781864127793814</v>
      </c>
      <c r="AB159" s="21">
        <f>EXP(-LN(2)/2)*AB158+(1-EXP(-LN(2)/2))/(LN(2)/2)*V159*Y159*VLOOKUP('Données projet'!$B$9,Paramètres!$A$1:$I$89,3,0)*0.475*44/12</f>
        <v>5.7806157584772729E-18</v>
      </c>
      <c r="AC159" s="22">
        <f t="shared" si="163"/>
        <v>6.2487478364221225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0</v>
      </c>
      <c r="AO159" s="59">
        <f t="shared" si="144"/>
        <v>0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-8.5265128291212022E-14</v>
      </c>
      <c r="BE159" s="13">
        <f>BD159*VLOOKUP('Données projet'!$B$11,Paramètres!$A$1:$I$89,3,0)*VLOOKUP('Données projet'!$B$11,Paramètres!$A$1:$I$89,5,0)</f>
        <v>-6.9167072069831198E-14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175.73034516698141</v>
      </c>
      <c r="BJ159" s="59">
        <f t="shared" si="146"/>
        <v>203.59461632821052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0.16903250227730462</v>
      </c>
      <c r="BR159" s="21">
        <f>EXP(-LN(2)/2)*BR158+(1-EXP(-LN(2)/2))/(LN(2)/2)*BL159*BO159*VLOOKUP('Données projet'!$B$11,Paramètres!$A$1:$I$89,3,0)*0.475*44/12</f>
        <v>8.8494277943858678E-19</v>
      </c>
      <c r="BS159" s="22">
        <f t="shared" si="169"/>
        <v>0.16903250227730462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-1.1368683772161603E-13</v>
      </c>
      <c r="BZ159" s="13">
        <f>BY159*VLOOKUP('Données projet'!$B$12,Paramètres!$A$1:$I$89,3,0)*VLOOKUP('Données projet'!$B$12,Paramètres!$A$1:$I$89,5,0)</f>
        <v>-9.5769792096689348E-14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258.28817640749349</v>
      </c>
      <c r="CE159" s="59">
        <f t="shared" si="148"/>
        <v>158.16416492761954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47.281060851098736</v>
      </c>
      <c r="CL159" s="21">
        <f>EXP(-LN(2)/25)*CL158+(1-EXP(-LN(2)/25))/(LN(2)/25)*Calculateur!CG159*Calculateur!CI159*VLOOKUP('Données projet'!$B$12,Paramètres!$A$1:$I$89,3,0)*0.475*44/12</f>
        <v>26.847156458308618</v>
      </c>
      <c r="CM159" s="21">
        <f>EXP(-LN(2)/2)*CM158+(1-EXP(-LN(2)/2))/(LN(2)/2)*CG159*CJ159*VLOOKUP('Données projet'!$B$12,Paramètres!$A$1:$I$89,3,0)*0.475*44/12</f>
        <v>1.9110239831367947E-15</v>
      </c>
      <c r="CN159" s="22">
        <f t="shared" si="172"/>
        <v>74.128217309407347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1.1368683772161603E-13</v>
      </c>
      <c r="O160" s="13">
        <f>N160*VLOOKUP('Données projet'!$B$9,Paramètres!$A$1:$I$89,3,0)*VLOOKUP('Données projet'!$B$9,Paramètres!$A$1:$I$89,5,0)</f>
        <v>6.7984728957526396E-14</v>
      </c>
      <c r="P160" s="13">
        <f t="shared" si="141"/>
        <v>1.0682447123141398E-12</v>
      </c>
      <c r="Q160" s="20">
        <f t="shared" si="162"/>
        <v>1.978932943548152E-12</v>
      </c>
      <c r="R160" s="59">
        <f t="shared" si="109"/>
        <v>293.3333333333353</v>
      </c>
      <c r="S160" s="59">
        <f ca="1">AVERAGE(OFFSET($R$3,0,0,'Données projet'!$E$9+1,1))-AVERAGE(OFFSET($H$3,0,0,'Données projet'!$E$9+1,1))</f>
        <v>149.5086927376081</v>
      </c>
      <c r="T160" s="59">
        <f t="shared" si="142"/>
        <v>364.59164590134498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4.8730917458682157</v>
      </c>
      <c r="AA160" s="21">
        <f>EXP(-LN(2)/25)*AA159+(1-EXP(-LN(2)/25))/(LN(2)/25)*Calculateur!V160*Calculateur!X160*VLOOKUP('Données projet'!$B$9,Paramètres!$A$1:$I$89,3,0)*0.475*44/12</f>
        <v>1.243234338105027</v>
      </c>
      <c r="AB160" s="21">
        <f>EXP(-LN(2)/2)*AB159+(1-EXP(-LN(2)/2))/(LN(2)/2)*V160*Y160*VLOOKUP('Données projet'!$B$9,Paramètres!$A$1:$I$89,3,0)*0.475*44/12</f>
        <v>4.0875126022530974E-18</v>
      </c>
      <c r="AC160" s="22">
        <f t="shared" si="163"/>
        <v>6.1163260839732425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0</v>
      </c>
      <c r="AO160" s="59">
        <f t="shared" si="144"/>
        <v>0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-8.5265128291212022E-14</v>
      </c>
      <c r="BE160" s="13">
        <f>BD160*VLOOKUP('Données projet'!$B$11,Paramètres!$A$1:$I$89,3,0)*VLOOKUP('Données projet'!$B$11,Paramètres!$A$1:$I$89,5,0)</f>
        <v>-6.9167072069831198E-14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175.73034516698141</v>
      </c>
      <c r="BJ160" s="59">
        <f t="shared" si="146"/>
        <v>203.59461632821052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0.16441029961349876</v>
      </c>
      <c r="BR160" s="21">
        <f>EXP(-LN(2)/2)*BR159+(1-EXP(-LN(2)/2))/(LN(2)/2)*BL160*BO160*VLOOKUP('Données projet'!$B$11,Paramètres!$A$1:$I$89,3,0)*0.475*44/12</f>
        <v>6.2574904030309598E-19</v>
      </c>
      <c r="BS160" s="22">
        <f t="shared" si="169"/>
        <v>0.16441029961349876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-1.1368683772161603E-13</v>
      </c>
      <c r="BZ160" s="13">
        <f>BY160*VLOOKUP('Données projet'!$B$12,Paramètres!$A$1:$I$89,3,0)*VLOOKUP('Données projet'!$B$12,Paramètres!$A$1:$I$89,5,0)</f>
        <v>-9.5769792096689348E-14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258.28817640749349</v>
      </c>
      <c r="CE160" s="59">
        <f t="shared" si="148"/>
        <v>158.16416492761954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46.353908086408232</v>
      </c>
      <c r="CL160" s="21">
        <f>EXP(-LN(2)/25)*CL159+(1-EXP(-LN(2)/25))/(LN(2)/25)*Calculateur!CG160*Calculateur!CI160*VLOOKUP('Données projet'!$B$12,Paramètres!$A$1:$I$89,3,0)*0.475*44/12</f>
        <v>26.113019553125572</v>
      </c>
      <c r="CM160" s="21">
        <f>EXP(-LN(2)/2)*CM159+(1-EXP(-LN(2)/2))/(LN(2)/2)*CG160*CJ160*VLOOKUP('Données projet'!$B$12,Paramètres!$A$1:$I$89,3,0)*0.475*44/12</f>
        <v>1.351298017486154E-15</v>
      </c>
      <c r="CN160" s="22">
        <f t="shared" si="172"/>
        <v>72.466927639533807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1.1368683772161603E-13</v>
      </c>
      <c r="O161" s="13">
        <f>N161*VLOOKUP('Données projet'!$B$9,Paramètres!$A$1:$I$89,3,0)*VLOOKUP('Données projet'!$B$9,Paramètres!$A$1:$I$89,5,0)</f>
        <v>6.7984728957526396E-14</v>
      </c>
      <c r="P161" s="13">
        <f t="shared" si="141"/>
        <v>1.0682447123141398E-12</v>
      </c>
      <c r="Q161" s="20">
        <f t="shared" si="162"/>
        <v>1.978932943548152E-12</v>
      </c>
      <c r="R161" s="59">
        <f t="shared" si="109"/>
        <v>293.3333333333353</v>
      </c>
      <c r="S161" s="59">
        <f ca="1">AVERAGE(OFFSET($R$3,0,0,'Données projet'!$E$9+1,1))-AVERAGE(OFFSET($H$3,0,0,'Données projet'!$E$9+1,1))</f>
        <v>149.5086927376081</v>
      </c>
      <c r="T161" s="59">
        <f t="shared" si="142"/>
        <v>364.59164590134498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4.7775333890242155</v>
      </c>
      <c r="AA161" s="21">
        <f>EXP(-LN(2)/25)*AA160+(1-EXP(-LN(2)/25))/(LN(2)/25)*Calculateur!V161*Calculateur!X161*VLOOKUP('Données projet'!$B$9,Paramètres!$A$1:$I$89,3,0)*0.475*44/12</f>
        <v>1.2092380297506926</v>
      </c>
      <c r="AB161" s="21">
        <f>EXP(-LN(2)/2)*AB160+(1-EXP(-LN(2)/2))/(LN(2)/2)*V161*Y161*VLOOKUP('Données projet'!$B$9,Paramètres!$A$1:$I$89,3,0)*0.475*44/12</f>
        <v>2.8903078792386365E-18</v>
      </c>
      <c r="AC161" s="22">
        <f t="shared" si="163"/>
        <v>5.9867714187749081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0</v>
      </c>
      <c r="AO161" s="59">
        <f t="shared" si="144"/>
        <v>0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-8.5265128291212022E-14</v>
      </c>
      <c r="BE161" s="13">
        <f>BD161*VLOOKUP('Données projet'!$B$11,Paramètres!$A$1:$I$89,3,0)*VLOOKUP('Données projet'!$B$11,Paramètres!$A$1:$I$89,5,0)</f>
        <v>-6.9167072069831198E-14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175.73034516698141</v>
      </c>
      <c r="BJ161" s="59">
        <f t="shared" si="146"/>
        <v>203.59461632821052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0.15991449132460575</v>
      </c>
      <c r="BR161" s="21">
        <f>EXP(-LN(2)/2)*BR160+(1-EXP(-LN(2)/2))/(LN(2)/2)*BL161*BO161*VLOOKUP('Données projet'!$B$11,Paramètres!$A$1:$I$89,3,0)*0.475*44/12</f>
        <v>4.4247138971929339E-19</v>
      </c>
      <c r="BS161" s="22">
        <f t="shared" si="169"/>
        <v>0.15991449132460575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-1.1368683772161603E-13</v>
      </c>
      <c r="BZ161" s="13">
        <f>BY161*VLOOKUP('Données projet'!$B$12,Paramètres!$A$1:$I$89,3,0)*VLOOKUP('Données projet'!$B$12,Paramètres!$A$1:$I$89,5,0)</f>
        <v>-9.5769792096689348E-14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258.28817640749349</v>
      </c>
      <c r="CE161" s="59">
        <f t="shared" si="148"/>
        <v>158.16416492761954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45.444936221925964</v>
      </c>
      <c r="CL161" s="21">
        <f>EXP(-LN(2)/25)*CL160+(1-EXP(-LN(2)/25))/(LN(2)/25)*Calculateur!CG161*Calculateur!CI161*VLOOKUP('Données projet'!$B$12,Paramètres!$A$1:$I$89,3,0)*0.475*44/12</f>
        <v>25.398957660221338</v>
      </c>
      <c r="CM161" s="21">
        <f>EXP(-LN(2)/2)*CM160+(1-EXP(-LN(2)/2))/(LN(2)/2)*CG161*CJ161*VLOOKUP('Données projet'!$B$12,Paramètres!$A$1:$I$89,3,0)*0.475*44/12</f>
        <v>9.5551199156839733E-16</v>
      </c>
      <c r="CN161" s="22">
        <f t="shared" si="172"/>
        <v>70.843893882147299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1.1368683772161603E-13</v>
      </c>
      <c r="O162" s="13">
        <f>N162*VLOOKUP('Données projet'!$B$9,Paramètres!$A$1:$I$89,3,0)*VLOOKUP('Données projet'!$B$9,Paramètres!$A$1:$I$89,5,0)</f>
        <v>6.7984728957526396E-14</v>
      </c>
      <c r="P162" s="13">
        <f t="shared" si="141"/>
        <v>1.0682447123141398E-12</v>
      </c>
      <c r="Q162" s="20">
        <f t="shared" si="162"/>
        <v>1.978932943548152E-12</v>
      </c>
      <c r="R162" s="59">
        <f t="shared" si="109"/>
        <v>293.3333333333353</v>
      </c>
      <c r="S162" s="59">
        <f ca="1">AVERAGE(OFFSET($R$3,0,0,'Données projet'!$E$9+1,1))-AVERAGE(OFFSET($H$3,0,0,'Données projet'!$E$9+1,1))</f>
        <v>149.5086927376081</v>
      </c>
      <c r="T162" s="59">
        <f t="shared" si="142"/>
        <v>364.59164590134498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4.6838488732730834</v>
      </c>
      <c r="AA162" s="21">
        <f>EXP(-LN(2)/25)*AA161+(1-EXP(-LN(2)/25))/(LN(2)/25)*Calculateur!V162*Calculateur!X162*VLOOKUP('Données projet'!$B$9,Paramètres!$A$1:$I$89,3,0)*0.475*44/12</f>
        <v>1.1761713522360957</v>
      </c>
      <c r="AB162" s="21">
        <f>EXP(-LN(2)/2)*AB161+(1-EXP(-LN(2)/2))/(LN(2)/2)*V162*Y162*VLOOKUP('Données projet'!$B$9,Paramètres!$A$1:$I$89,3,0)*0.475*44/12</f>
        <v>2.0437563011265487E-18</v>
      </c>
      <c r="AC162" s="22">
        <f t="shared" si="163"/>
        <v>5.8600202255091789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0</v>
      </c>
      <c r="AO162" s="59">
        <f t="shared" si="144"/>
        <v>0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-8.5265128291212022E-14</v>
      </c>
      <c r="BE162" s="13">
        <f>BD162*VLOOKUP('Données projet'!$B$11,Paramètres!$A$1:$I$89,3,0)*VLOOKUP('Données projet'!$B$11,Paramètres!$A$1:$I$89,5,0)</f>
        <v>-6.9167072069831198E-14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175.73034516698141</v>
      </c>
      <c r="BJ162" s="59">
        <f t="shared" si="146"/>
        <v>203.59461632821052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0.1555416211497968</v>
      </c>
      <c r="BR162" s="21">
        <f>EXP(-LN(2)/2)*BR161+(1-EXP(-LN(2)/2))/(LN(2)/2)*BL162*BO162*VLOOKUP('Données projet'!$B$11,Paramètres!$A$1:$I$89,3,0)*0.475*44/12</f>
        <v>3.1287452015154799E-19</v>
      </c>
      <c r="BS162" s="22">
        <f t="shared" si="169"/>
        <v>0.1555416211497968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-1.1368683772161603E-13</v>
      </c>
      <c r="BZ162" s="13">
        <f>BY162*VLOOKUP('Données projet'!$B$12,Paramètres!$A$1:$I$89,3,0)*VLOOKUP('Données projet'!$B$12,Paramètres!$A$1:$I$89,5,0)</f>
        <v>-9.5769792096689348E-14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258.28817640749349</v>
      </c>
      <c r="CE162" s="59">
        <f t="shared" si="148"/>
        <v>158.16416492761954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44.553788741288102</v>
      </c>
      <c r="CL162" s="21">
        <f>EXP(-LN(2)/25)*CL161+(1-EXP(-LN(2)/25))/(LN(2)/25)*Calculateur!CG162*Calculateur!CI162*VLOOKUP('Données projet'!$B$12,Paramètres!$A$1:$I$89,3,0)*0.475*44/12</f>
        <v>24.704421827329451</v>
      </c>
      <c r="CM162" s="21">
        <f>EXP(-LN(2)/2)*CM161+(1-EXP(-LN(2)/2))/(LN(2)/2)*CG162*CJ162*VLOOKUP('Données projet'!$B$12,Paramètres!$A$1:$I$89,3,0)*0.475*44/12</f>
        <v>6.7564900874307698E-16</v>
      </c>
      <c r="CN162" s="22">
        <f t="shared" si="172"/>
        <v>69.258210568617557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1.1368683772161603E-13</v>
      </c>
      <c r="O163" s="13">
        <f>N163*VLOOKUP('Données projet'!$B$9,Paramètres!$A$1:$I$89,3,0)*VLOOKUP('Données projet'!$B$9,Paramètres!$A$1:$I$89,5,0)</f>
        <v>6.7984728957526396E-14</v>
      </c>
      <c r="P163" s="13">
        <f t="shared" si="141"/>
        <v>1.0682447123141398E-12</v>
      </c>
      <c r="Q163" s="20">
        <f t="shared" si="162"/>
        <v>1.978932943548152E-12</v>
      </c>
      <c r="R163" s="59">
        <f t="shared" si="109"/>
        <v>293.3333333333353</v>
      </c>
      <c r="S163" s="59">
        <f ca="1">AVERAGE(OFFSET($R$3,0,0,'Données projet'!$E$9+1,1))-AVERAGE(OFFSET($H$3,0,0,'Données projet'!$E$9+1,1))</f>
        <v>149.5086927376081</v>
      </c>
      <c r="T163" s="59">
        <f t="shared" si="142"/>
        <v>364.59164590134498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4.5920014537339187</v>
      </c>
      <c r="AA163" s="21">
        <f>EXP(-LN(2)/25)*AA162+(1-EXP(-LN(2)/25))/(LN(2)/25)*Calculateur!V163*Calculateur!X163*VLOOKUP('Données projet'!$B$9,Paramètres!$A$1:$I$89,3,0)*0.475*44/12</f>
        <v>1.1440088847570364</v>
      </c>
      <c r="AB163" s="21">
        <f>EXP(-LN(2)/2)*AB162+(1-EXP(-LN(2)/2))/(LN(2)/2)*V163*Y163*VLOOKUP('Données projet'!$B$9,Paramètres!$A$1:$I$89,3,0)*0.475*44/12</f>
        <v>1.4451539396193182E-18</v>
      </c>
      <c r="AC163" s="22">
        <f t="shared" si="163"/>
        <v>5.7360103384909547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0</v>
      </c>
      <c r="AO163" s="59">
        <f t="shared" si="144"/>
        <v>0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-8.5265128291212022E-14</v>
      </c>
      <c r="BE163" s="13">
        <f>BD163*VLOOKUP('Données projet'!$B$11,Paramètres!$A$1:$I$89,3,0)*VLOOKUP('Données projet'!$B$11,Paramètres!$A$1:$I$89,5,0)</f>
        <v>-6.9167072069831198E-14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175.73034516698141</v>
      </c>
      <c r="BJ163" s="59">
        <f t="shared" si="146"/>
        <v>203.59461632821052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0.15128832733987724</v>
      </c>
      <c r="BR163" s="21">
        <f>EXP(-LN(2)/2)*BR162+(1-EXP(-LN(2)/2))/(LN(2)/2)*BL163*BO163*VLOOKUP('Données projet'!$B$11,Paramètres!$A$1:$I$89,3,0)*0.475*44/12</f>
        <v>2.212356948596467E-19</v>
      </c>
      <c r="BS163" s="22">
        <f t="shared" si="169"/>
        <v>0.15128832733987724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-1.1368683772161603E-13</v>
      </c>
      <c r="BZ163" s="13">
        <f>BY163*VLOOKUP('Données projet'!$B$12,Paramètres!$A$1:$I$89,3,0)*VLOOKUP('Données projet'!$B$12,Paramètres!$A$1:$I$89,5,0)</f>
        <v>-9.5769792096689348E-14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258.28817640749349</v>
      </c>
      <c r="CE163" s="59">
        <f t="shared" si="148"/>
        <v>158.16416492761954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43.680116119199255</v>
      </c>
      <c r="CL163" s="21">
        <f>EXP(-LN(2)/25)*CL162+(1-EXP(-LN(2)/25))/(LN(2)/25)*Calculateur!CG163*Calculateur!CI163*VLOOKUP('Données projet'!$B$12,Paramètres!$A$1:$I$89,3,0)*0.475*44/12</f>
        <v>24.028878113312047</v>
      </c>
      <c r="CM163" s="21">
        <f>EXP(-LN(2)/2)*CM162+(1-EXP(-LN(2)/2))/(LN(2)/2)*CG163*CJ163*VLOOKUP('Données projet'!$B$12,Paramètres!$A$1:$I$89,3,0)*0.475*44/12</f>
        <v>4.7775599578419867E-16</v>
      </c>
      <c r="CN163" s="22">
        <f t="shared" si="172"/>
        <v>67.708994232511301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1.1368683772161603E-13</v>
      </c>
      <c r="O164" s="13">
        <f>N164*VLOOKUP('Données projet'!$B$9,Paramètres!$A$1:$I$89,3,0)*VLOOKUP('Données projet'!$B$9,Paramètres!$A$1:$I$89,5,0)</f>
        <v>6.7984728957526396E-14</v>
      </c>
      <c r="P164" s="13">
        <f t="shared" si="141"/>
        <v>1.0682447123141398E-12</v>
      </c>
      <c r="Q164" s="20">
        <f t="shared" si="162"/>
        <v>1.978932943548152E-12</v>
      </c>
      <c r="R164" s="59">
        <f t="shared" si="109"/>
        <v>293.3333333333353</v>
      </c>
      <c r="S164" s="59">
        <f ca="1">AVERAGE(OFFSET($R$3,0,0,'Données projet'!$E$9+1,1))-AVERAGE(OFFSET($H$3,0,0,'Données projet'!$E$9+1,1))</f>
        <v>149.5086927376081</v>
      </c>
      <c r="T164" s="59">
        <f t="shared" si="142"/>
        <v>364.59164590134498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4.5019551060705227</v>
      </c>
      <c r="AA164" s="21">
        <f>EXP(-LN(2)/25)*AA163+(1-EXP(-LN(2)/25))/(LN(2)/25)*Calculateur!V164*Calculateur!X164*VLOOKUP('Données projet'!$B$9,Paramètres!$A$1:$I$89,3,0)*0.475*44/12</f>
        <v>1.1127259016425426</v>
      </c>
      <c r="AB164" s="21">
        <f>EXP(-LN(2)/2)*AB163+(1-EXP(-LN(2)/2))/(LN(2)/2)*V164*Y164*VLOOKUP('Données projet'!$B$9,Paramètres!$A$1:$I$89,3,0)*0.475*44/12</f>
        <v>1.0218781505632743E-18</v>
      </c>
      <c r="AC164" s="22">
        <f t="shared" si="163"/>
        <v>5.6146810077130649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0</v>
      </c>
      <c r="AO164" s="59">
        <f t="shared" si="144"/>
        <v>0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-8.5265128291212022E-14</v>
      </c>
      <c r="BE164" s="13">
        <f>BD164*VLOOKUP('Données projet'!$B$11,Paramètres!$A$1:$I$89,3,0)*VLOOKUP('Données projet'!$B$11,Paramètres!$A$1:$I$89,5,0)</f>
        <v>-6.9167072069831198E-14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175.73034516698141</v>
      </c>
      <c r="BJ164" s="59">
        <f t="shared" si="146"/>
        <v>203.59461632821052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0.14715134007286093</v>
      </c>
      <c r="BR164" s="21">
        <f>EXP(-LN(2)/2)*BR163+(1-EXP(-LN(2)/2))/(LN(2)/2)*BL164*BO164*VLOOKUP('Données projet'!$B$11,Paramètres!$A$1:$I$89,3,0)*0.475*44/12</f>
        <v>1.56437260075774E-19</v>
      </c>
      <c r="BS164" s="22">
        <f t="shared" si="169"/>
        <v>0.14715134007286093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-1.1368683772161603E-13</v>
      </c>
      <c r="BZ164" s="13">
        <f>BY164*VLOOKUP('Données projet'!$B$12,Paramètres!$A$1:$I$89,3,0)*VLOOKUP('Données projet'!$B$12,Paramètres!$A$1:$I$89,5,0)</f>
        <v>-9.5769792096689348E-14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258.28817640749349</v>
      </c>
      <c r="CE164" s="59">
        <f t="shared" si="148"/>
        <v>158.16416492761954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42.82357568434189</v>
      </c>
      <c r="CL164" s="21">
        <f>EXP(-LN(2)/25)*CL163+(1-EXP(-LN(2)/25))/(LN(2)/25)*Calculateur!CG164*Calculateur!CI164*VLOOKUP('Données projet'!$B$12,Paramètres!$A$1:$I$89,3,0)*0.475*44/12</f>
        <v>23.371807177679749</v>
      </c>
      <c r="CM164" s="21">
        <f>EXP(-LN(2)/2)*CM163+(1-EXP(-LN(2)/2))/(LN(2)/2)*CG164*CJ164*VLOOKUP('Données projet'!$B$12,Paramètres!$A$1:$I$89,3,0)*0.475*44/12</f>
        <v>3.3782450437153849E-16</v>
      </c>
      <c r="CN164" s="22">
        <f t="shared" si="172"/>
        <v>66.195382862021631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1.1368683772161603E-13</v>
      </c>
      <c r="O165" s="13">
        <f>N165*VLOOKUP('Données projet'!$B$9,Paramètres!$A$1:$I$89,3,0)*VLOOKUP('Données projet'!$B$9,Paramètres!$A$1:$I$89,5,0)</f>
        <v>6.7984728957526396E-14</v>
      </c>
      <c r="P165" s="13">
        <f t="shared" si="141"/>
        <v>1.0682447123141398E-12</v>
      </c>
      <c r="Q165" s="20">
        <f t="shared" si="162"/>
        <v>1.978932943548152E-12</v>
      </c>
      <c r="R165" s="59">
        <f t="shared" si="109"/>
        <v>293.3333333333353</v>
      </c>
      <c r="S165" s="59">
        <f ca="1">AVERAGE(OFFSET($R$3,0,0,'Données projet'!$E$9+1,1))-AVERAGE(OFFSET($H$3,0,0,'Données projet'!$E$9+1,1))</f>
        <v>149.5086927376081</v>
      </c>
      <c r="T165" s="59">
        <f t="shared" si="142"/>
        <v>364.59164590134498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4.4136745123619576</v>
      </c>
      <c r="AA165" s="21">
        <f>EXP(-LN(2)/25)*AA164+(1-EXP(-LN(2)/25))/(LN(2)/25)*Calculateur!V165*Calculateur!X165*VLOOKUP('Données projet'!$B$9,Paramètres!$A$1:$I$89,3,0)*0.475*44/12</f>
        <v>1.0822983533464152</v>
      </c>
      <c r="AB165" s="21">
        <f>EXP(-LN(2)/2)*AB164+(1-EXP(-LN(2)/2))/(LN(2)/2)*V165*Y165*VLOOKUP('Données projet'!$B$9,Paramètres!$A$1:$I$89,3,0)*0.475*44/12</f>
        <v>7.2257696980965911E-19</v>
      </c>
      <c r="AC165" s="22">
        <f t="shared" si="163"/>
        <v>5.4959728657083726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0</v>
      </c>
      <c r="AO165" s="59">
        <f t="shared" si="144"/>
        <v>0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-8.5265128291212022E-14</v>
      </c>
      <c r="BE165" s="13">
        <f>BD165*VLOOKUP('Données projet'!$B$11,Paramètres!$A$1:$I$89,3,0)*VLOOKUP('Données projet'!$B$11,Paramètres!$A$1:$I$89,5,0)</f>
        <v>-6.9167072069831198E-14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175.73034516698141</v>
      </c>
      <c r="BJ165" s="59">
        <f t="shared" si="146"/>
        <v>203.59461632821052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0.14312747894021588</v>
      </c>
      <c r="BR165" s="21">
        <f>EXP(-LN(2)/2)*BR164+(1-EXP(-LN(2)/2))/(LN(2)/2)*BL165*BO165*VLOOKUP('Données projet'!$B$11,Paramètres!$A$1:$I$89,3,0)*0.475*44/12</f>
        <v>1.1061784742982335E-19</v>
      </c>
      <c r="BS165" s="22">
        <f t="shared" si="169"/>
        <v>0.14312747894021588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-1.1368683772161603E-13</v>
      </c>
      <c r="BZ165" s="13">
        <f>BY165*VLOOKUP('Données projet'!$B$12,Paramètres!$A$1:$I$89,3,0)*VLOOKUP('Données projet'!$B$12,Paramètres!$A$1:$I$89,5,0)</f>
        <v>-9.5769792096689348E-14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258.28817640749349</v>
      </c>
      <c r="CE165" s="59">
        <f t="shared" si="148"/>
        <v>158.16416492761954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41.983831484973997</v>
      </c>
      <c r="CL165" s="21">
        <f>EXP(-LN(2)/25)*CL164+(1-EXP(-LN(2)/25))/(LN(2)/25)*Calculateur!CG165*Calculateur!CI165*VLOOKUP('Données projet'!$B$12,Paramètres!$A$1:$I$89,3,0)*0.475*44/12</f>
        <v>22.732703881336175</v>
      </c>
      <c r="CM165" s="21">
        <f>EXP(-LN(2)/2)*CM164+(1-EXP(-LN(2)/2))/(LN(2)/2)*CG165*CJ165*VLOOKUP('Données projet'!$B$12,Paramètres!$A$1:$I$89,3,0)*0.475*44/12</f>
        <v>2.3887799789209933E-16</v>
      </c>
      <c r="CN165" s="22">
        <f t="shared" si="172"/>
        <v>64.716535366310168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1.1368683772161603E-13</v>
      </c>
      <c r="O166" s="13">
        <f>N166*VLOOKUP('Données projet'!$B$9,Paramètres!$A$1:$I$89,3,0)*VLOOKUP('Données projet'!$B$9,Paramètres!$A$1:$I$89,5,0)</f>
        <v>6.7984728957526396E-14</v>
      </c>
      <c r="P166" s="13">
        <f t="shared" si="141"/>
        <v>1.0682447123141398E-12</v>
      </c>
      <c r="Q166" s="20">
        <f t="shared" si="162"/>
        <v>1.978932943548152E-12</v>
      </c>
      <c r="R166" s="59">
        <f t="shared" si="109"/>
        <v>293.3333333333353</v>
      </c>
      <c r="S166" s="59">
        <f ca="1">AVERAGE(OFFSET($R$3,0,0,'Données projet'!$E$9+1,1))-AVERAGE(OFFSET($H$3,0,0,'Données projet'!$E$9+1,1))</f>
        <v>149.5086927376081</v>
      </c>
      <c r="T166" s="59">
        <f t="shared" si="142"/>
        <v>364.59164590134498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4.3271250472501714</v>
      </c>
      <c r="AA166" s="21">
        <f>EXP(-LN(2)/25)*AA165+(1-EXP(-LN(2)/25))/(LN(2)/25)*Calculateur!V166*Calculateur!X166*VLOOKUP('Données projet'!$B$9,Paramètres!$A$1:$I$89,3,0)*0.475*44/12</f>
        <v>1.0527028479585607</v>
      </c>
      <c r="AB166" s="21">
        <f>EXP(-LN(2)/2)*AB165+(1-EXP(-LN(2)/2))/(LN(2)/2)*V166*Y166*VLOOKUP('Données projet'!$B$9,Paramètres!$A$1:$I$89,3,0)*0.475*44/12</f>
        <v>5.1093907528163717E-19</v>
      </c>
      <c r="AC166" s="22">
        <f t="shared" si="163"/>
        <v>5.3798278952087326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0</v>
      </c>
      <c r="AO166" s="59">
        <f t="shared" si="144"/>
        <v>0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-8.5265128291212022E-14</v>
      </c>
      <c r="BE166" s="13">
        <f>BD166*VLOOKUP('Données projet'!$B$11,Paramètres!$A$1:$I$89,3,0)*VLOOKUP('Données projet'!$B$11,Paramètres!$A$1:$I$89,5,0)</f>
        <v>-6.9167072069831198E-14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175.73034516698141</v>
      </c>
      <c r="BJ166" s="59">
        <f t="shared" si="146"/>
        <v>203.59461632821052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0.13921365050184867</v>
      </c>
      <c r="BR166" s="21">
        <f>EXP(-LN(2)/2)*BR165+(1-EXP(-LN(2)/2))/(LN(2)/2)*BL166*BO166*VLOOKUP('Données projet'!$B$11,Paramètres!$A$1:$I$89,3,0)*0.475*44/12</f>
        <v>7.8218630037886998E-20</v>
      </c>
      <c r="BS166" s="22">
        <f t="shared" si="169"/>
        <v>0.13921365050184867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-1.1368683772161603E-13</v>
      </c>
      <c r="BZ166" s="13">
        <f>BY166*VLOOKUP('Données projet'!$B$12,Paramètres!$A$1:$I$89,3,0)*VLOOKUP('Données projet'!$B$12,Paramètres!$A$1:$I$89,5,0)</f>
        <v>-9.5769792096689348E-14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258.28817640749349</v>
      </c>
      <c r="CE166" s="59">
        <f t="shared" si="148"/>
        <v>158.16416492761954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41.160554157162323</v>
      </c>
      <c r="CL166" s="21">
        <f>EXP(-LN(2)/25)*CL165+(1-EXP(-LN(2)/25))/(LN(2)/25)*Calculateur!CG166*Calculateur!CI166*VLOOKUP('Données projet'!$B$12,Paramètres!$A$1:$I$89,3,0)*0.475*44/12</f>
        <v>22.111076898240096</v>
      </c>
      <c r="CM166" s="21">
        <f>EXP(-LN(2)/2)*CM165+(1-EXP(-LN(2)/2))/(LN(2)/2)*CG166*CJ166*VLOOKUP('Données projet'!$B$12,Paramètres!$A$1:$I$89,3,0)*0.475*44/12</f>
        <v>1.6891225218576925E-16</v>
      </c>
      <c r="CN166" s="22">
        <f t="shared" si="172"/>
        <v>63.271631055402423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1.1368683772161603E-13</v>
      </c>
      <c r="O167" s="13">
        <f>N167*VLOOKUP('Données projet'!$B$9,Paramètres!$A$1:$I$89,3,0)*VLOOKUP('Données projet'!$B$9,Paramètres!$A$1:$I$89,5,0)</f>
        <v>6.7984728957526396E-14</v>
      </c>
      <c r="P167" s="13">
        <f t="shared" si="141"/>
        <v>1.0682447123141398E-12</v>
      </c>
      <c r="Q167" s="20">
        <f t="shared" si="162"/>
        <v>1.978932943548152E-12</v>
      </c>
      <c r="R167" s="59">
        <f t="shared" si="109"/>
        <v>293.3333333333353</v>
      </c>
      <c r="S167" s="59">
        <f ca="1">AVERAGE(OFFSET($R$3,0,0,'Données projet'!$E$9+1,1))-AVERAGE(OFFSET($H$3,0,0,'Données projet'!$E$9+1,1))</f>
        <v>149.5086927376081</v>
      </c>
      <c r="T167" s="59">
        <f t="shared" si="142"/>
        <v>364.59164590134498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4.2422727643592664</v>
      </c>
      <c r="AA167" s="21">
        <f>EXP(-LN(2)/25)*AA166+(1-EXP(-LN(2)/25))/(LN(2)/25)*Calculateur!V167*Calculateur!X167*VLOOKUP('Données projet'!$B$9,Paramètres!$A$1:$I$89,3,0)*0.475*44/12</f>
        <v>1.0239166332218972</v>
      </c>
      <c r="AB167" s="21">
        <f>EXP(-LN(2)/2)*AB166+(1-EXP(-LN(2)/2))/(LN(2)/2)*V167*Y167*VLOOKUP('Données projet'!$B$9,Paramètres!$A$1:$I$89,3,0)*0.475*44/12</f>
        <v>3.6128848490482956E-19</v>
      </c>
      <c r="AC167" s="22">
        <f t="shared" si="163"/>
        <v>5.2661893975811633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0</v>
      </c>
      <c r="AO167" s="59">
        <f t="shared" si="144"/>
        <v>0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-8.5265128291212022E-14</v>
      </c>
      <c r="BE167" s="13">
        <f>BD167*VLOOKUP('Données projet'!$B$11,Paramètres!$A$1:$I$89,3,0)*VLOOKUP('Données projet'!$B$11,Paramètres!$A$1:$I$89,5,0)</f>
        <v>-6.9167072069831198E-14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175.73034516698141</v>
      </c>
      <c r="BJ167" s="59">
        <f t="shared" si="146"/>
        <v>203.59461632821052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0.13540684590794791</v>
      </c>
      <c r="BR167" s="21">
        <f>EXP(-LN(2)/2)*BR166+(1-EXP(-LN(2)/2))/(LN(2)/2)*BL167*BO167*VLOOKUP('Données projet'!$B$11,Paramètres!$A$1:$I$89,3,0)*0.475*44/12</f>
        <v>5.5308923714911674E-20</v>
      </c>
      <c r="BS167" s="22">
        <f t="shared" si="169"/>
        <v>0.13540684590794791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-1.1368683772161603E-13</v>
      </c>
      <c r="BZ167" s="13">
        <f>BY167*VLOOKUP('Données projet'!$B$12,Paramètres!$A$1:$I$89,3,0)*VLOOKUP('Données projet'!$B$12,Paramètres!$A$1:$I$89,5,0)</f>
        <v>-9.5769792096689348E-14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258.28817640749349</v>
      </c>
      <c r="CE167" s="59">
        <f t="shared" si="148"/>
        <v>158.16416492761954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40.353420795599448</v>
      </c>
      <c r="CL167" s="21">
        <f>EXP(-LN(2)/25)*CL166+(1-EXP(-LN(2)/25))/(LN(2)/25)*Calculateur!CG167*Calculateur!CI167*VLOOKUP('Données projet'!$B$12,Paramètres!$A$1:$I$89,3,0)*0.475*44/12</f>
        <v>21.506448337686724</v>
      </c>
      <c r="CM167" s="21">
        <f>EXP(-LN(2)/2)*CM166+(1-EXP(-LN(2)/2))/(LN(2)/2)*CG167*CJ167*VLOOKUP('Données projet'!$B$12,Paramètres!$A$1:$I$89,3,0)*0.475*44/12</f>
        <v>1.1943899894604967E-16</v>
      </c>
      <c r="CN167" s="22">
        <f t="shared" si="172"/>
        <v>61.859869133286168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1.1368683772161603E-13</v>
      </c>
      <c r="O168" s="13">
        <f>N168*VLOOKUP('Données projet'!$B$9,Paramètres!$A$1:$I$89,3,0)*VLOOKUP('Données projet'!$B$9,Paramètres!$A$1:$I$89,5,0)</f>
        <v>6.7984728957526396E-14</v>
      </c>
      <c r="P168" s="13">
        <f t="shared" si="141"/>
        <v>1.0682447123141398E-12</v>
      </c>
      <c r="Q168" s="20">
        <f t="shared" si="162"/>
        <v>1.978932943548152E-12</v>
      </c>
      <c r="R168" s="59">
        <f t="shared" si="109"/>
        <v>293.3333333333353</v>
      </c>
      <c r="S168" s="59">
        <f ca="1">AVERAGE(OFFSET($R$3,0,0,'Données projet'!$E$9+1,1))-AVERAGE(OFFSET($H$3,0,0,'Données projet'!$E$9+1,1))</f>
        <v>149.5086927376081</v>
      </c>
      <c r="T168" s="59">
        <f t="shared" si="142"/>
        <v>364.59164590134498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4.15908438298107</v>
      </c>
      <c r="AA168" s="21">
        <f>EXP(-LN(2)/25)*AA167+(1-EXP(-LN(2)/25))/(LN(2)/25)*Calculateur!V168*Calculateur!X168*VLOOKUP('Données projet'!$B$9,Paramètres!$A$1:$I$89,3,0)*0.475*44/12</f>
        <v>0.99591757904100886</v>
      </c>
      <c r="AB168" s="21">
        <f>EXP(-LN(2)/2)*AB167+(1-EXP(-LN(2)/2))/(LN(2)/2)*V168*Y168*VLOOKUP('Données projet'!$B$9,Paramètres!$A$1:$I$89,3,0)*0.475*44/12</f>
        <v>2.5546953764081859E-19</v>
      </c>
      <c r="AC168" s="22">
        <f t="shared" si="163"/>
        <v>5.1550019620220784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0</v>
      </c>
      <c r="AO168" s="59">
        <f t="shared" si="144"/>
        <v>0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-8.5265128291212022E-14</v>
      </c>
      <c r="BE168" s="13">
        <f>BD168*VLOOKUP('Données projet'!$B$11,Paramètres!$A$1:$I$89,3,0)*VLOOKUP('Données projet'!$B$11,Paramètres!$A$1:$I$89,5,0)</f>
        <v>-6.9167072069831198E-14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175.73034516698141</v>
      </c>
      <c r="BJ168" s="59">
        <f t="shared" si="146"/>
        <v>203.59461632821052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0.13170413858585853</v>
      </c>
      <c r="BR168" s="21">
        <f>EXP(-LN(2)/2)*BR167+(1-EXP(-LN(2)/2))/(LN(2)/2)*BL168*BO168*VLOOKUP('Données projet'!$B$11,Paramètres!$A$1:$I$89,3,0)*0.475*44/12</f>
        <v>3.9109315018943499E-20</v>
      </c>
      <c r="BS168" s="22">
        <f t="shared" si="169"/>
        <v>0.13170413858585853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-1.1368683772161603E-13</v>
      </c>
      <c r="BZ168" s="13">
        <f>BY168*VLOOKUP('Données projet'!$B$12,Paramètres!$A$1:$I$89,3,0)*VLOOKUP('Données projet'!$B$12,Paramètres!$A$1:$I$89,5,0)</f>
        <v>-9.5769792096689348E-14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258.28817640749349</v>
      </c>
      <c r="CE168" s="59">
        <f t="shared" si="148"/>
        <v>158.16416492761954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39.56211482695408</v>
      </c>
      <c r="CL168" s="21">
        <f>EXP(-LN(2)/25)*CL167+(1-EXP(-LN(2)/25))/(LN(2)/25)*Calculateur!CG168*Calculateur!CI168*VLOOKUP('Données projet'!$B$12,Paramètres!$A$1:$I$89,3,0)*0.475*44/12</f>
        <v>20.918353376917715</v>
      </c>
      <c r="CM168" s="21">
        <f>EXP(-LN(2)/2)*CM167+(1-EXP(-LN(2)/2))/(LN(2)/2)*CG168*CJ168*VLOOKUP('Données projet'!$B$12,Paramètres!$A$1:$I$89,3,0)*0.475*44/12</f>
        <v>8.4456126092884623E-17</v>
      </c>
      <c r="CN168" s="22">
        <f t="shared" si="172"/>
        <v>60.480468203871794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1.1368683772161603E-13</v>
      </c>
      <c r="O169" s="13">
        <f>N169*VLOOKUP('Données projet'!$B$9,Paramètres!$A$1:$I$89,3,0)*VLOOKUP('Données projet'!$B$9,Paramètres!$A$1:$I$89,5,0)</f>
        <v>6.7984728957526396E-14</v>
      </c>
      <c r="P169" s="13">
        <f t="shared" si="141"/>
        <v>1.0682447123141398E-12</v>
      </c>
      <c r="Q169" s="20">
        <f t="shared" si="162"/>
        <v>1.978932943548152E-12</v>
      </c>
      <c r="R169" s="59">
        <f t="shared" si="109"/>
        <v>293.3333333333353</v>
      </c>
      <c r="S169" s="59">
        <f ca="1">AVERAGE(OFFSET($R$3,0,0,'Données projet'!$E$9+1,1))-AVERAGE(OFFSET($H$3,0,0,'Données projet'!$E$9+1,1))</f>
        <v>149.5086927376081</v>
      </c>
      <c r="T169" s="59">
        <f t="shared" si="142"/>
        <v>364.59164590134498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4.0775272750217972</v>
      </c>
      <c r="AA169" s="21">
        <f>EXP(-LN(2)/25)*AA168+(1-EXP(-LN(2)/25))/(LN(2)/25)*Calculateur!V169*Calculateur!X169*VLOOKUP('Données projet'!$B$9,Paramètres!$A$1:$I$89,3,0)*0.475*44/12</f>
        <v>0.96868416046910322</v>
      </c>
      <c r="AB169" s="21">
        <f>EXP(-LN(2)/2)*AB168+(1-EXP(-LN(2)/2))/(LN(2)/2)*V169*Y169*VLOOKUP('Données projet'!$B$9,Paramètres!$A$1:$I$89,3,0)*0.475*44/12</f>
        <v>1.8064424245241478E-19</v>
      </c>
      <c r="AC169" s="22">
        <f t="shared" si="163"/>
        <v>5.0462114354909007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0</v>
      </c>
      <c r="AO169" s="59">
        <f t="shared" si="144"/>
        <v>0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-8.5265128291212022E-14</v>
      </c>
      <c r="BE169" s="13">
        <f>BD169*VLOOKUP('Données projet'!$B$11,Paramètres!$A$1:$I$89,3,0)*VLOOKUP('Données projet'!$B$11,Paramètres!$A$1:$I$89,5,0)</f>
        <v>-6.9167072069831198E-14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175.73034516698141</v>
      </c>
      <c r="BJ169" s="59">
        <f t="shared" si="146"/>
        <v>203.59461632821052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0.12810268199020858</v>
      </c>
      <c r="BR169" s="21">
        <f>EXP(-LN(2)/2)*BR168+(1-EXP(-LN(2)/2))/(LN(2)/2)*BL169*BO169*VLOOKUP('Données projet'!$B$11,Paramètres!$A$1:$I$89,3,0)*0.475*44/12</f>
        <v>2.7654461857455837E-20</v>
      </c>
      <c r="BS169" s="22">
        <f t="shared" si="169"/>
        <v>0.12810268199020858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-1.1368683772161603E-13</v>
      </c>
      <c r="BZ169" s="13">
        <f>BY169*VLOOKUP('Données projet'!$B$12,Paramètres!$A$1:$I$89,3,0)*VLOOKUP('Données projet'!$B$12,Paramètres!$A$1:$I$89,5,0)</f>
        <v>-9.5769792096689348E-14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258.28817640749349</v>
      </c>
      <c r="CE169" s="59">
        <f t="shared" si="148"/>
        <v>158.16416492761954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38.786325885704862</v>
      </c>
      <c r="CL169" s="21">
        <f>EXP(-LN(2)/25)*CL168+(1-EXP(-LN(2)/25))/(LN(2)/25)*Calculateur!CG169*Calculateur!CI169*VLOOKUP('Données projet'!$B$12,Paramètres!$A$1:$I$89,3,0)*0.475*44/12</f>
        <v>20.346339903777505</v>
      </c>
      <c r="CM169" s="21">
        <f>EXP(-LN(2)/2)*CM168+(1-EXP(-LN(2)/2))/(LN(2)/2)*CG169*CJ169*VLOOKUP('Données projet'!$B$12,Paramètres!$A$1:$I$89,3,0)*0.475*44/12</f>
        <v>5.9719499473024833E-17</v>
      </c>
      <c r="CN169" s="22">
        <f t="shared" si="172"/>
        <v>59.132665789482367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1.1368683772161603E-13</v>
      </c>
      <c r="O170" s="13">
        <f>N170*VLOOKUP('Données projet'!$B$9,Paramètres!$A$1:$I$89,3,0)*VLOOKUP('Données projet'!$B$9,Paramètres!$A$1:$I$89,5,0)</f>
        <v>6.7984728957526396E-14</v>
      </c>
      <c r="P170" s="13">
        <f t="shared" si="141"/>
        <v>1.0682447123141398E-12</v>
      </c>
      <c r="Q170" s="20">
        <f t="shared" si="162"/>
        <v>1.978932943548152E-12</v>
      </c>
      <c r="R170" s="59">
        <f t="shared" si="109"/>
        <v>293.3333333333353</v>
      </c>
      <c r="S170" s="59">
        <f ca="1">AVERAGE(OFFSET($R$3,0,0,'Données projet'!$E$9+1,1))-AVERAGE(OFFSET($H$3,0,0,'Données projet'!$E$9+1,1))</f>
        <v>149.5086927376081</v>
      </c>
      <c r="T170" s="59">
        <f t="shared" si="142"/>
        <v>364.59164590134498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3.9975694522046821</v>
      </c>
      <c r="AA170" s="21">
        <f>EXP(-LN(2)/25)*AA169+(1-EXP(-LN(2)/25))/(LN(2)/25)*Calculateur!V170*Calculateur!X170*VLOOKUP('Données projet'!$B$9,Paramètres!$A$1:$I$89,3,0)*0.475*44/12</f>
        <v>0.9421954411601895</v>
      </c>
      <c r="AB170" s="21">
        <f>EXP(-LN(2)/2)*AB169+(1-EXP(-LN(2)/2))/(LN(2)/2)*V170*Y170*VLOOKUP('Données projet'!$B$9,Paramètres!$A$1:$I$89,3,0)*0.475*44/12</f>
        <v>1.2773476882040929E-19</v>
      </c>
      <c r="AC170" s="22">
        <f t="shared" si="163"/>
        <v>4.9397648933648712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0</v>
      </c>
      <c r="AO170" s="59">
        <f t="shared" si="144"/>
        <v>0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-8.5265128291212022E-14</v>
      </c>
      <c r="BE170" s="13">
        <f>BD170*VLOOKUP('Données projet'!$B$11,Paramètres!$A$1:$I$89,3,0)*VLOOKUP('Données projet'!$B$11,Paramètres!$A$1:$I$89,5,0)</f>
        <v>-6.9167072069831198E-14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175.73034516698141</v>
      </c>
      <c r="BJ170" s="59">
        <f t="shared" si="146"/>
        <v>203.59461632821052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0.12459970741455906</v>
      </c>
      <c r="BR170" s="21">
        <f>EXP(-LN(2)/2)*BR169+(1-EXP(-LN(2)/2))/(LN(2)/2)*BL170*BO170*VLOOKUP('Données projet'!$B$11,Paramètres!$A$1:$I$89,3,0)*0.475*44/12</f>
        <v>1.9554657509471749E-20</v>
      </c>
      <c r="BS170" s="22">
        <f t="shared" si="169"/>
        <v>0.12459970741455906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-1.1368683772161603E-13</v>
      </c>
      <c r="BZ170" s="13">
        <f>BY170*VLOOKUP('Données projet'!$B$12,Paramètres!$A$1:$I$89,3,0)*VLOOKUP('Données projet'!$B$12,Paramètres!$A$1:$I$89,5,0)</f>
        <v>-9.5769792096689348E-14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258.28817640749349</v>
      </c>
      <c r="CE170" s="59">
        <f t="shared" si="148"/>
        <v>158.16416492761954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38.025749692409015</v>
      </c>
      <c r="CL170" s="21">
        <f>EXP(-LN(2)/25)*CL169+(1-EXP(-LN(2)/25))/(LN(2)/25)*Calculateur!CG170*Calculateur!CI170*VLOOKUP('Données projet'!$B$12,Paramètres!$A$1:$I$89,3,0)*0.475*44/12</f>
        <v>19.789968169141197</v>
      </c>
      <c r="CM170" s="21">
        <f>EXP(-LN(2)/2)*CM169+(1-EXP(-LN(2)/2))/(LN(2)/2)*CG170*CJ170*VLOOKUP('Données projet'!$B$12,Paramètres!$A$1:$I$89,3,0)*0.475*44/12</f>
        <v>4.2228063046442311E-17</v>
      </c>
      <c r="CN170" s="22">
        <f t="shared" si="172"/>
        <v>57.815717861550212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1.1368683772161603E-13</v>
      </c>
      <c r="O171" s="13">
        <f>N171*VLOOKUP('Données projet'!$B$9,Paramètres!$A$1:$I$89,3,0)*VLOOKUP('Données projet'!$B$9,Paramètres!$A$1:$I$89,5,0)</f>
        <v>6.7984728957526396E-14</v>
      </c>
      <c r="P171" s="13">
        <f t="shared" si="141"/>
        <v>1.0682447123141398E-12</v>
      </c>
      <c r="Q171" s="20">
        <f t="shared" si="162"/>
        <v>1.978932943548152E-12</v>
      </c>
      <c r="R171" s="59">
        <f t="shared" si="109"/>
        <v>293.3333333333353</v>
      </c>
      <c r="S171" s="59">
        <f ca="1">AVERAGE(OFFSET($R$3,0,0,'Données projet'!$E$9+1,1))-AVERAGE(OFFSET($H$3,0,0,'Données projet'!$E$9+1,1))</f>
        <v>149.5086927376081</v>
      </c>
      <c r="T171" s="59">
        <f t="shared" si="142"/>
        <v>364.59164590134498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3.9191795535235543</v>
      </c>
      <c r="AA171" s="21">
        <f>EXP(-LN(2)/25)*AA170+(1-EXP(-LN(2)/25))/(LN(2)/25)*Calculateur!V171*Calculateur!X171*VLOOKUP('Données projet'!$B$9,Paramètres!$A$1:$I$89,3,0)*0.475*44/12</f>
        <v>0.91643105727375929</v>
      </c>
      <c r="AB171" s="21">
        <f>EXP(-LN(2)/2)*AB170+(1-EXP(-LN(2)/2))/(LN(2)/2)*V171*Y171*VLOOKUP('Données projet'!$B$9,Paramètres!$A$1:$I$89,3,0)*0.475*44/12</f>
        <v>9.0322121226207389E-20</v>
      </c>
      <c r="AC171" s="22">
        <f t="shared" si="163"/>
        <v>4.835610610797314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0</v>
      </c>
      <c r="AO171" s="59">
        <f t="shared" si="144"/>
        <v>0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-8.5265128291212022E-14</v>
      </c>
      <c r="BE171" s="13">
        <f>BD171*VLOOKUP('Données projet'!$B$11,Paramètres!$A$1:$I$89,3,0)*VLOOKUP('Données projet'!$B$11,Paramètres!$A$1:$I$89,5,0)</f>
        <v>-6.9167072069831198E-14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175.73034516698141</v>
      </c>
      <c r="BJ171" s="59">
        <f t="shared" si="146"/>
        <v>203.59461632821052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0.1211925218628941</v>
      </c>
      <c r="BR171" s="21">
        <f>EXP(-LN(2)/2)*BR170+(1-EXP(-LN(2)/2))/(LN(2)/2)*BL171*BO171*VLOOKUP('Données projet'!$B$11,Paramètres!$A$1:$I$89,3,0)*0.475*44/12</f>
        <v>1.3827230928727918E-20</v>
      </c>
      <c r="BS171" s="22">
        <f t="shared" si="169"/>
        <v>0.1211925218628941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-1.1368683772161603E-13</v>
      </c>
      <c r="BZ171" s="13">
        <f>BY171*VLOOKUP('Données projet'!$B$12,Paramètres!$A$1:$I$89,3,0)*VLOOKUP('Données projet'!$B$12,Paramètres!$A$1:$I$89,5,0)</f>
        <v>-9.5769792096689348E-14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258.28817640749349</v>
      </c>
      <c r="CE171" s="59">
        <f t="shared" si="148"/>
        <v>158.16416492761954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37.280087934358029</v>
      </c>
      <c r="CL171" s="21">
        <f>EXP(-LN(2)/25)*CL170+(1-EXP(-LN(2)/25))/(LN(2)/25)*Calculateur!CG171*Calculateur!CI171*VLOOKUP('Données projet'!$B$12,Paramètres!$A$1:$I$89,3,0)*0.475*44/12</f>
        <v>19.248810448846836</v>
      </c>
      <c r="CM171" s="21">
        <f>EXP(-LN(2)/2)*CM170+(1-EXP(-LN(2)/2))/(LN(2)/2)*CG171*CJ171*VLOOKUP('Données projet'!$B$12,Paramètres!$A$1:$I$89,3,0)*0.475*44/12</f>
        <v>2.9859749736512417E-17</v>
      </c>
      <c r="CN171" s="22">
        <f t="shared" si="172"/>
        <v>56.528898383204861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1.1368683772161603E-13</v>
      </c>
      <c r="O172" s="13">
        <f>N172*VLOOKUP('Données projet'!$B$9,Paramètres!$A$1:$I$89,3,0)*VLOOKUP('Données projet'!$B$9,Paramètres!$A$1:$I$89,5,0)</f>
        <v>6.7984728957526396E-14</v>
      </c>
      <c r="P172" s="13">
        <f t="shared" si="141"/>
        <v>1.0682447123141398E-12</v>
      </c>
      <c r="Q172" s="20">
        <f t="shared" si="162"/>
        <v>1.978932943548152E-12</v>
      </c>
      <c r="R172" s="59">
        <f t="shared" si="109"/>
        <v>293.3333333333353</v>
      </c>
      <c r="S172" s="59">
        <f ca="1">AVERAGE(OFFSET($R$3,0,0,'Données projet'!$E$9+1,1))-AVERAGE(OFFSET($H$3,0,0,'Données projet'!$E$9+1,1))</f>
        <v>149.5086927376081</v>
      </c>
      <c r="T172" s="59">
        <f t="shared" si="142"/>
        <v>364.59164590134498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3.8423268329424465</v>
      </c>
      <c r="AA172" s="21">
        <f>EXP(-LN(2)/25)*AA171+(1-EXP(-LN(2)/25))/(LN(2)/25)*Calculateur!V172*Calculateur!X172*VLOOKUP('Données projet'!$B$9,Paramètres!$A$1:$I$89,3,0)*0.475*44/12</f>
        <v>0.89137120181959362</v>
      </c>
      <c r="AB172" s="21">
        <f>EXP(-LN(2)/2)*AB171+(1-EXP(-LN(2)/2))/(LN(2)/2)*V172*Y172*VLOOKUP('Données projet'!$B$9,Paramètres!$A$1:$I$89,3,0)*0.475*44/12</f>
        <v>6.3867384410204647E-20</v>
      </c>
      <c r="AC172" s="22">
        <f t="shared" si="163"/>
        <v>4.7336980347620399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0</v>
      </c>
      <c r="AO172" s="59">
        <f t="shared" si="144"/>
        <v>0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-8.5265128291212022E-14</v>
      </c>
      <c r="BE172" s="13">
        <f>BD172*VLOOKUP('Données projet'!$B$11,Paramètres!$A$1:$I$89,3,0)*VLOOKUP('Données projet'!$B$11,Paramètres!$A$1:$I$89,5,0)</f>
        <v>-6.9167072069831198E-14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175.73034516698141</v>
      </c>
      <c r="BJ172" s="59">
        <f t="shared" si="146"/>
        <v>203.59461632821052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0.11787850597931553</v>
      </c>
      <c r="BR172" s="21">
        <f>EXP(-LN(2)/2)*BR171+(1-EXP(-LN(2)/2))/(LN(2)/2)*BL172*BO172*VLOOKUP('Données projet'!$B$11,Paramètres!$A$1:$I$89,3,0)*0.475*44/12</f>
        <v>9.7773287547358747E-21</v>
      </c>
      <c r="BS172" s="22">
        <f t="shared" si="169"/>
        <v>0.11787850597931553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-1.1368683772161603E-13</v>
      </c>
      <c r="BZ172" s="13">
        <f>BY172*VLOOKUP('Données projet'!$B$12,Paramètres!$A$1:$I$89,3,0)*VLOOKUP('Données projet'!$B$12,Paramètres!$A$1:$I$89,5,0)</f>
        <v>-9.5769792096689348E-14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258.28817640749349</v>
      </c>
      <c r="CE172" s="59">
        <f t="shared" si="148"/>
        <v>158.16416492761954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36.549048148573654</v>
      </c>
      <c r="CL172" s="21">
        <f>EXP(-LN(2)/25)*CL171+(1-EXP(-LN(2)/25))/(LN(2)/25)*Calculateur!CG172*Calculateur!CI172*VLOOKUP('Données projet'!$B$12,Paramètres!$A$1:$I$89,3,0)*0.475*44/12</f>
        <v>18.722450714872171</v>
      </c>
      <c r="CM172" s="21">
        <f>EXP(-LN(2)/2)*CM171+(1-EXP(-LN(2)/2))/(LN(2)/2)*CG172*CJ172*VLOOKUP('Données projet'!$B$12,Paramètres!$A$1:$I$89,3,0)*0.475*44/12</f>
        <v>2.1114031523221156E-17</v>
      </c>
      <c r="CN172" s="22">
        <f t="shared" si="172"/>
        <v>55.271498863445828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1.1368683772161603E-13</v>
      </c>
      <c r="O173" s="13">
        <f>N173*VLOOKUP('Données projet'!$B$9,Paramètres!$A$1:$I$89,3,0)*VLOOKUP('Données projet'!$B$9,Paramètres!$A$1:$I$89,5,0)</f>
        <v>6.7984728957526396E-14</v>
      </c>
      <c r="P173" s="13">
        <f t="shared" si="141"/>
        <v>1.0682447123141398E-12</v>
      </c>
      <c r="Q173" s="20">
        <f t="shared" si="162"/>
        <v>1.978932943548152E-12</v>
      </c>
      <c r="R173" s="59">
        <f t="shared" si="109"/>
        <v>293.3333333333353</v>
      </c>
      <c r="S173" s="59">
        <f ca="1">AVERAGE(OFFSET($R$3,0,0,'Données projet'!$E$9+1,1))-AVERAGE(OFFSET($H$3,0,0,'Données projet'!$E$9+1,1))</f>
        <v>149.5086927376081</v>
      </c>
      <c r="T173" s="59">
        <f t="shared" si="142"/>
        <v>364.59164590134498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3.766981147336403</v>
      </c>
      <c r="AA173" s="21">
        <f>EXP(-LN(2)/25)*AA172+(1-EXP(-LN(2)/25))/(LN(2)/25)*Calculateur!V173*Calculateur!X173*VLOOKUP('Données projet'!$B$9,Paramètres!$A$1:$I$89,3,0)*0.475*44/12</f>
        <v>0.86699660943066259</v>
      </c>
      <c r="AB173" s="21">
        <f>EXP(-LN(2)/2)*AB172+(1-EXP(-LN(2)/2))/(LN(2)/2)*V173*Y173*VLOOKUP('Données projet'!$B$9,Paramètres!$A$1:$I$89,3,0)*0.475*44/12</f>
        <v>4.5161060613103695E-20</v>
      </c>
      <c r="AC173" s="22">
        <f t="shared" si="163"/>
        <v>4.6339777567670657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0</v>
      </c>
      <c r="AO173" s="59">
        <f t="shared" si="144"/>
        <v>0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-8.5265128291212022E-14</v>
      </c>
      <c r="BE173" s="13">
        <f>BD173*VLOOKUP('Données projet'!$B$11,Paramètres!$A$1:$I$89,3,0)*VLOOKUP('Données projet'!$B$11,Paramètres!$A$1:$I$89,5,0)</f>
        <v>-6.9167072069831198E-14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175.73034516698141</v>
      </c>
      <c r="BJ173" s="59">
        <f t="shared" si="146"/>
        <v>203.59461632821052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0.11465511203434993</v>
      </c>
      <c r="BR173" s="21">
        <f>EXP(-LN(2)/2)*BR172+(1-EXP(-LN(2)/2))/(LN(2)/2)*BL173*BO173*VLOOKUP('Données projet'!$B$11,Paramètres!$A$1:$I$89,3,0)*0.475*44/12</f>
        <v>6.9136154643639592E-21</v>
      </c>
      <c r="BS173" s="22">
        <f t="shared" si="169"/>
        <v>0.11465511203434993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-1.1368683772161603E-13</v>
      </c>
      <c r="BZ173" s="13">
        <f>BY173*VLOOKUP('Données projet'!$B$12,Paramètres!$A$1:$I$89,3,0)*VLOOKUP('Données projet'!$B$12,Paramètres!$A$1:$I$89,5,0)</f>
        <v>-9.5769792096689348E-14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258.28817640749349</v>
      </c>
      <c r="CE173" s="59">
        <f t="shared" si="148"/>
        <v>158.16416492761954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35.832343607098274</v>
      </c>
      <c r="CL173" s="21">
        <f>EXP(-LN(2)/25)*CL172+(1-EXP(-LN(2)/25))/(LN(2)/25)*Calculateur!CG173*Calculateur!CI173*VLOOKUP('Données projet'!$B$12,Paramètres!$A$1:$I$89,3,0)*0.475*44/12</f>
        <v>18.210484315503098</v>
      </c>
      <c r="CM173" s="21">
        <f>EXP(-LN(2)/2)*CM172+(1-EXP(-LN(2)/2))/(LN(2)/2)*CG173*CJ173*VLOOKUP('Données projet'!$B$12,Paramètres!$A$1:$I$89,3,0)*0.475*44/12</f>
        <v>1.4929874868256208E-17</v>
      </c>
      <c r="CN173" s="22">
        <f t="shared" si="172"/>
        <v>54.042827922601376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1.1368683772161603E-13</v>
      </c>
      <c r="O174" s="13">
        <f>N174*VLOOKUP('Données projet'!$B$9,Paramètres!$A$1:$I$89,3,0)*VLOOKUP('Données projet'!$B$9,Paramètres!$A$1:$I$89,5,0)</f>
        <v>6.7984728957526396E-14</v>
      </c>
      <c r="P174" s="13">
        <f t="shared" si="141"/>
        <v>1.0682447123141398E-12</v>
      </c>
      <c r="Q174" s="20">
        <f t="shared" si="162"/>
        <v>1.978932943548152E-12</v>
      </c>
      <c r="R174" s="59">
        <f t="shared" si="109"/>
        <v>293.3333333333353</v>
      </c>
      <c r="S174" s="59">
        <f ca="1">AVERAGE(OFFSET($R$3,0,0,'Données projet'!$E$9+1,1))-AVERAGE(OFFSET($H$3,0,0,'Données projet'!$E$9+1,1))</f>
        <v>149.5086927376081</v>
      </c>
      <c r="T174" s="59">
        <f t="shared" si="142"/>
        <v>364.59164590134498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3.6931129446687638</v>
      </c>
      <c r="AA174" s="21">
        <f>EXP(-LN(2)/25)*AA173+(1-EXP(-LN(2)/25))/(LN(2)/25)*Calculateur!V174*Calculateur!X174*VLOOKUP('Données projet'!$B$9,Paramètres!$A$1:$I$89,3,0)*0.475*44/12</f>
        <v>0.84328854155241095</v>
      </c>
      <c r="AB174" s="21">
        <f>EXP(-LN(2)/2)*AB173+(1-EXP(-LN(2)/2))/(LN(2)/2)*V174*Y174*VLOOKUP('Données projet'!$B$9,Paramètres!$A$1:$I$89,3,0)*0.475*44/12</f>
        <v>3.1933692205102323E-20</v>
      </c>
      <c r="AC174" s="22">
        <f t="shared" si="163"/>
        <v>4.536401486221175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0</v>
      </c>
      <c r="AO174" s="59">
        <f t="shared" si="144"/>
        <v>0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-8.5265128291212022E-14</v>
      </c>
      <c r="BE174" s="13">
        <f>BD174*VLOOKUP('Données projet'!$B$11,Paramètres!$A$1:$I$89,3,0)*VLOOKUP('Données projet'!$B$11,Paramètres!$A$1:$I$89,5,0)</f>
        <v>-6.9167072069831198E-14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175.73034516698141</v>
      </c>
      <c r="BJ174" s="59">
        <f t="shared" si="146"/>
        <v>203.59461632821052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0.11151986196632034</v>
      </c>
      <c r="BR174" s="21">
        <f>EXP(-LN(2)/2)*BR173+(1-EXP(-LN(2)/2))/(LN(2)/2)*BL174*BO174*VLOOKUP('Données projet'!$B$11,Paramètres!$A$1:$I$89,3,0)*0.475*44/12</f>
        <v>4.8886643773679373E-21</v>
      </c>
      <c r="BS174" s="22">
        <f t="shared" si="169"/>
        <v>0.11151986196632034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-1.1368683772161603E-13</v>
      </c>
      <c r="BZ174" s="13">
        <f>BY174*VLOOKUP('Données projet'!$B$12,Paramètres!$A$1:$I$89,3,0)*VLOOKUP('Données projet'!$B$12,Paramètres!$A$1:$I$89,5,0)</f>
        <v>-9.5769792096689348E-14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258.28817640749349</v>
      </c>
      <c r="CE174" s="59">
        <f t="shared" si="148"/>
        <v>158.16416492761954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35.129693204534618</v>
      </c>
      <c r="CL174" s="21">
        <f>EXP(-LN(2)/25)*CL173+(1-EXP(-LN(2)/25))/(LN(2)/25)*Calculateur!CG174*Calculateur!CI174*VLOOKUP('Données projet'!$B$12,Paramètres!$A$1:$I$89,3,0)*0.475*44/12</f>
        <v>17.712517664247915</v>
      </c>
      <c r="CM174" s="21">
        <f>EXP(-LN(2)/2)*CM173+(1-EXP(-LN(2)/2))/(LN(2)/2)*CG174*CJ174*VLOOKUP('Données projet'!$B$12,Paramètres!$A$1:$I$89,3,0)*0.475*44/12</f>
        <v>1.0557015761610578E-17</v>
      </c>
      <c r="CN174" s="22">
        <f t="shared" si="172"/>
        <v>52.84221086878253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1.1368683772161603E-13</v>
      </c>
      <c r="O175" s="13">
        <f>N175*VLOOKUP('Données projet'!$B$9,Paramètres!$A$1:$I$89,3,0)*VLOOKUP('Données projet'!$B$9,Paramètres!$A$1:$I$89,5,0)</f>
        <v>6.7984728957526396E-14</v>
      </c>
      <c r="P175" s="13">
        <f t="shared" si="141"/>
        <v>1.0682447123141398E-12</v>
      </c>
      <c r="Q175" s="20">
        <f t="shared" si="162"/>
        <v>1.978932943548152E-12</v>
      </c>
      <c r="R175" s="59">
        <f t="shared" si="109"/>
        <v>293.3333333333353</v>
      </c>
      <c r="S175" s="59">
        <f ca="1">AVERAGE(OFFSET($R$3,0,0,'Données projet'!$E$9+1,1))-AVERAGE(OFFSET($H$3,0,0,'Données projet'!$E$9+1,1))</f>
        <v>149.5086927376081</v>
      </c>
      <c r="T175" s="59">
        <f t="shared" si="142"/>
        <v>364.59164590134498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3.6206932524002822</v>
      </c>
      <c r="AA175" s="21">
        <f>EXP(-LN(2)/25)*AA174+(1-EXP(-LN(2)/25))/(LN(2)/25)*Calculateur!V175*Calculateur!X175*VLOOKUP('Données projet'!$B$9,Paramètres!$A$1:$I$89,3,0)*0.475*44/12</f>
        <v>0.82022877203704325</v>
      </c>
      <c r="AB175" s="21">
        <f>EXP(-LN(2)/2)*AB174+(1-EXP(-LN(2)/2))/(LN(2)/2)*V175*Y175*VLOOKUP('Données projet'!$B$9,Paramètres!$A$1:$I$89,3,0)*0.475*44/12</f>
        <v>2.2580530306551847E-20</v>
      </c>
      <c r="AC175" s="22">
        <f t="shared" si="163"/>
        <v>4.4409220244373255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0</v>
      </c>
      <c r="AO175" s="59">
        <f t="shared" si="144"/>
        <v>0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-8.5265128291212022E-14</v>
      </c>
      <c r="BE175" s="13">
        <f>BD175*VLOOKUP('Données projet'!$B$11,Paramètres!$A$1:$I$89,3,0)*VLOOKUP('Données projet'!$B$11,Paramètres!$A$1:$I$89,5,0)</f>
        <v>-6.9167072069831198E-14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175.73034516698141</v>
      </c>
      <c r="BJ175" s="59">
        <f t="shared" si="146"/>
        <v>203.59461632821052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0.10847034547627665</v>
      </c>
      <c r="BR175" s="21">
        <f>EXP(-LN(2)/2)*BR174+(1-EXP(-LN(2)/2))/(LN(2)/2)*BL175*BO175*VLOOKUP('Données projet'!$B$11,Paramètres!$A$1:$I$89,3,0)*0.475*44/12</f>
        <v>3.4568077321819796E-21</v>
      </c>
      <c r="BS175" s="22">
        <f t="shared" si="169"/>
        <v>0.10847034547627665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-1.1368683772161603E-13</v>
      </c>
      <c r="BZ175" s="13">
        <f>BY175*VLOOKUP('Données projet'!$B$12,Paramètres!$A$1:$I$89,3,0)*VLOOKUP('Données projet'!$B$12,Paramètres!$A$1:$I$89,5,0)</f>
        <v>-9.5769792096689348E-14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258.28817640749349</v>
      </c>
      <c r="CE175" s="59">
        <f t="shared" si="148"/>
        <v>158.16416492761954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34.440821347790809</v>
      </c>
      <c r="CL175" s="21">
        <f>EXP(-LN(2)/25)*CL174+(1-EXP(-LN(2)/25))/(LN(2)/25)*Calculateur!CG175*Calculateur!CI175*VLOOKUP('Données projet'!$B$12,Paramètres!$A$1:$I$89,3,0)*0.475*44/12</f>
        <v>17.228167937258235</v>
      </c>
      <c r="CM175" s="21">
        <f>EXP(-LN(2)/2)*CM174+(1-EXP(-LN(2)/2))/(LN(2)/2)*CG175*CJ175*VLOOKUP('Données projet'!$B$12,Paramètres!$A$1:$I$89,3,0)*0.475*44/12</f>
        <v>7.4649374341281042E-18</v>
      </c>
      <c r="CN175" s="22">
        <f t="shared" si="172"/>
        <v>51.668989285049044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1.1368683772161603E-13</v>
      </c>
      <c r="O176" s="13">
        <f>N176*VLOOKUP('Données projet'!$B$9,Paramètres!$A$1:$I$89,3,0)*VLOOKUP('Données projet'!$B$9,Paramètres!$A$1:$I$89,5,0)</f>
        <v>6.7984728957526396E-14</v>
      </c>
      <c r="P176" s="13">
        <f t="shared" si="141"/>
        <v>1.0682447123141398E-12</v>
      </c>
      <c r="Q176" s="20">
        <f t="shared" si="162"/>
        <v>1.978932943548152E-12</v>
      </c>
      <c r="R176" s="59">
        <f t="shared" si="109"/>
        <v>293.3333333333353</v>
      </c>
      <c r="S176" s="59">
        <f ca="1">AVERAGE(OFFSET($R$3,0,0,'Données projet'!$E$9+1,1))-AVERAGE(OFFSET($H$3,0,0,'Données projet'!$E$9+1,1))</f>
        <v>149.5086927376081</v>
      </c>
      <c r="T176" s="59">
        <f t="shared" si="142"/>
        <v>364.59164590134498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3.5496936661255347</v>
      </c>
      <c r="AA176" s="21">
        <f>EXP(-LN(2)/25)*AA175+(1-EXP(-LN(2)/25))/(LN(2)/25)*Calculateur!V176*Calculateur!X176*VLOOKUP('Données projet'!$B$9,Paramètres!$A$1:$I$89,3,0)*0.475*44/12</f>
        <v>0.79779957313173389</v>
      </c>
      <c r="AB176" s="21">
        <f>EXP(-LN(2)/2)*AB175+(1-EXP(-LN(2)/2))/(LN(2)/2)*V176*Y176*VLOOKUP('Données projet'!$B$9,Paramètres!$A$1:$I$89,3,0)*0.475*44/12</f>
        <v>1.5966846102551162E-20</v>
      </c>
      <c r="AC176" s="22">
        <f t="shared" si="163"/>
        <v>4.3474932392572683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0</v>
      </c>
      <c r="AO176" s="59">
        <f t="shared" si="144"/>
        <v>0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-8.5265128291212022E-14</v>
      </c>
      <c r="BE176" s="13">
        <f>BD176*VLOOKUP('Données projet'!$B$11,Paramètres!$A$1:$I$89,3,0)*VLOOKUP('Données projet'!$B$11,Paramètres!$A$1:$I$89,5,0)</f>
        <v>-6.9167072069831198E-14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175.73034516698141</v>
      </c>
      <c r="BJ176" s="59">
        <f t="shared" si="146"/>
        <v>203.59461632821052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0.10550421817502031</v>
      </c>
      <c r="BR176" s="21">
        <f>EXP(-LN(2)/2)*BR175+(1-EXP(-LN(2)/2))/(LN(2)/2)*BL176*BO176*VLOOKUP('Données projet'!$B$11,Paramètres!$A$1:$I$89,3,0)*0.475*44/12</f>
        <v>2.4443321886839687E-21</v>
      </c>
      <c r="BS176" s="22">
        <f t="shared" si="169"/>
        <v>0.10550421817502031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-1.1368683772161603E-13</v>
      </c>
      <c r="BZ176" s="13">
        <f>BY176*VLOOKUP('Données projet'!$B$12,Paramètres!$A$1:$I$89,3,0)*VLOOKUP('Données projet'!$B$12,Paramètres!$A$1:$I$89,5,0)</f>
        <v>-9.5769792096689348E-14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258.28817640749349</v>
      </c>
      <c r="CE176" s="59">
        <f t="shared" si="148"/>
        <v>158.16416492761954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33.765457847987399</v>
      </c>
      <c r="CL176" s="21">
        <f>EXP(-LN(2)/25)*CL175+(1-EXP(-LN(2)/25))/(LN(2)/25)*Calculateur!CG176*Calculateur!CI176*VLOOKUP('Données projet'!$B$12,Paramètres!$A$1:$I$89,3,0)*0.475*44/12</f>
        <v>16.757062779023933</v>
      </c>
      <c r="CM176" s="21">
        <f>EXP(-LN(2)/2)*CM175+(1-EXP(-LN(2)/2))/(LN(2)/2)*CG176*CJ176*VLOOKUP('Données projet'!$B$12,Paramètres!$A$1:$I$89,3,0)*0.475*44/12</f>
        <v>5.2785078808052889E-18</v>
      </c>
      <c r="CN176" s="22">
        <f t="shared" si="172"/>
        <v>50.522520627011332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1.1368683772161603E-13</v>
      </c>
      <c r="O177" s="13">
        <f>N177*VLOOKUP('Données projet'!$B$9,Paramètres!$A$1:$I$89,3,0)*VLOOKUP('Données projet'!$B$9,Paramètres!$A$1:$I$89,5,0)</f>
        <v>6.7984728957526396E-14</v>
      </c>
      <c r="P177" s="13">
        <f t="shared" si="141"/>
        <v>1.0682447123141398E-12</v>
      </c>
      <c r="Q177" s="20">
        <f t="shared" si="162"/>
        <v>1.978932943548152E-12</v>
      </c>
      <c r="R177" s="59">
        <f t="shared" si="109"/>
        <v>293.3333333333353</v>
      </c>
      <c r="S177" s="59">
        <f ca="1">AVERAGE(OFFSET($R$3,0,0,'Données projet'!$E$9+1,1))-AVERAGE(OFFSET($H$3,0,0,'Données projet'!$E$9+1,1))</f>
        <v>149.5086927376081</v>
      </c>
      <c r="T177" s="59">
        <f t="shared" si="142"/>
        <v>364.59164590134498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3.4800863384321636</v>
      </c>
      <c r="AA177" s="21">
        <f>EXP(-LN(2)/25)*AA176+(1-EXP(-LN(2)/25))/(LN(2)/25)*Calculateur!V177*Calculateur!X177*VLOOKUP('Données projet'!$B$9,Paramètres!$A$1:$I$89,3,0)*0.475*44/12</f>
        <v>0.77598370184999044</v>
      </c>
      <c r="AB177" s="21">
        <f>EXP(-LN(2)/2)*AB176+(1-EXP(-LN(2)/2))/(LN(2)/2)*V177*Y177*VLOOKUP('Données projet'!$B$9,Paramètres!$A$1:$I$89,3,0)*0.475*44/12</f>
        <v>1.1290265153275924E-20</v>
      </c>
      <c r="AC177" s="22">
        <f t="shared" si="163"/>
        <v>4.2560700402821539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0</v>
      </c>
      <c r="AO177" s="59">
        <f t="shared" si="144"/>
        <v>0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-8.5265128291212022E-14</v>
      </c>
      <c r="BE177" s="13">
        <f>BD177*VLOOKUP('Données projet'!$B$11,Paramètres!$A$1:$I$89,3,0)*VLOOKUP('Données projet'!$B$11,Paramètres!$A$1:$I$89,5,0)</f>
        <v>-6.9167072069831198E-14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175.73034516698141</v>
      </c>
      <c r="BJ177" s="59">
        <f t="shared" si="146"/>
        <v>203.59461632821052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0.10261919978079868</v>
      </c>
      <c r="BR177" s="21">
        <f>EXP(-LN(2)/2)*BR176+(1-EXP(-LN(2)/2))/(LN(2)/2)*BL177*BO177*VLOOKUP('Données projet'!$B$11,Paramètres!$A$1:$I$89,3,0)*0.475*44/12</f>
        <v>1.7284038660909898E-21</v>
      </c>
      <c r="BS177" s="22">
        <f t="shared" si="169"/>
        <v>0.10261919978079868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-1.1368683772161603E-13</v>
      </c>
      <c r="BZ177" s="13">
        <f>BY177*VLOOKUP('Données projet'!$B$12,Paramètres!$A$1:$I$89,3,0)*VLOOKUP('Données projet'!$B$12,Paramètres!$A$1:$I$89,5,0)</f>
        <v>-9.5769792096689348E-14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258.28817640749349</v>
      </c>
      <c r="CE177" s="59">
        <f t="shared" si="148"/>
        <v>158.16416492761954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33.103337814484078</v>
      </c>
      <c r="CL177" s="21">
        <f>EXP(-LN(2)/25)*CL176+(1-EXP(-LN(2)/25))/(LN(2)/25)*Calculateur!CG177*Calculateur!CI177*VLOOKUP('Données projet'!$B$12,Paramètres!$A$1:$I$89,3,0)*0.475*44/12</f>
        <v>16.298840016115889</v>
      </c>
      <c r="CM177" s="21">
        <f>EXP(-LN(2)/2)*CM176+(1-EXP(-LN(2)/2))/(LN(2)/2)*CG177*CJ177*VLOOKUP('Données projet'!$B$12,Paramètres!$A$1:$I$89,3,0)*0.475*44/12</f>
        <v>3.7324687170640521E-18</v>
      </c>
      <c r="CN177" s="22">
        <f t="shared" si="172"/>
        <v>49.402177830599967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1.1368683772161603E-13</v>
      </c>
      <c r="O178" s="13">
        <f>N178*VLOOKUP('Données projet'!$B$9,Paramètres!$A$1:$I$89,3,0)*VLOOKUP('Données projet'!$B$9,Paramètres!$A$1:$I$89,5,0)</f>
        <v>6.7984728957526396E-14</v>
      </c>
      <c r="P178" s="13">
        <f t="shared" si="141"/>
        <v>1.0682447123141398E-12</v>
      </c>
      <c r="Q178" s="20">
        <f t="shared" si="162"/>
        <v>1.978932943548152E-12</v>
      </c>
      <c r="R178" s="59">
        <f t="shared" si="109"/>
        <v>293.3333333333353</v>
      </c>
      <c r="S178" s="59">
        <f ca="1">AVERAGE(OFFSET($R$3,0,0,'Données projet'!$E$9+1,1))-AVERAGE(OFFSET($H$3,0,0,'Données projet'!$E$9+1,1))</f>
        <v>149.5086927376081</v>
      </c>
      <c r="T178" s="59">
        <f t="shared" si="142"/>
        <v>364.59164590134498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3.4118439679785819</v>
      </c>
      <c r="AA178" s="21">
        <f>EXP(-LN(2)/25)*AA177+(1-EXP(-LN(2)/25))/(LN(2)/25)*Calculateur!V178*Calculateur!X178*VLOOKUP('Données projet'!$B$9,Paramètres!$A$1:$I$89,3,0)*0.475*44/12</f>
        <v>0.75476438671569313</v>
      </c>
      <c r="AB178" s="21">
        <f>EXP(-LN(2)/2)*AB177+(1-EXP(-LN(2)/2))/(LN(2)/2)*V178*Y178*VLOOKUP('Données projet'!$B$9,Paramètres!$A$1:$I$89,3,0)*0.475*44/12</f>
        <v>7.9834230512755809E-21</v>
      </c>
      <c r="AC178" s="22">
        <f t="shared" si="163"/>
        <v>4.1666083546942749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0</v>
      </c>
      <c r="AO178" s="59">
        <f t="shared" si="144"/>
        <v>0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-8.5265128291212022E-14</v>
      </c>
      <c r="BE178" s="13">
        <f>BD178*VLOOKUP('Données projet'!$B$11,Paramètres!$A$1:$I$89,3,0)*VLOOKUP('Données projet'!$B$11,Paramètres!$A$1:$I$89,5,0)</f>
        <v>-6.9167072069831198E-14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175.73034516698141</v>
      </c>
      <c r="BJ178" s="59">
        <f t="shared" si="146"/>
        <v>203.59461632821052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9.9813072366283562E-2</v>
      </c>
      <c r="BR178" s="21">
        <f>EXP(-LN(2)/2)*BR177+(1-EXP(-LN(2)/2))/(LN(2)/2)*BL178*BO178*VLOOKUP('Données projet'!$B$11,Paramètres!$A$1:$I$89,3,0)*0.475*44/12</f>
        <v>1.2221660943419843E-21</v>
      </c>
      <c r="BS178" s="22">
        <f t="shared" si="169"/>
        <v>9.9813072366283562E-2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-1.1368683772161603E-13</v>
      </c>
      <c r="BZ178" s="13">
        <f>BY178*VLOOKUP('Données projet'!$B$12,Paramètres!$A$1:$I$89,3,0)*VLOOKUP('Données projet'!$B$12,Paramètres!$A$1:$I$89,5,0)</f>
        <v>-9.5769792096689348E-14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258.28817640749349</v>
      </c>
      <c r="CE178" s="59">
        <f t="shared" si="148"/>
        <v>158.16416492761954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32.454201550984415</v>
      </c>
      <c r="CL178" s="21">
        <f>EXP(-LN(2)/25)*CL177+(1-EXP(-LN(2)/25))/(LN(2)/25)*Calculateur!CG178*Calculateur!CI178*VLOOKUP('Données projet'!$B$12,Paramètres!$A$1:$I$89,3,0)*0.475*44/12</f>
        <v>15.853147378756455</v>
      </c>
      <c r="CM178" s="21">
        <f>EXP(-LN(2)/2)*CM177+(1-EXP(-LN(2)/2))/(LN(2)/2)*CG178*CJ178*VLOOKUP('Données projet'!$B$12,Paramètres!$A$1:$I$89,3,0)*0.475*44/12</f>
        <v>2.6392539404026445E-18</v>
      </c>
      <c r="CN178" s="22">
        <f t="shared" si="172"/>
        <v>48.307348929740868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1.1368683772161603E-13</v>
      </c>
      <c r="O179" s="13">
        <f>N179*VLOOKUP('Données projet'!$B$9,Paramètres!$A$1:$I$89,3,0)*VLOOKUP('Données projet'!$B$9,Paramètres!$A$1:$I$89,5,0)</f>
        <v>6.7984728957526396E-14</v>
      </c>
      <c r="P179" s="13">
        <f t="shared" si="141"/>
        <v>1.0682447123141398E-12</v>
      </c>
      <c r="Q179" s="20">
        <f t="shared" si="162"/>
        <v>1.978932943548152E-12</v>
      </c>
      <c r="R179" s="59">
        <f t="shared" si="109"/>
        <v>293.3333333333353</v>
      </c>
      <c r="S179" s="59">
        <f ca="1">AVERAGE(OFFSET($R$3,0,0,'Données projet'!$E$9+1,1))-AVERAGE(OFFSET($H$3,0,0,'Données projet'!$E$9+1,1))</f>
        <v>149.5086927376081</v>
      </c>
      <c r="T179" s="59">
        <f t="shared" si="142"/>
        <v>364.59164590134498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3.344939788785859</v>
      </c>
      <c r="AA179" s="21">
        <f>EXP(-LN(2)/25)*AA178+(1-EXP(-LN(2)/25))/(LN(2)/25)*Calculateur!V179*Calculateur!X179*VLOOKUP('Données projet'!$B$9,Paramètres!$A$1:$I$89,3,0)*0.475*44/12</f>
        <v>0.73412531486961841</v>
      </c>
      <c r="AB179" s="21">
        <f>EXP(-LN(2)/2)*AB178+(1-EXP(-LN(2)/2))/(LN(2)/2)*V179*Y179*VLOOKUP('Données projet'!$B$9,Paramètres!$A$1:$I$89,3,0)*0.475*44/12</f>
        <v>5.6451325766379618E-21</v>
      </c>
      <c r="AC179" s="22">
        <f t="shared" si="163"/>
        <v>4.079065103655477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0</v>
      </c>
      <c r="AO179" s="59">
        <f t="shared" si="144"/>
        <v>0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-8.5265128291212022E-14</v>
      </c>
      <c r="BE179" s="13">
        <f>BD179*VLOOKUP('Données projet'!$B$11,Paramètres!$A$1:$I$89,3,0)*VLOOKUP('Données projet'!$B$11,Paramètres!$A$1:$I$89,5,0)</f>
        <v>-6.9167072069831198E-14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175.73034516698141</v>
      </c>
      <c r="BJ179" s="59">
        <f t="shared" si="146"/>
        <v>203.59461632821052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9.7083678653486188E-2</v>
      </c>
      <c r="BR179" s="21">
        <f>EXP(-LN(2)/2)*BR178+(1-EXP(-LN(2)/2))/(LN(2)/2)*BL179*BO179*VLOOKUP('Données projet'!$B$11,Paramètres!$A$1:$I$89,3,0)*0.475*44/12</f>
        <v>8.642019330454949E-22</v>
      </c>
      <c r="BS179" s="22">
        <f t="shared" si="169"/>
        <v>9.7083678653486188E-2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-1.1368683772161603E-13</v>
      </c>
      <c r="BZ179" s="13">
        <f>BY179*VLOOKUP('Données projet'!$B$12,Paramètres!$A$1:$I$89,3,0)*VLOOKUP('Données projet'!$B$12,Paramètres!$A$1:$I$89,5,0)</f>
        <v>-9.5769792096689348E-14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258.28817640749349</v>
      </c>
      <c r="CE179" s="59">
        <f t="shared" si="148"/>
        <v>158.16416492761954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31.817794453677951</v>
      </c>
      <c r="CL179" s="21">
        <f>EXP(-LN(2)/25)*CL178+(1-EXP(-LN(2)/25))/(LN(2)/25)*Calculateur!CG179*Calculateur!CI179*VLOOKUP('Données projet'!$B$12,Paramètres!$A$1:$I$89,3,0)*0.475*44/12</f>
        <v>15.419642230003573</v>
      </c>
      <c r="CM179" s="21">
        <f>EXP(-LN(2)/2)*CM178+(1-EXP(-LN(2)/2))/(LN(2)/2)*CG179*CJ179*VLOOKUP('Données projet'!$B$12,Paramètres!$A$1:$I$89,3,0)*0.475*44/12</f>
        <v>1.866234358532026E-18</v>
      </c>
      <c r="CN179" s="22">
        <f t="shared" si="172"/>
        <v>47.237436683681523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1.1368683772161603E-13</v>
      </c>
      <c r="O180" s="13">
        <f>N180*VLOOKUP('Données projet'!$B$9,Paramètres!$A$1:$I$89,3,0)*VLOOKUP('Données projet'!$B$9,Paramètres!$A$1:$I$89,5,0)</f>
        <v>6.7984728957526396E-14</v>
      </c>
      <c r="P180" s="13">
        <f t="shared" si="141"/>
        <v>1.0682447123141398E-12</v>
      </c>
      <c r="Q180" s="20">
        <f t="shared" si="162"/>
        <v>1.978932943548152E-12</v>
      </c>
      <c r="R180" s="59">
        <f t="shared" si="109"/>
        <v>293.3333333333353</v>
      </c>
      <c r="S180" s="59">
        <f ca="1">AVERAGE(OFFSET($R$3,0,0,'Données projet'!$E$9+1,1))-AVERAGE(OFFSET($H$3,0,0,'Données projet'!$E$9+1,1))</f>
        <v>149.5086927376081</v>
      </c>
      <c r="T180" s="59">
        <f t="shared" si="142"/>
        <v>364.59164590134498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3.2793475597395854</v>
      </c>
      <c r="AA180" s="21">
        <f>EXP(-LN(2)/25)*AA179+(1-EXP(-LN(2)/25))/(LN(2)/25)*Calculateur!V180*Calculateur!X180*VLOOKUP('Données projet'!$B$9,Paramètres!$A$1:$I$89,3,0)*0.475*44/12</f>
        <v>0.71405061952853621</v>
      </c>
      <c r="AB180" s="21">
        <f>EXP(-LN(2)/2)*AB179+(1-EXP(-LN(2)/2))/(LN(2)/2)*V180*Y180*VLOOKUP('Données projet'!$B$9,Paramètres!$A$1:$I$89,3,0)*0.475*44/12</f>
        <v>3.9917115256377904E-21</v>
      </c>
      <c r="AC180" s="22">
        <f t="shared" si="163"/>
        <v>3.9933981792681217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0</v>
      </c>
      <c r="AO180" s="59">
        <f t="shared" si="144"/>
        <v>0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-8.5265128291212022E-14</v>
      </c>
      <c r="BE180" s="13">
        <f>BD180*VLOOKUP('Données projet'!$B$11,Paramètres!$A$1:$I$89,3,0)*VLOOKUP('Données projet'!$B$11,Paramètres!$A$1:$I$89,5,0)</f>
        <v>-6.9167072069831198E-14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175.73034516698141</v>
      </c>
      <c r="BJ180" s="59">
        <f t="shared" si="146"/>
        <v>203.59461632821052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9.4428920355297832E-2</v>
      </c>
      <c r="BR180" s="21">
        <f>EXP(-LN(2)/2)*BR179+(1-EXP(-LN(2)/2))/(LN(2)/2)*BL180*BO180*VLOOKUP('Données projet'!$B$11,Paramètres!$A$1:$I$89,3,0)*0.475*44/12</f>
        <v>6.1108304717099217E-22</v>
      </c>
      <c r="BS180" s="22">
        <f t="shared" si="169"/>
        <v>9.4428920355297832E-2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-1.1368683772161603E-13</v>
      </c>
      <c r="BZ180" s="13">
        <f>BY180*VLOOKUP('Données projet'!$B$12,Paramètres!$A$1:$I$89,3,0)*VLOOKUP('Données projet'!$B$12,Paramètres!$A$1:$I$89,5,0)</f>
        <v>-9.5769792096689348E-14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258.28817640749349</v>
      </c>
      <c r="CE180" s="59">
        <f t="shared" si="148"/>
        <v>158.16416492761954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31.193866911379668</v>
      </c>
      <c r="CL180" s="21">
        <f>EXP(-LN(2)/25)*CL179+(1-EXP(-LN(2)/25))/(LN(2)/25)*Calculateur!CG180*Calculateur!CI180*VLOOKUP('Données projet'!$B$12,Paramètres!$A$1:$I$89,3,0)*0.475*44/12</f>
        <v>14.997991302340383</v>
      </c>
      <c r="CM180" s="21">
        <f>EXP(-LN(2)/2)*CM179+(1-EXP(-LN(2)/2))/(LN(2)/2)*CG180*CJ180*VLOOKUP('Données projet'!$B$12,Paramètres!$A$1:$I$89,3,0)*0.475*44/12</f>
        <v>1.3196269702013222E-18</v>
      </c>
      <c r="CN180" s="22">
        <f t="shared" si="172"/>
        <v>46.191858213720053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1.1368683772161603E-13</v>
      </c>
      <c r="O181" s="13">
        <f>N181*VLOOKUP('Données projet'!$B$9,Paramètres!$A$1:$I$89,3,0)*VLOOKUP('Données projet'!$B$9,Paramètres!$A$1:$I$89,5,0)</f>
        <v>6.7984728957526396E-14</v>
      </c>
      <c r="P181" s="13">
        <f t="shared" si="141"/>
        <v>1.0682447123141398E-12</v>
      </c>
      <c r="Q181" s="20">
        <f t="shared" si="162"/>
        <v>1.978932943548152E-12</v>
      </c>
      <c r="R181" s="59">
        <f t="shared" si="109"/>
        <v>293.3333333333353</v>
      </c>
      <c r="S181" s="59">
        <f ca="1">AVERAGE(OFFSET($R$3,0,0,'Données projet'!$E$9+1,1))-AVERAGE(OFFSET($H$3,0,0,'Données projet'!$E$9+1,1))</f>
        <v>149.5086927376081</v>
      </c>
      <c r="T181" s="59">
        <f t="shared" si="142"/>
        <v>364.59164590134498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3.2150415542975996</v>
      </c>
      <c r="AA181" s="21">
        <f>EXP(-LN(2)/25)*AA180+(1-EXP(-LN(2)/25))/(LN(2)/25)*Calculateur!V181*Calculateur!X181*VLOOKUP('Données projet'!$B$9,Paramètres!$A$1:$I$89,3,0)*0.475*44/12</f>
        <v>0.69452486778723832</v>
      </c>
      <c r="AB181" s="21">
        <f>EXP(-LN(2)/2)*AB180+(1-EXP(-LN(2)/2))/(LN(2)/2)*V181*Y181*VLOOKUP('Données projet'!$B$9,Paramètres!$A$1:$I$89,3,0)*0.475*44/12</f>
        <v>2.8225662883189809E-21</v>
      </c>
      <c r="AC181" s="22">
        <f t="shared" si="163"/>
        <v>3.9095664220848381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0</v>
      </c>
      <c r="AO181" s="59">
        <f t="shared" si="144"/>
        <v>0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-8.5265128291212022E-14</v>
      </c>
      <c r="BE181" s="13">
        <f>BD181*VLOOKUP('Données projet'!$B$11,Paramètres!$A$1:$I$89,3,0)*VLOOKUP('Données projet'!$B$11,Paramètres!$A$1:$I$89,5,0)</f>
        <v>-6.9167072069831198E-14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175.73034516698141</v>
      </c>
      <c r="BJ181" s="59">
        <f t="shared" si="146"/>
        <v>203.59461632821052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9.1846756562381116E-2</v>
      </c>
      <c r="BR181" s="21">
        <f>EXP(-LN(2)/2)*BR180+(1-EXP(-LN(2)/2))/(LN(2)/2)*BL181*BO181*VLOOKUP('Données projet'!$B$11,Paramètres!$A$1:$I$89,3,0)*0.475*44/12</f>
        <v>4.3210096652274745E-22</v>
      </c>
      <c r="BS181" s="22">
        <f t="shared" si="169"/>
        <v>9.1846756562381116E-2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-1.1368683772161603E-13</v>
      </c>
      <c r="BZ181" s="13">
        <f>BY181*VLOOKUP('Données projet'!$B$12,Paramètres!$A$1:$I$89,3,0)*VLOOKUP('Données projet'!$B$12,Paramètres!$A$1:$I$89,5,0)</f>
        <v>-9.5769792096689348E-14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258.28817640749349</v>
      </c>
      <c r="CE181" s="59">
        <f t="shared" si="148"/>
        <v>158.16416492761954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30.582174207627631</v>
      </c>
      <c r="CL181" s="21">
        <f>EXP(-LN(2)/25)*CL180+(1-EXP(-LN(2)/25))/(LN(2)/25)*Calculateur!CG181*Calculateur!CI181*VLOOKUP('Données projet'!$B$12,Paramètres!$A$1:$I$89,3,0)*0.475*44/12</f>
        <v>14.587870441467802</v>
      </c>
      <c r="CM181" s="21">
        <f>EXP(-LN(2)/2)*CM180+(1-EXP(-LN(2)/2))/(LN(2)/2)*CG181*CJ181*VLOOKUP('Données projet'!$B$12,Paramètres!$A$1:$I$89,3,0)*0.475*44/12</f>
        <v>9.3311717926601302E-19</v>
      </c>
      <c r="CN181" s="22">
        <f t="shared" si="172"/>
        <v>45.170044649095431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1.1368683772161603E-13</v>
      </c>
      <c r="O182" s="13">
        <f>N182*VLOOKUP('Données projet'!$B$9,Paramètres!$A$1:$I$89,3,0)*VLOOKUP('Données projet'!$B$9,Paramètres!$A$1:$I$89,5,0)</f>
        <v>6.7984728957526396E-14</v>
      </c>
      <c r="P182" s="13">
        <f t="shared" si="141"/>
        <v>1.0682447123141398E-12</v>
      </c>
      <c r="Q182" s="20">
        <f t="shared" si="162"/>
        <v>1.978932943548152E-12</v>
      </c>
      <c r="R182" s="59">
        <f t="shared" si="109"/>
        <v>293.3333333333353</v>
      </c>
      <c r="S182" s="59">
        <f ca="1">AVERAGE(OFFSET($R$3,0,0,'Données projet'!$E$9+1,1))-AVERAGE(OFFSET($H$3,0,0,'Données projet'!$E$9+1,1))</f>
        <v>149.5086927376081</v>
      </c>
      <c r="T182" s="59">
        <f t="shared" si="142"/>
        <v>364.59164590134498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3.1519965503995411</v>
      </c>
      <c r="AA182" s="21">
        <f>EXP(-LN(2)/25)*AA181+(1-EXP(-LN(2)/25))/(LN(2)/25)*Calculateur!V182*Calculateur!X182*VLOOKUP('Données projet'!$B$9,Paramètres!$A$1:$I$89,3,0)*0.475*44/12</f>
        <v>0.6755330487541209</v>
      </c>
      <c r="AB182" s="21">
        <f>EXP(-LN(2)/2)*AB181+(1-EXP(-LN(2)/2))/(LN(2)/2)*V182*Y182*VLOOKUP('Données projet'!$B$9,Paramètres!$A$1:$I$89,3,0)*0.475*44/12</f>
        <v>1.9958557628188952E-21</v>
      </c>
      <c r="AC182" s="22">
        <f t="shared" si="163"/>
        <v>3.827529599153662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0</v>
      </c>
      <c r="AO182" s="59">
        <f t="shared" si="144"/>
        <v>0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-8.5265128291212022E-14</v>
      </c>
      <c r="BE182" s="13">
        <f>BD182*VLOOKUP('Données projet'!$B$11,Paramètres!$A$1:$I$89,3,0)*VLOOKUP('Données projet'!$B$11,Paramètres!$A$1:$I$89,5,0)</f>
        <v>-6.9167072069831198E-14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175.73034516698141</v>
      </c>
      <c r="BJ182" s="59">
        <f t="shared" si="146"/>
        <v>203.59461632821052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8.9335202174171791E-2</v>
      </c>
      <c r="BR182" s="21">
        <f>EXP(-LN(2)/2)*BR181+(1-EXP(-LN(2)/2))/(LN(2)/2)*BL182*BO182*VLOOKUP('Données projet'!$B$11,Paramètres!$A$1:$I$89,3,0)*0.475*44/12</f>
        <v>3.0554152358549608E-22</v>
      </c>
      <c r="BS182" s="22">
        <f t="shared" si="169"/>
        <v>8.9335202174171791E-2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-1.1368683772161603E-13</v>
      </c>
      <c r="BZ182" s="13">
        <f>BY182*VLOOKUP('Données projet'!$B$12,Paramètres!$A$1:$I$89,3,0)*VLOOKUP('Données projet'!$B$12,Paramètres!$A$1:$I$89,5,0)</f>
        <v>-9.5769792096689348E-14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258.28817640749349</v>
      </c>
      <c r="CE182" s="59">
        <f t="shared" si="148"/>
        <v>158.16416492761954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29.982476424700462</v>
      </c>
      <c r="CL182" s="21">
        <f>EXP(-LN(2)/25)*CL181+(1-EXP(-LN(2)/25))/(LN(2)/25)*Calculateur!CG182*Calculateur!CI182*VLOOKUP('Données projet'!$B$12,Paramètres!$A$1:$I$89,3,0)*0.475*44/12</f>
        <v>14.188964357103099</v>
      </c>
      <c r="CM182" s="21">
        <f>EXP(-LN(2)/2)*CM181+(1-EXP(-LN(2)/2))/(LN(2)/2)*CG182*CJ182*VLOOKUP('Données projet'!$B$12,Paramètres!$A$1:$I$89,3,0)*0.475*44/12</f>
        <v>6.5981348510066111E-19</v>
      </c>
      <c r="CN182" s="22">
        <f t="shared" si="172"/>
        <v>44.171440781803561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1.1368683772161603E-13</v>
      </c>
      <c r="O183" s="13">
        <f>N183*VLOOKUP('Données projet'!$B$9,Paramètres!$A$1:$I$89,3,0)*VLOOKUP('Données projet'!$B$9,Paramètres!$A$1:$I$89,5,0)</f>
        <v>6.7984728957526396E-14</v>
      </c>
      <c r="P183" s="13">
        <f t="shared" si="141"/>
        <v>1.0682447123141398E-12</v>
      </c>
      <c r="Q183" s="20">
        <f t="shared" si="162"/>
        <v>1.978932943548152E-12</v>
      </c>
      <c r="R183" s="59">
        <f t="shared" si="109"/>
        <v>293.3333333333353</v>
      </c>
      <c r="S183" s="59">
        <f ca="1">AVERAGE(OFFSET($R$3,0,0,'Données projet'!$E$9+1,1))-AVERAGE(OFFSET($H$3,0,0,'Données projet'!$E$9+1,1))</f>
        <v>149.5086927376081</v>
      </c>
      <c r="T183" s="59">
        <f t="shared" si="142"/>
        <v>364.59164590134498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3.0901878205742679</v>
      </c>
      <c r="AA183" s="21">
        <f>EXP(-LN(2)/25)*AA182+(1-EXP(-LN(2)/25))/(LN(2)/25)*Calculateur!V183*Calculateur!X183*VLOOKUP('Données projet'!$B$9,Paramètres!$A$1:$I$89,3,0)*0.475*44/12</f>
        <v>0.65706056201120033</v>
      </c>
      <c r="AB183" s="21">
        <f>EXP(-LN(2)/2)*AB182+(1-EXP(-LN(2)/2))/(LN(2)/2)*V183*Y183*VLOOKUP('Données projet'!$B$9,Paramètres!$A$1:$I$89,3,0)*0.475*44/12</f>
        <v>1.4112831441594905E-21</v>
      </c>
      <c r="AC183" s="22">
        <f t="shared" si="163"/>
        <v>3.7472483825854681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0</v>
      </c>
      <c r="AO183" s="59">
        <f t="shared" si="144"/>
        <v>0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-8.5265128291212022E-14</v>
      </c>
      <c r="BE183" s="13">
        <f>BD183*VLOOKUP('Données projet'!$B$11,Paramètres!$A$1:$I$89,3,0)*VLOOKUP('Données projet'!$B$11,Paramètres!$A$1:$I$89,5,0)</f>
        <v>-6.9167072069831198E-14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175.73034516698141</v>
      </c>
      <c r="BJ183" s="59">
        <f t="shared" si="146"/>
        <v>203.59461632821052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8.6892326372784962E-2</v>
      </c>
      <c r="BR183" s="21">
        <f>EXP(-LN(2)/2)*BR182+(1-EXP(-LN(2)/2))/(LN(2)/2)*BL183*BO183*VLOOKUP('Données projet'!$B$11,Paramètres!$A$1:$I$89,3,0)*0.475*44/12</f>
        <v>2.1605048326137373E-22</v>
      </c>
      <c r="BS183" s="22">
        <f t="shared" si="169"/>
        <v>8.6892326372784962E-2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-1.1368683772161603E-13</v>
      </c>
      <c r="BZ183" s="13">
        <f>BY183*VLOOKUP('Données projet'!$B$12,Paramètres!$A$1:$I$89,3,0)*VLOOKUP('Données projet'!$B$12,Paramètres!$A$1:$I$89,5,0)</f>
        <v>-9.5769792096689348E-14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258.28817640749349</v>
      </c>
      <c r="CE183" s="59">
        <f t="shared" si="148"/>
        <v>158.16416492761954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29.394538349516964</v>
      </c>
      <c r="CL183" s="21">
        <f>EXP(-LN(2)/25)*CL182+(1-EXP(-LN(2)/25))/(LN(2)/25)*Calculateur!CG183*Calculateur!CI183*VLOOKUP('Données projet'!$B$12,Paramètres!$A$1:$I$89,3,0)*0.475*44/12</f>
        <v>13.800966380592909</v>
      </c>
      <c r="CM183" s="21">
        <f>EXP(-LN(2)/2)*CM182+(1-EXP(-LN(2)/2))/(LN(2)/2)*CG183*CJ183*VLOOKUP('Données projet'!$B$12,Paramètres!$A$1:$I$89,3,0)*0.475*44/12</f>
        <v>4.6655858963300651E-19</v>
      </c>
      <c r="CN183" s="22">
        <f t="shared" si="172"/>
        <v>43.195504730109874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1.1368683772161603E-13</v>
      </c>
      <c r="O184" s="13">
        <f>N184*VLOOKUP('Données projet'!$B$9,Paramètres!$A$1:$I$89,3,0)*VLOOKUP('Données projet'!$B$9,Paramètres!$A$1:$I$89,5,0)</f>
        <v>6.7984728957526396E-14</v>
      </c>
      <c r="P184" s="13">
        <f t="shared" si="141"/>
        <v>1.0682447123141398E-12</v>
      </c>
      <c r="Q184" s="20">
        <f t="shared" si="162"/>
        <v>1.978932943548152E-12</v>
      </c>
      <c r="R184" s="59">
        <f t="shared" si="109"/>
        <v>293.3333333333353</v>
      </c>
      <c r="S184" s="59">
        <f ca="1">AVERAGE(OFFSET($R$3,0,0,'Données projet'!$E$9+1,1))-AVERAGE(OFFSET($H$3,0,0,'Données projet'!$E$9+1,1))</f>
        <v>149.5086927376081</v>
      </c>
      <c r="T184" s="59">
        <f t="shared" si="142"/>
        <v>364.59164590134498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3.0295911222412655</v>
      </c>
      <c r="AA184" s="21">
        <f>EXP(-LN(2)/25)*AA183+(1-EXP(-LN(2)/25))/(LN(2)/25)*Calculateur!V184*Calculateur!X184*VLOOKUP('Données projet'!$B$9,Paramètres!$A$1:$I$89,3,0)*0.475*44/12</f>
        <v>0.6390932063896908</v>
      </c>
      <c r="AB184" s="21">
        <f>EXP(-LN(2)/2)*AB183+(1-EXP(-LN(2)/2))/(LN(2)/2)*V184*Y184*VLOOKUP('Données projet'!$B$9,Paramètres!$A$1:$I$89,3,0)*0.475*44/12</f>
        <v>9.9792788140944761E-22</v>
      </c>
      <c r="AC184" s="22">
        <f t="shared" si="163"/>
        <v>3.6686843286309561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0</v>
      </c>
      <c r="AO184" s="59">
        <f t="shared" si="144"/>
        <v>0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-8.5265128291212022E-14</v>
      </c>
      <c r="BE184" s="13">
        <f>BD184*VLOOKUP('Données projet'!$B$11,Paramètres!$A$1:$I$89,3,0)*VLOOKUP('Données projet'!$B$11,Paramètres!$A$1:$I$89,5,0)</f>
        <v>-6.9167072069831198E-14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175.73034516698141</v>
      </c>
      <c r="BJ184" s="59">
        <f t="shared" si="146"/>
        <v>203.59461632821052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8.4516251138652312E-2</v>
      </c>
      <c r="BR184" s="21">
        <f>EXP(-LN(2)/2)*BR183+(1-EXP(-LN(2)/2))/(LN(2)/2)*BL184*BO184*VLOOKUP('Données projet'!$B$11,Paramètres!$A$1:$I$89,3,0)*0.475*44/12</f>
        <v>1.5277076179274804E-22</v>
      </c>
      <c r="BS184" s="22">
        <f t="shared" si="169"/>
        <v>8.4516251138652312E-2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-1.1368683772161603E-13</v>
      </c>
      <c r="BZ184" s="13">
        <f>BY184*VLOOKUP('Données projet'!$B$12,Paramètres!$A$1:$I$89,3,0)*VLOOKUP('Données projet'!$B$12,Paramètres!$A$1:$I$89,5,0)</f>
        <v>-9.5769792096689348E-14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258.28817640749349</v>
      </c>
      <c r="CE184" s="59">
        <f t="shared" si="148"/>
        <v>158.16416492761954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28.818129381380999</v>
      </c>
      <c r="CL184" s="21">
        <f>EXP(-LN(2)/25)*CL183+(1-EXP(-LN(2)/25))/(LN(2)/25)*Calculateur!CG184*Calculateur!CI184*VLOOKUP('Données projet'!$B$12,Paramètres!$A$1:$I$89,3,0)*0.475*44/12</f>
        <v>13.423578229154316</v>
      </c>
      <c r="CM184" s="21">
        <f>EXP(-LN(2)/2)*CM183+(1-EXP(-LN(2)/2))/(LN(2)/2)*CG184*CJ184*VLOOKUP('Données projet'!$B$12,Paramètres!$A$1:$I$89,3,0)*0.475*44/12</f>
        <v>3.2990674255033056E-19</v>
      </c>
      <c r="CN184" s="22">
        <f t="shared" si="172"/>
        <v>42.241707610535315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1.1368683772161603E-13</v>
      </c>
      <c r="O185" s="13">
        <f>N185*VLOOKUP('Données projet'!$B$9,Paramètres!$A$1:$I$89,3,0)*VLOOKUP('Données projet'!$B$9,Paramètres!$A$1:$I$89,5,0)</f>
        <v>6.7984728957526396E-14</v>
      </c>
      <c r="P185" s="13">
        <f t="shared" si="141"/>
        <v>1.0682447123141398E-12</v>
      </c>
      <c r="Q185" s="20">
        <f t="shared" si="162"/>
        <v>1.978932943548152E-12</v>
      </c>
      <c r="R185" s="59">
        <f t="shared" si="109"/>
        <v>293.3333333333353</v>
      </c>
      <c r="S185" s="59">
        <f ca="1">AVERAGE(OFFSET($R$3,0,0,'Données projet'!$E$9+1,1))-AVERAGE(OFFSET($H$3,0,0,'Données projet'!$E$9+1,1))</f>
        <v>149.5086927376081</v>
      </c>
      <c r="T185" s="59">
        <f t="shared" si="142"/>
        <v>364.59164590134498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2.9701826882022369</v>
      </c>
      <c r="AA185" s="21">
        <f>EXP(-LN(2)/25)*AA184+(1-EXP(-LN(2)/25))/(LN(2)/25)*Calculateur!V185*Calculateur!X185*VLOOKUP('Données projet'!$B$9,Paramètres!$A$1:$I$89,3,0)*0.475*44/12</f>
        <v>0.62161716905251363</v>
      </c>
      <c r="AB185" s="21">
        <f>EXP(-LN(2)/2)*AB184+(1-EXP(-LN(2)/2))/(LN(2)/2)*V185*Y185*VLOOKUP('Données projet'!$B$9,Paramètres!$A$1:$I$89,3,0)*0.475*44/12</f>
        <v>7.0564157207974523E-22</v>
      </c>
      <c r="AC185" s="22">
        <f t="shared" si="163"/>
        <v>3.5917998572547507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0</v>
      </c>
      <c r="AO185" s="59">
        <f t="shared" si="144"/>
        <v>0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-8.5265128291212022E-14</v>
      </c>
      <c r="BE185" s="13">
        <f>BD185*VLOOKUP('Données projet'!$B$11,Paramètres!$A$1:$I$89,3,0)*VLOOKUP('Données projet'!$B$11,Paramètres!$A$1:$I$89,5,0)</f>
        <v>-6.9167072069831198E-14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175.73034516698141</v>
      </c>
      <c r="BJ185" s="59">
        <f t="shared" si="146"/>
        <v>203.59461632821052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8.2205149806749381E-2</v>
      </c>
      <c r="BR185" s="21">
        <f>EXP(-LN(2)/2)*BR184+(1-EXP(-LN(2)/2))/(LN(2)/2)*BL185*BO185*VLOOKUP('Données projet'!$B$11,Paramètres!$A$1:$I$89,3,0)*0.475*44/12</f>
        <v>1.0802524163068686E-22</v>
      </c>
      <c r="BS185" s="22">
        <f t="shared" si="169"/>
        <v>8.2205149806749381E-2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-1.1368683772161603E-13</v>
      </c>
      <c r="BZ185" s="13">
        <f>BY185*VLOOKUP('Données projet'!$B$12,Paramètres!$A$1:$I$89,3,0)*VLOOKUP('Données projet'!$B$12,Paramètres!$A$1:$I$89,5,0)</f>
        <v>-9.5769792096689348E-14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258.28817640749349</v>
      </c>
      <c r="CE185" s="59">
        <f t="shared" si="148"/>
        <v>158.16416492761954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28.253023441535422</v>
      </c>
      <c r="CL185" s="21">
        <f>EXP(-LN(2)/25)*CL184+(1-EXP(-LN(2)/25))/(LN(2)/25)*Calculateur!CG185*Calculateur!CI185*VLOOKUP('Données projet'!$B$12,Paramètres!$A$1:$I$89,3,0)*0.475*44/12</f>
        <v>13.056509776562793</v>
      </c>
      <c r="CM185" s="21">
        <f>EXP(-LN(2)/2)*CM184+(1-EXP(-LN(2)/2))/(LN(2)/2)*CG185*CJ185*VLOOKUP('Données projet'!$B$12,Paramètres!$A$1:$I$89,3,0)*0.475*44/12</f>
        <v>2.3327929481650326E-19</v>
      </c>
      <c r="CN185" s="22">
        <f t="shared" si="172"/>
        <v>41.309533218098217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1.1368683772161603E-13</v>
      </c>
      <c r="O186" s="13">
        <f>N186*VLOOKUP('Données projet'!$B$9,Paramètres!$A$1:$I$89,3,0)*VLOOKUP('Données projet'!$B$9,Paramètres!$A$1:$I$89,5,0)</f>
        <v>6.7984728957526396E-14</v>
      </c>
      <c r="P186" s="13">
        <f t="shared" si="141"/>
        <v>1.0682447123141398E-12</v>
      </c>
      <c r="Q186" s="20">
        <f t="shared" si="162"/>
        <v>1.978932943548152E-12</v>
      </c>
      <c r="R186" s="59">
        <f t="shared" si="109"/>
        <v>293.3333333333353</v>
      </c>
      <c r="S186" s="59">
        <f ca="1">AVERAGE(OFFSET($R$3,0,0,'Données projet'!$E$9+1,1))-AVERAGE(OFFSET($H$3,0,0,'Données projet'!$E$9+1,1))</f>
        <v>149.5086927376081</v>
      </c>
      <c r="T186" s="59">
        <f t="shared" si="142"/>
        <v>364.59164590134498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2.911939217319147</v>
      </c>
      <c r="AA186" s="21">
        <f>EXP(-LN(2)/25)*AA185+(1-EXP(-LN(2)/25))/(LN(2)/25)*Calculateur!V186*Calculateur!X186*VLOOKUP('Données projet'!$B$9,Paramètres!$A$1:$I$89,3,0)*0.475*44/12</f>
        <v>0.60461901487534642</v>
      </c>
      <c r="AB186" s="21">
        <f>EXP(-LN(2)/2)*AB185+(1-EXP(-LN(2)/2))/(LN(2)/2)*V186*Y186*VLOOKUP('Données projet'!$B$9,Paramètres!$A$1:$I$89,3,0)*0.475*44/12</f>
        <v>4.989639407047238E-22</v>
      </c>
      <c r="AC186" s="22">
        <f t="shared" si="163"/>
        <v>3.5165582321944933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0</v>
      </c>
      <c r="AO186" s="59">
        <f t="shared" si="144"/>
        <v>0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-8.5265128291212022E-14</v>
      </c>
      <c r="BE186" s="13">
        <f>BD186*VLOOKUP('Données projet'!$B$11,Paramètres!$A$1:$I$89,3,0)*VLOOKUP('Données projet'!$B$11,Paramètres!$A$1:$I$89,5,0)</f>
        <v>-6.9167072069831198E-14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175.73034516698141</v>
      </c>
      <c r="BJ186" s="59">
        <f t="shared" si="146"/>
        <v>203.59461632821052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7.9957245662302875E-2</v>
      </c>
      <c r="BR186" s="21">
        <f>EXP(-LN(2)/2)*BR185+(1-EXP(-LN(2)/2))/(LN(2)/2)*BL186*BO186*VLOOKUP('Données projet'!$B$11,Paramètres!$A$1:$I$89,3,0)*0.475*44/12</f>
        <v>7.6385380896374021E-23</v>
      </c>
      <c r="BS186" s="22">
        <f t="shared" si="169"/>
        <v>7.9957245662302875E-2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-1.1368683772161603E-13</v>
      </c>
      <c r="BZ186" s="13">
        <f>BY186*VLOOKUP('Données projet'!$B$12,Paramètres!$A$1:$I$89,3,0)*VLOOKUP('Données projet'!$B$12,Paramètres!$A$1:$I$89,5,0)</f>
        <v>-9.5769792096689348E-14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258.28817640749349</v>
      </c>
      <c r="CE186" s="59">
        <f t="shared" si="148"/>
        <v>158.16416492761954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27.69899888448963</v>
      </c>
      <c r="CL186" s="21">
        <f>EXP(-LN(2)/25)*CL185+(1-EXP(-LN(2)/25))/(LN(2)/25)*Calculateur!CG186*Calculateur!CI186*VLOOKUP('Données projet'!$B$12,Paramètres!$A$1:$I$89,3,0)*0.475*44/12</f>
        <v>12.699478830110674</v>
      </c>
      <c r="CM186" s="21">
        <f>EXP(-LN(2)/2)*CM185+(1-EXP(-LN(2)/2))/(LN(2)/2)*CG186*CJ186*VLOOKUP('Données projet'!$B$12,Paramètres!$A$1:$I$89,3,0)*0.475*44/12</f>
        <v>1.6495337127516528E-19</v>
      </c>
      <c r="CN186" s="22">
        <f t="shared" si="172"/>
        <v>40.398477714600304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1.1368683772161603E-13</v>
      </c>
      <c r="O187" s="13">
        <f>N187*VLOOKUP('Données projet'!$B$9,Paramètres!$A$1:$I$89,3,0)*VLOOKUP('Données projet'!$B$9,Paramètres!$A$1:$I$89,5,0)</f>
        <v>6.7984728957526396E-14</v>
      </c>
      <c r="P187" s="13">
        <f t="shared" si="141"/>
        <v>1.0682447123141398E-12</v>
      </c>
      <c r="Q187" s="20">
        <f t="shared" si="162"/>
        <v>1.978932943548152E-12</v>
      </c>
      <c r="R187" s="59">
        <f t="shared" si="109"/>
        <v>293.3333333333353</v>
      </c>
      <c r="S187" s="59">
        <f ca="1">AVERAGE(OFFSET($R$3,0,0,'Données projet'!$E$9+1,1))-AVERAGE(OFFSET($H$3,0,0,'Données projet'!$E$9+1,1))</f>
        <v>149.5086927376081</v>
      </c>
      <c r="T187" s="59">
        <f t="shared" si="142"/>
        <v>364.59164590134498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2.8548378653750648</v>
      </c>
      <c r="AA187" s="21">
        <f>EXP(-LN(2)/25)*AA186+(1-EXP(-LN(2)/25))/(LN(2)/25)*Calculateur!V187*Calculateur!X187*VLOOKUP('Données projet'!$B$9,Paramètres!$A$1:$I$89,3,0)*0.475*44/12</f>
        <v>0.58808567611804796</v>
      </c>
      <c r="AB187" s="21">
        <f>EXP(-LN(2)/2)*AB186+(1-EXP(-LN(2)/2))/(LN(2)/2)*V187*Y187*VLOOKUP('Données projet'!$B$9,Paramètres!$A$1:$I$89,3,0)*0.475*44/12</f>
        <v>3.5282078603987261E-22</v>
      </c>
      <c r="AC187" s="22">
        <f t="shared" si="163"/>
        <v>3.442923541493113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0</v>
      </c>
      <c r="AO187" s="59">
        <f t="shared" si="144"/>
        <v>0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-8.5265128291212022E-14</v>
      </c>
      <c r="BE187" s="13">
        <f>BD187*VLOOKUP('Données projet'!$B$11,Paramètres!$A$1:$I$89,3,0)*VLOOKUP('Données projet'!$B$11,Paramètres!$A$1:$I$89,5,0)</f>
        <v>-6.9167072069831198E-14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175.73034516698141</v>
      </c>
      <c r="BJ187" s="59">
        <f t="shared" si="146"/>
        <v>203.59461632821052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7.7770810574898402E-2</v>
      </c>
      <c r="BR187" s="21">
        <f>EXP(-LN(2)/2)*BR186+(1-EXP(-LN(2)/2))/(LN(2)/2)*BL187*BO187*VLOOKUP('Données projet'!$B$11,Paramètres!$A$1:$I$89,3,0)*0.475*44/12</f>
        <v>5.4012620815343432E-23</v>
      </c>
      <c r="BS187" s="22">
        <f t="shared" si="169"/>
        <v>7.7770810574898402E-2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-1.1368683772161603E-13</v>
      </c>
      <c r="BZ187" s="13">
        <f>BY187*VLOOKUP('Données projet'!$B$12,Paramètres!$A$1:$I$89,3,0)*VLOOKUP('Données projet'!$B$12,Paramètres!$A$1:$I$89,5,0)</f>
        <v>-9.5769792096689348E-14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258.28817640749349</v>
      </c>
      <c r="CE187" s="59">
        <f t="shared" si="148"/>
        <v>158.16416492761954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27.155838411085892</v>
      </c>
      <c r="CL187" s="21">
        <f>EXP(-LN(2)/25)*CL186+(1-EXP(-LN(2)/25))/(LN(2)/25)*Calculateur!CG187*Calculateur!CI187*VLOOKUP('Données projet'!$B$12,Paramètres!$A$1:$I$89,3,0)*0.475*44/12</f>
        <v>12.352210913664731</v>
      </c>
      <c r="CM187" s="21">
        <f>EXP(-LN(2)/2)*CM186+(1-EXP(-LN(2)/2))/(LN(2)/2)*CG187*CJ187*VLOOKUP('Données projet'!$B$12,Paramètres!$A$1:$I$89,3,0)*0.475*44/12</f>
        <v>1.1663964740825163E-19</v>
      </c>
      <c r="CN187" s="22">
        <f t="shared" si="172"/>
        <v>39.508049324750623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1.1368683772161603E-13</v>
      </c>
      <c r="O188" s="13">
        <f>N188*VLOOKUP('Données projet'!$B$9,Paramètres!$A$1:$I$89,3,0)*VLOOKUP('Données projet'!$B$9,Paramètres!$A$1:$I$89,5,0)</f>
        <v>6.7984728957526396E-14</v>
      </c>
      <c r="P188" s="13">
        <f t="shared" si="141"/>
        <v>1.0682447123141398E-12</v>
      </c>
      <c r="Q188" s="20">
        <f t="shared" si="162"/>
        <v>1.978932943548152E-12</v>
      </c>
      <c r="R188" s="59">
        <f t="shared" si="109"/>
        <v>293.3333333333353</v>
      </c>
      <c r="S188" s="59">
        <f ca="1">AVERAGE(OFFSET($R$3,0,0,'Données projet'!$E$9+1,1))-AVERAGE(OFFSET($H$3,0,0,'Données projet'!$E$9+1,1))</f>
        <v>149.5086927376081</v>
      </c>
      <c r="T188" s="59">
        <f t="shared" si="142"/>
        <v>364.59164590134498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2.7988562361142204</v>
      </c>
      <c r="AA188" s="21">
        <f>EXP(-LN(2)/25)*AA187+(1-EXP(-LN(2)/25))/(LN(2)/25)*Calculateur!V188*Calculateur!X188*VLOOKUP('Données projet'!$B$9,Paramètres!$A$1:$I$89,3,0)*0.475*44/12</f>
        <v>0.57200444237851833</v>
      </c>
      <c r="AB188" s="21">
        <f>EXP(-LN(2)/2)*AB187+(1-EXP(-LN(2)/2))/(LN(2)/2)*V188*Y188*VLOOKUP('Données projet'!$B$9,Paramètres!$A$1:$I$89,3,0)*0.475*44/12</f>
        <v>2.494819703523619E-22</v>
      </c>
      <c r="AC188" s="22">
        <f t="shared" si="163"/>
        <v>3.3708606784927388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0</v>
      </c>
      <c r="AO188" s="59">
        <f t="shared" si="144"/>
        <v>0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-8.5265128291212022E-14</v>
      </c>
      <c r="BE188" s="13">
        <f>BD188*VLOOKUP('Données projet'!$B$11,Paramètres!$A$1:$I$89,3,0)*VLOOKUP('Données projet'!$B$11,Paramètres!$A$1:$I$89,5,0)</f>
        <v>-6.9167072069831198E-14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175.73034516698141</v>
      </c>
      <c r="BJ188" s="59">
        <f t="shared" si="146"/>
        <v>203.59461632821052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7.5644163669938619E-2</v>
      </c>
      <c r="BR188" s="21">
        <f>EXP(-LN(2)/2)*BR187+(1-EXP(-LN(2)/2))/(LN(2)/2)*BL188*BO188*VLOOKUP('Données projet'!$B$11,Paramètres!$A$1:$I$89,3,0)*0.475*44/12</f>
        <v>3.819269044818701E-23</v>
      </c>
      <c r="BS188" s="22">
        <f t="shared" si="169"/>
        <v>7.5644163669938619E-2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-1.1368683772161603E-13</v>
      </c>
      <c r="BZ188" s="13">
        <f>BY188*VLOOKUP('Données projet'!$B$12,Paramètres!$A$1:$I$89,3,0)*VLOOKUP('Données projet'!$B$12,Paramètres!$A$1:$I$89,5,0)</f>
        <v>-9.5769792096689348E-14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258.28817640749349</v>
      </c>
      <c r="CE188" s="59">
        <f t="shared" si="148"/>
        <v>158.16416492761954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26.623328983270426</v>
      </c>
      <c r="CL188" s="21">
        <f>EXP(-LN(2)/25)*CL187+(1-EXP(-LN(2)/25))/(LN(2)/25)*Calculateur!CG188*Calculateur!CI188*VLOOKUP('Données projet'!$B$12,Paramètres!$A$1:$I$89,3,0)*0.475*44/12</f>
        <v>12.014439056656029</v>
      </c>
      <c r="CM188" s="21">
        <f>EXP(-LN(2)/2)*CM187+(1-EXP(-LN(2)/2))/(LN(2)/2)*CG188*CJ188*VLOOKUP('Données projet'!$B$12,Paramètres!$A$1:$I$89,3,0)*0.475*44/12</f>
        <v>8.2476685637582639E-20</v>
      </c>
      <c r="CN188" s="22">
        <f t="shared" si="172"/>
        <v>38.637768039926456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1.1368683772161603E-13</v>
      </c>
      <c r="O189" s="13">
        <f>N189*VLOOKUP('Données projet'!$B$9,Paramètres!$A$1:$I$89,3,0)*VLOOKUP('Données projet'!$B$9,Paramètres!$A$1:$I$89,5,0)</f>
        <v>6.7984728957526396E-14</v>
      </c>
      <c r="P189" s="13">
        <f t="shared" si="141"/>
        <v>1.0682447123141398E-12</v>
      </c>
      <c r="Q189" s="20">
        <f t="shared" si="162"/>
        <v>1.978932943548152E-12</v>
      </c>
      <c r="R189" s="59">
        <f t="shared" si="109"/>
        <v>293.3333333333353</v>
      </c>
      <c r="S189" s="59">
        <f ca="1">AVERAGE(OFFSET($R$3,0,0,'Données projet'!$E$9+1,1))-AVERAGE(OFFSET($H$3,0,0,'Données projet'!$E$9+1,1))</f>
        <v>149.5086927376081</v>
      </c>
      <c r="T189" s="59">
        <f t="shared" si="142"/>
        <v>364.59164590134498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2.7439723724577592</v>
      </c>
      <c r="AA189" s="21">
        <f>EXP(-LN(2)/25)*AA188+(1-EXP(-LN(2)/25))/(LN(2)/25)*Calculateur!V189*Calculateur!X189*VLOOKUP('Données projet'!$B$9,Paramètres!$A$1:$I$89,3,0)*0.475*44/12</f>
        <v>0.55636295082127141</v>
      </c>
      <c r="AB189" s="21">
        <f>EXP(-LN(2)/2)*AB188+(1-EXP(-LN(2)/2))/(LN(2)/2)*V189*Y189*VLOOKUP('Données projet'!$B$9,Paramètres!$A$1:$I$89,3,0)*0.475*44/12</f>
        <v>1.7641039301993631E-22</v>
      </c>
      <c r="AC189" s="22">
        <f t="shared" si="163"/>
        <v>3.3003353232790307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0</v>
      </c>
      <c r="AO189" s="59">
        <f t="shared" si="144"/>
        <v>0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-8.5265128291212022E-14</v>
      </c>
      <c r="BE189" s="13">
        <f>BD189*VLOOKUP('Données projet'!$B$11,Paramètres!$A$1:$I$89,3,0)*VLOOKUP('Données projet'!$B$11,Paramètres!$A$1:$I$89,5,0)</f>
        <v>-6.9167072069831198E-14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175.73034516698141</v>
      </c>
      <c r="BJ189" s="59">
        <f t="shared" si="146"/>
        <v>203.59461632821052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7.3575670036430466E-2</v>
      </c>
      <c r="BR189" s="21">
        <f>EXP(-LN(2)/2)*BR188+(1-EXP(-LN(2)/2))/(LN(2)/2)*BL189*BO189*VLOOKUP('Données projet'!$B$11,Paramètres!$A$1:$I$89,3,0)*0.475*44/12</f>
        <v>2.7006310407671716E-23</v>
      </c>
      <c r="BS189" s="22">
        <f t="shared" si="169"/>
        <v>7.3575670036430466E-2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-1.1368683772161603E-13</v>
      </c>
      <c r="BZ189" s="13">
        <f>BY189*VLOOKUP('Données projet'!$B$12,Paramètres!$A$1:$I$89,3,0)*VLOOKUP('Données projet'!$B$12,Paramètres!$A$1:$I$89,5,0)</f>
        <v>-9.5769792096689348E-14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258.28817640749349</v>
      </c>
      <c r="CE189" s="59">
        <f t="shared" si="148"/>
        <v>158.16416492761954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26.10126174053574</v>
      </c>
      <c r="CL189" s="21">
        <f>EXP(-LN(2)/25)*CL188+(1-EXP(-LN(2)/25))/(LN(2)/25)*Calculateur!CG189*Calculateur!CI189*VLOOKUP('Données projet'!$B$12,Paramètres!$A$1:$I$89,3,0)*0.475*44/12</f>
        <v>11.68590358883988</v>
      </c>
      <c r="CM189" s="21">
        <f>EXP(-LN(2)/2)*CM188+(1-EXP(-LN(2)/2))/(LN(2)/2)*CG189*CJ189*VLOOKUP('Données projet'!$B$12,Paramètres!$A$1:$I$89,3,0)*0.475*44/12</f>
        <v>5.8319823704125814E-20</v>
      </c>
      <c r="CN189" s="22">
        <f t="shared" si="172"/>
        <v>37.787165329375618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1.1368683772161603E-13</v>
      </c>
      <c r="O190" s="13">
        <f>N190*VLOOKUP('Données projet'!$B$9,Paramètres!$A$1:$I$89,3,0)*VLOOKUP('Données projet'!$B$9,Paramètres!$A$1:$I$89,5,0)</f>
        <v>6.7984728957526396E-14</v>
      </c>
      <c r="P190" s="13">
        <f t="shared" si="141"/>
        <v>1.0682447123141398E-12</v>
      </c>
      <c r="Q190" s="20">
        <f t="shared" si="162"/>
        <v>1.978932943548152E-12</v>
      </c>
      <c r="R190" s="59">
        <f t="shared" si="109"/>
        <v>293.3333333333353</v>
      </c>
      <c r="S190" s="59">
        <f ca="1">AVERAGE(OFFSET($R$3,0,0,'Données projet'!$E$9+1,1))-AVERAGE(OFFSET($H$3,0,0,'Données projet'!$E$9+1,1))</f>
        <v>149.5086927376081</v>
      </c>
      <c r="T190" s="59">
        <f t="shared" si="142"/>
        <v>364.59164590134498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2.6901647478917496</v>
      </c>
      <c r="AA190" s="21">
        <f>EXP(-LN(2)/25)*AA189+(1-EXP(-LN(2)/25))/(LN(2)/25)*Calculateur!V190*Calculateur!X190*VLOOKUP('Données projet'!$B$9,Paramètres!$A$1:$I$89,3,0)*0.475*44/12</f>
        <v>0.54114917667320772</v>
      </c>
      <c r="AB190" s="21">
        <f>EXP(-LN(2)/2)*AB189+(1-EXP(-LN(2)/2))/(LN(2)/2)*V190*Y190*VLOOKUP('Données projet'!$B$9,Paramètres!$A$1:$I$89,3,0)*0.475*44/12</f>
        <v>1.2474098517618095E-22</v>
      </c>
      <c r="AC190" s="22">
        <f t="shared" si="163"/>
        <v>3.2313139245649571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0</v>
      </c>
      <c r="AO190" s="59">
        <f t="shared" si="144"/>
        <v>0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-8.5265128291212022E-14</v>
      </c>
      <c r="BE190" s="13">
        <f>BD190*VLOOKUP('Données projet'!$B$11,Paramètres!$A$1:$I$89,3,0)*VLOOKUP('Données projet'!$B$11,Paramètres!$A$1:$I$89,5,0)</f>
        <v>-6.9167072069831198E-14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175.73034516698141</v>
      </c>
      <c r="BJ190" s="59">
        <f t="shared" si="146"/>
        <v>203.59461632821052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7.156373947010794E-2</v>
      </c>
      <c r="BR190" s="21">
        <f>EXP(-LN(2)/2)*BR189+(1-EXP(-LN(2)/2))/(LN(2)/2)*BL190*BO190*VLOOKUP('Données projet'!$B$11,Paramètres!$A$1:$I$89,3,0)*0.475*44/12</f>
        <v>1.9096345224093505E-23</v>
      </c>
      <c r="BS190" s="22">
        <f t="shared" si="169"/>
        <v>7.156373947010794E-2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-1.1368683772161603E-13</v>
      </c>
      <c r="BZ190" s="13">
        <f>BY190*VLOOKUP('Données projet'!$B$12,Paramètres!$A$1:$I$89,3,0)*VLOOKUP('Données projet'!$B$12,Paramètres!$A$1:$I$89,5,0)</f>
        <v>-9.5769792096689348E-14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258.28817640749349</v>
      </c>
      <c r="CE190" s="59">
        <f t="shared" si="148"/>
        <v>158.16416492761954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25.589431918001509</v>
      </c>
      <c r="CL190" s="21">
        <f>EXP(-LN(2)/25)*CL189+(1-EXP(-LN(2)/25))/(LN(2)/25)*Calculateur!CG190*Calculateur!CI190*VLOOKUP('Données projet'!$B$12,Paramètres!$A$1:$I$89,3,0)*0.475*44/12</f>
        <v>11.366351940668093</v>
      </c>
      <c r="CM190" s="21">
        <f>EXP(-LN(2)/2)*CM189+(1-EXP(-LN(2)/2))/(LN(2)/2)*CG190*CJ190*VLOOKUP('Données projet'!$B$12,Paramètres!$A$1:$I$89,3,0)*0.475*44/12</f>
        <v>4.123834281879132E-20</v>
      </c>
      <c r="CN190" s="22">
        <f t="shared" si="172"/>
        <v>36.955783858669605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1.1368683772161603E-13</v>
      </c>
      <c r="O191" s="13">
        <f>N191*VLOOKUP('Données projet'!$B$9,Paramètres!$A$1:$I$89,3,0)*VLOOKUP('Données projet'!$B$9,Paramètres!$A$1:$I$89,5,0)</f>
        <v>6.7984728957526396E-14</v>
      </c>
      <c r="P191" s="13">
        <f t="shared" si="141"/>
        <v>1.0682447123141398E-12</v>
      </c>
      <c r="Q191" s="20">
        <f t="shared" si="162"/>
        <v>1.978932943548152E-12</v>
      </c>
      <c r="R191" s="59">
        <f t="shared" si="109"/>
        <v>293.3333333333353</v>
      </c>
      <c r="S191" s="59">
        <f ca="1">AVERAGE(OFFSET($R$3,0,0,'Données projet'!$E$9+1,1))-AVERAGE(OFFSET($H$3,0,0,'Données projet'!$E$9+1,1))</f>
        <v>149.5086927376081</v>
      </c>
      <c r="T191" s="59">
        <f t="shared" si="142"/>
        <v>364.59164590134498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2.6374122580240691</v>
      </c>
      <c r="AA191" s="21">
        <f>EXP(-LN(2)/25)*AA190+(1-EXP(-LN(2)/25))/(LN(2)/25)*Calculateur!V191*Calculateur!X191*VLOOKUP('Données projet'!$B$9,Paramètres!$A$1:$I$89,3,0)*0.475*44/12</f>
        <v>0.52635142397928047</v>
      </c>
      <c r="AB191" s="21">
        <f>EXP(-LN(2)/2)*AB190+(1-EXP(-LN(2)/2))/(LN(2)/2)*V191*Y191*VLOOKUP('Données projet'!$B$9,Paramètres!$A$1:$I$89,3,0)*0.475*44/12</f>
        <v>8.8205196509968153E-23</v>
      </c>
      <c r="AC191" s="22">
        <f t="shared" si="163"/>
        <v>3.1637636820033497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0</v>
      </c>
      <c r="AO191" s="59">
        <f t="shared" si="144"/>
        <v>0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-8.5265128291212022E-14</v>
      </c>
      <c r="BE191" s="13">
        <f>BD191*VLOOKUP('Données projet'!$B$11,Paramètres!$A$1:$I$89,3,0)*VLOOKUP('Données projet'!$B$11,Paramètres!$A$1:$I$89,5,0)</f>
        <v>-6.9167072069831198E-14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175.73034516698141</v>
      </c>
      <c r="BJ191" s="59">
        <f t="shared" si="146"/>
        <v>203.59461632821052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6.9606825250924334E-2</v>
      </c>
      <c r="BR191" s="21">
        <f>EXP(-LN(2)/2)*BR190+(1-EXP(-LN(2)/2))/(LN(2)/2)*BL191*BO191*VLOOKUP('Données projet'!$B$11,Paramètres!$A$1:$I$89,3,0)*0.475*44/12</f>
        <v>1.3503155203835858E-23</v>
      </c>
      <c r="BS191" s="22">
        <f t="shared" si="169"/>
        <v>6.9606825250924334E-2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-1.1368683772161603E-13</v>
      </c>
      <c r="BZ191" s="13">
        <f>BY191*VLOOKUP('Données projet'!$B$12,Paramètres!$A$1:$I$89,3,0)*VLOOKUP('Données projet'!$B$12,Paramètres!$A$1:$I$89,5,0)</f>
        <v>-9.5769792096689348E-14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258.28817640749349</v>
      </c>
      <c r="CE191" s="59">
        <f t="shared" si="148"/>
        <v>158.16416492761954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25.087638766101804</v>
      </c>
      <c r="CL191" s="21">
        <f>EXP(-LN(2)/25)*CL190+(1-EXP(-LN(2)/25))/(LN(2)/25)*Calculateur!CG191*Calculateur!CI191*VLOOKUP('Données projet'!$B$12,Paramètres!$A$1:$I$89,3,0)*0.475*44/12</f>
        <v>11.055538449120053</v>
      </c>
      <c r="CM191" s="21">
        <f>EXP(-LN(2)/2)*CM190+(1-EXP(-LN(2)/2))/(LN(2)/2)*CG191*CJ191*VLOOKUP('Données projet'!$B$12,Paramètres!$A$1:$I$89,3,0)*0.475*44/12</f>
        <v>2.9159911852062907E-20</v>
      </c>
      <c r="CN191" s="22">
        <f t="shared" si="172"/>
        <v>36.143177215221854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1.1368683772161603E-13</v>
      </c>
      <c r="O192" s="13">
        <f>N192*VLOOKUP('Données projet'!$B$9,Paramètres!$A$1:$I$89,3,0)*VLOOKUP('Données projet'!$B$9,Paramètres!$A$1:$I$89,5,0)</f>
        <v>6.7984728957526396E-14</v>
      </c>
      <c r="P192" s="13">
        <f t="shared" si="141"/>
        <v>1.0682447123141398E-12</v>
      </c>
      <c r="Q192" s="20">
        <f t="shared" si="162"/>
        <v>1.978932943548152E-12</v>
      </c>
      <c r="R192" s="59">
        <f t="shared" si="109"/>
        <v>293.3333333333353</v>
      </c>
      <c r="S192" s="59">
        <f ca="1">AVERAGE(OFFSET($R$3,0,0,'Données projet'!$E$9+1,1))-AVERAGE(OFFSET($H$3,0,0,'Données projet'!$E$9+1,1))</f>
        <v>149.5086927376081</v>
      </c>
      <c r="T192" s="59">
        <f t="shared" si="142"/>
        <v>364.59164590134498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2.5856942123068523</v>
      </c>
      <c r="AA192" s="21">
        <f>EXP(-LN(2)/25)*AA191+(1-EXP(-LN(2)/25))/(LN(2)/25)*Calculateur!V192*Calculateur!X192*VLOOKUP('Données projet'!$B$9,Paramètres!$A$1:$I$89,3,0)*0.475*44/12</f>
        <v>0.5119583166109487</v>
      </c>
      <c r="AB192" s="21">
        <f>EXP(-LN(2)/2)*AB191+(1-EXP(-LN(2)/2))/(LN(2)/2)*V192*Y192*VLOOKUP('Données projet'!$B$9,Paramètres!$A$1:$I$89,3,0)*0.475*44/12</f>
        <v>6.2370492588090475E-23</v>
      </c>
      <c r="AC192" s="22">
        <f t="shared" si="163"/>
        <v>3.0976525289178012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0</v>
      </c>
      <c r="AO192" s="59">
        <f t="shared" si="144"/>
        <v>0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-8.5265128291212022E-14</v>
      </c>
      <c r="BE192" s="13">
        <f>BD192*VLOOKUP('Données projet'!$B$11,Paramètres!$A$1:$I$89,3,0)*VLOOKUP('Données projet'!$B$11,Paramètres!$A$1:$I$89,5,0)</f>
        <v>-6.9167072069831198E-14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175.73034516698141</v>
      </c>
      <c r="BJ192" s="59">
        <f t="shared" si="146"/>
        <v>203.59461632821052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6.7703422953973955E-2</v>
      </c>
      <c r="BR192" s="21">
        <f>EXP(-LN(2)/2)*BR191+(1-EXP(-LN(2)/2))/(LN(2)/2)*BL192*BO192*VLOOKUP('Données projet'!$B$11,Paramètres!$A$1:$I$89,3,0)*0.475*44/12</f>
        <v>9.5481726120467526E-24</v>
      </c>
      <c r="BS192" s="22">
        <f t="shared" si="169"/>
        <v>6.7703422953973955E-2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-1.1368683772161603E-13</v>
      </c>
      <c r="BZ192" s="13">
        <f>BY192*VLOOKUP('Données projet'!$B$12,Paramètres!$A$1:$I$89,3,0)*VLOOKUP('Données projet'!$B$12,Paramètres!$A$1:$I$89,5,0)</f>
        <v>-9.5769792096689348E-14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258.28817640749349</v>
      </c>
      <c r="CE192" s="59">
        <f t="shared" si="148"/>
        <v>158.16416492761954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24.595685471847254</v>
      </c>
      <c r="CL192" s="21">
        <f>EXP(-LN(2)/25)*CL191+(1-EXP(-LN(2)/25))/(LN(2)/25)*Calculateur!CG192*Calculateur!CI192*VLOOKUP('Données projet'!$B$12,Paramètres!$A$1:$I$89,3,0)*0.475*44/12</f>
        <v>10.753224168843367</v>
      </c>
      <c r="CM192" s="21">
        <f>EXP(-LN(2)/2)*CM191+(1-EXP(-LN(2)/2))/(LN(2)/2)*CG192*CJ192*VLOOKUP('Données projet'!$B$12,Paramètres!$A$1:$I$89,3,0)*0.475*44/12</f>
        <v>2.061917140939566E-20</v>
      </c>
      <c r="CN192" s="22">
        <f t="shared" si="172"/>
        <v>35.348909640690621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1.1368683772161603E-13</v>
      </c>
      <c r="O193" s="13">
        <f>N193*VLOOKUP('Données projet'!$B$9,Paramètres!$A$1:$I$89,3,0)*VLOOKUP('Données projet'!$B$9,Paramètres!$A$1:$I$89,5,0)</f>
        <v>6.7984728957526396E-14</v>
      </c>
      <c r="P193" s="13">
        <f t="shared" si="141"/>
        <v>1.0682447123141398E-12</v>
      </c>
      <c r="Q193" s="20">
        <f t="shared" si="162"/>
        <v>1.978932943548152E-12</v>
      </c>
      <c r="R193" s="59">
        <f t="shared" si="109"/>
        <v>293.3333333333353</v>
      </c>
      <c r="S193" s="59">
        <f ca="1">AVERAGE(OFFSET($R$3,0,0,'Données projet'!$E$9+1,1))-AVERAGE(OFFSET($H$3,0,0,'Données projet'!$E$9+1,1))</f>
        <v>149.5086927376081</v>
      </c>
      <c r="T193" s="59">
        <f t="shared" si="142"/>
        <v>364.59164590134498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2.5349903259212572</v>
      </c>
      <c r="AA193" s="21">
        <f>EXP(-LN(2)/25)*AA192+(1-EXP(-LN(2)/25))/(LN(2)/25)*Calculateur!V193*Calculateur!X193*VLOOKUP('Données projet'!$B$9,Paramètres!$A$1:$I$89,3,0)*0.475*44/12</f>
        <v>0.49795878952050454</v>
      </c>
      <c r="AB193" s="21">
        <f>EXP(-LN(2)/2)*AB192+(1-EXP(-LN(2)/2))/(LN(2)/2)*V193*Y193*VLOOKUP('Données projet'!$B$9,Paramètres!$A$1:$I$89,3,0)*0.475*44/12</f>
        <v>4.4102598254984077E-23</v>
      </c>
      <c r="AC193" s="22">
        <f t="shared" si="163"/>
        <v>3.0329491154417618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0</v>
      </c>
      <c r="AO193" s="59">
        <f t="shared" si="144"/>
        <v>0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-8.5265128291212022E-14</v>
      </c>
      <c r="BE193" s="13">
        <f>BD193*VLOOKUP('Données projet'!$B$11,Paramètres!$A$1:$I$89,3,0)*VLOOKUP('Données projet'!$B$11,Paramètres!$A$1:$I$89,5,0)</f>
        <v>-6.9167072069831198E-14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175.73034516698141</v>
      </c>
      <c r="BJ193" s="59">
        <f t="shared" si="146"/>
        <v>203.59461632821052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6.5852069292929263E-2</v>
      </c>
      <c r="BR193" s="21">
        <f>EXP(-LN(2)/2)*BR192+(1-EXP(-LN(2)/2))/(LN(2)/2)*BL193*BO193*VLOOKUP('Données projet'!$B$11,Paramètres!$A$1:$I$89,3,0)*0.475*44/12</f>
        <v>6.7515776019179289E-24</v>
      </c>
      <c r="BS193" s="22">
        <f t="shared" si="169"/>
        <v>6.5852069292929263E-2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-1.1368683772161603E-13</v>
      </c>
      <c r="BZ193" s="13">
        <f>BY193*VLOOKUP('Données projet'!$B$12,Paramètres!$A$1:$I$89,3,0)*VLOOKUP('Données projet'!$B$12,Paramètres!$A$1:$I$89,5,0)</f>
        <v>-9.5769792096689348E-14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258.28817640749349</v>
      </c>
      <c r="CE193" s="59">
        <f t="shared" si="148"/>
        <v>158.16416492761954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24.113379081631155</v>
      </c>
      <c r="CL193" s="21">
        <f>EXP(-LN(2)/25)*CL192+(1-EXP(-LN(2)/25))/(LN(2)/25)*Calculateur!CG193*Calculateur!CI193*VLOOKUP('Données projet'!$B$12,Paramètres!$A$1:$I$89,3,0)*0.475*44/12</f>
        <v>10.459176688458863</v>
      </c>
      <c r="CM193" s="21">
        <f>EXP(-LN(2)/2)*CM192+(1-EXP(-LN(2)/2))/(LN(2)/2)*CG193*CJ193*VLOOKUP('Données projet'!$B$12,Paramètres!$A$1:$I$89,3,0)*0.475*44/12</f>
        <v>1.4579955926031453E-20</v>
      </c>
      <c r="CN193" s="22">
        <f t="shared" si="172"/>
        <v>34.57255577009002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1.1368683772161603E-13</v>
      </c>
      <c r="O194" s="13">
        <f>N194*VLOOKUP('Données projet'!$B$9,Paramètres!$A$1:$I$89,3,0)*VLOOKUP('Données projet'!$B$9,Paramètres!$A$1:$I$89,5,0)</f>
        <v>6.7984728957526396E-14</v>
      </c>
      <c r="P194" s="13">
        <f t="shared" si="141"/>
        <v>1.0682447123141398E-12</v>
      </c>
      <c r="Q194" s="20">
        <f t="shared" si="162"/>
        <v>1.978932943548152E-12</v>
      </c>
      <c r="R194" s="59">
        <f t="shared" si="109"/>
        <v>293.3333333333353</v>
      </c>
      <c r="S194" s="59">
        <f ca="1">AVERAGE(OFFSET($R$3,0,0,'Données projet'!$E$9+1,1))-AVERAGE(OFFSET($H$3,0,0,'Données projet'!$E$9+1,1))</f>
        <v>149.5086927376081</v>
      </c>
      <c r="T194" s="59">
        <f t="shared" si="142"/>
        <v>364.59164590134498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2.4852807118213662</v>
      </c>
      <c r="AA194" s="21">
        <f>EXP(-LN(2)/25)*AA193+(1-EXP(-LN(2)/25))/(LN(2)/25)*Calculateur!V194*Calculateur!X194*VLOOKUP('Données projet'!$B$9,Paramètres!$A$1:$I$89,3,0)*0.475*44/12</f>
        <v>0.48434208023455172</v>
      </c>
      <c r="AB194" s="21">
        <f>EXP(-LN(2)/2)*AB193+(1-EXP(-LN(2)/2))/(LN(2)/2)*V194*Y194*VLOOKUP('Données projet'!$B$9,Paramètres!$A$1:$I$89,3,0)*0.475*44/12</f>
        <v>3.1185246294045238E-23</v>
      </c>
      <c r="AC194" s="22">
        <f t="shared" si="163"/>
        <v>2.9696227920559179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0</v>
      </c>
      <c r="AO194" s="59">
        <f t="shared" si="144"/>
        <v>0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-8.5265128291212022E-14</v>
      </c>
      <c r="BE194" s="13">
        <f>BD194*VLOOKUP('Données projet'!$B$11,Paramètres!$A$1:$I$89,3,0)*VLOOKUP('Données projet'!$B$11,Paramètres!$A$1:$I$89,5,0)</f>
        <v>-6.9167072069831198E-14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175.73034516698141</v>
      </c>
      <c r="BJ194" s="59">
        <f t="shared" si="146"/>
        <v>203.59461632821052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6.4051340995104289E-2</v>
      </c>
      <c r="BR194" s="21">
        <f>EXP(-LN(2)/2)*BR193+(1-EXP(-LN(2)/2))/(LN(2)/2)*BL194*BO194*VLOOKUP('Données projet'!$B$11,Paramètres!$A$1:$I$89,3,0)*0.475*44/12</f>
        <v>4.7740863060233763E-24</v>
      </c>
      <c r="BS194" s="22">
        <f t="shared" si="169"/>
        <v>6.4051340995104289E-2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-1.1368683772161603E-13</v>
      </c>
      <c r="BZ194" s="13">
        <f>BY194*VLOOKUP('Données projet'!$B$12,Paramètres!$A$1:$I$89,3,0)*VLOOKUP('Données projet'!$B$12,Paramètres!$A$1:$I$89,5,0)</f>
        <v>-9.5769792096689348E-14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258.28817640749349</v>
      </c>
      <c r="CE194" s="59">
        <f t="shared" si="148"/>
        <v>158.16416492761954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23.640530425549343</v>
      </c>
      <c r="CL194" s="21">
        <f>EXP(-LN(2)/25)*CL193+(1-EXP(-LN(2)/25))/(LN(2)/25)*Calculateur!CG194*Calculateur!CI194*VLOOKUP('Données projet'!$B$12,Paramètres!$A$1:$I$89,3,0)*0.475*44/12</f>
        <v>10.173169951888758</v>
      </c>
      <c r="CM194" s="21">
        <f>EXP(-LN(2)/2)*CM193+(1-EXP(-LN(2)/2))/(LN(2)/2)*CG194*CJ194*VLOOKUP('Données projet'!$B$12,Paramètres!$A$1:$I$89,3,0)*0.475*44/12</f>
        <v>1.030958570469783E-20</v>
      </c>
      <c r="CN194" s="22">
        <f t="shared" si="172"/>
        <v>33.813700377438103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1.1368683772161603E-13</v>
      </c>
      <c r="O195" s="13">
        <f>N195*VLOOKUP('Données projet'!$B$9,Paramètres!$A$1:$I$89,3,0)*VLOOKUP('Données projet'!$B$9,Paramètres!$A$1:$I$89,5,0)</f>
        <v>6.7984728957526396E-14</v>
      </c>
      <c r="P195" s="13">
        <f t="shared" si="141"/>
        <v>1.0682447123141398E-12</v>
      </c>
      <c r="Q195" s="20">
        <f t="shared" si="162"/>
        <v>1.978932943548152E-12</v>
      </c>
      <c r="R195" s="59">
        <f t="shared" ref="R195:R203" si="191">Q195+(I195+J195)*44/12</f>
        <v>293.3333333333353</v>
      </c>
      <c r="S195" s="59">
        <f ca="1">AVERAGE(OFFSET($R$3,0,0,'Données projet'!$E$9+1,1))-AVERAGE(OFFSET($H$3,0,0,'Données projet'!$E$9+1,1))</f>
        <v>149.5086927376081</v>
      </c>
      <c r="T195" s="59">
        <f t="shared" si="142"/>
        <v>364.59164590134498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2.4365458729341034</v>
      </c>
      <c r="AA195" s="21">
        <f>EXP(-LN(2)/25)*AA194+(1-EXP(-LN(2)/25))/(LN(2)/25)*Calculateur!V195*Calculateur!X195*VLOOKUP('Données projet'!$B$9,Paramètres!$A$1:$I$89,3,0)*0.475*44/12</f>
        <v>0.47109772058009486</v>
      </c>
      <c r="AB195" s="21">
        <f>EXP(-LN(2)/2)*AB194+(1-EXP(-LN(2)/2))/(LN(2)/2)*V195*Y195*VLOOKUP('Données projet'!$B$9,Paramètres!$A$1:$I$89,3,0)*0.475*44/12</f>
        <v>2.2051299127492038E-23</v>
      </c>
      <c r="AC195" s="22">
        <f t="shared" si="163"/>
        <v>2.9076435935141984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0</v>
      </c>
      <c r="AO195" s="59">
        <f t="shared" si="144"/>
        <v>0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-8.5265128291212022E-14</v>
      </c>
      <c r="BE195" s="13">
        <f>BD195*VLOOKUP('Données projet'!$B$11,Paramètres!$A$1:$I$89,3,0)*VLOOKUP('Données projet'!$B$11,Paramètres!$A$1:$I$89,5,0)</f>
        <v>-6.9167072069831198E-14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175.73034516698141</v>
      </c>
      <c r="BJ195" s="59">
        <f t="shared" si="146"/>
        <v>203.59461632821052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6.2299853707279529E-2</v>
      </c>
      <c r="BR195" s="21">
        <f>EXP(-LN(2)/2)*BR194+(1-EXP(-LN(2)/2))/(LN(2)/2)*BL195*BO195*VLOOKUP('Données projet'!$B$11,Paramètres!$A$1:$I$89,3,0)*0.475*44/12</f>
        <v>3.3757888009589645E-24</v>
      </c>
      <c r="BS195" s="22">
        <f t="shared" si="169"/>
        <v>6.2299853707279529E-2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-1.1368683772161603E-13</v>
      </c>
      <c r="BZ195" s="13">
        <f>BY195*VLOOKUP('Données projet'!$B$12,Paramètres!$A$1:$I$89,3,0)*VLOOKUP('Données projet'!$B$12,Paramètres!$A$1:$I$89,5,0)</f>
        <v>-9.5769792096689348E-14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258.28817640749349</v>
      </c>
      <c r="CE195" s="59">
        <f t="shared" si="148"/>
        <v>158.16416492761954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23.176954043204091</v>
      </c>
      <c r="CL195" s="21">
        <f>EXP(-LN(2)/25)*CL194+(1-EXP(-LN(2)/25))/(LN(2)/25)*Calculateur!CG195*Calculateur!CI195*VLOOKUP('Données projet'!$B$12,Paramètres!$A$1:$I$89,3,0)*0.475*44/12</f>
        <v>9.8949840845706039</v>
      </c>
      <c r="CM195" s="21">
        <f>EXP(-LN(2)/2)*CM194+(1-EXP(-LN(2)/2))/(LN(2)/2)*CG195*CJ195*VLOOKUP('Données projet'!$B$12,Paramètres!$A$1:$I$89,3,0)*0.475*44/12</f>
        <v>7.2899779630157267E-21</v>
      </c>
      <c r="CN195" s="22">
        <f t="shared" si="172"/>
        <v>33.071938127774693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1.1368683772161603E-13</v>
      </c>
      <c r="O196" s="13">
        <f>N196*VLOOKUP('Données projet'!$B$9,Paramètres!$A$1:$I$89,3,0)*VLOOKUP('Données projet'!$B$9,Paramètres!$A$1:$I$89,5,0)</f>
        <v>6.7984728957526396E-14</v>
      </c>
      <c r="P196" s="13">
        <f t="shared" si="141"/>
        <v>1.0682447123141398E-12</v>
      </c>
      <c r="Q196" s="20">
        <f t="shared" si="162"/>
        <v>1.978932943548152E-12</v>
      </c>
      <c r="R196" s="59">
        <f t="shared" si="191"/>
        <v>293.3333333333353</v>
      </c>
      <c r="S196" s="59">
        <f ca="1">AVERAGE(OFFSET($R$3,0,0,'Données projet'!$E$9+1,1))-AVERAGE(OFFSET($H$3,0,0,'Données projet'!$E$9+1,1))</f>
        <v>149.5086927376081</v>
      </c>
      <c r="T196" s="59">
        <f t="shared" si="142"/>
        <v>364.59164590134498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2.3887666945121033</v>
      </c>
      <c r="AA196" s="21">
        <f>EXP(-LN(2)/25)*AA195+(1-EXP(-LN(2)/25))/(LN(2)/25)*Calculateur!V196*Calculateur!X196*VLOOKUP('Données projet'!$B$9,Paramètres!$A$1:$I$89,3,0)*0.475*44/12</f>
        <v>0.45821552863687975</v>
      </c>
      <c r="AB196" s="21">
        <f>EXP(-LN(2)/2)*AB195+(1-EXP(-LN(2)/2))/(LN(2)/2)*V196*Y196*VLOOKUP('Données projet'!$B$9,Paramètres!$A$1:$I$89,3,0)*0.475*44/12</f>
        <v>1.5592623147022619E-23</v>
      </c>
      <c r="AC196" s="22">
        <f t="shared" si="163"/>
        <v>2.846982223148983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0</v>
      </c>
      <c r="AO196" s="59">
        <f t="shared" si="144"/>
        <v>0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-8.5265128291212022E-14</v>
      </c>
      <c r="BE196" s="13">
        <f>BD196*VLOOKUP('Données projet'!$B$11,Paramètres!$A$1:$I$89,3,0)*VLOOKUP('Données projet'!$B$11,Paramètres!$A$1:$I$89,5,0)</f>
        <v>-6.9167072069831198E-14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175.73034516698141</v>
      </c>
      <c r="BJ196" s="59">
        <f t="shared" si="146"/>
        <v>203.59461632821052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6.059626093144705E-2</v>
      </c>
      <c r="BR196" s="21">
        <f>EXP(-LN(2)/2)*BR195+(1-EXP(-LN(2)/2))/(LN(2)/2)*BL196*BO196*VLOOKUP('Données projet'!$B$11,Paramètres!$A$1:$I$89,3,0)*0.475*44/12</f>
        <v>2.3870431530116882E-24</v>
      </c>
      <c r="BS196" s="22">
        <f t="shared" si="169"/>
        <v>6.059626093144705E-2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-1.1368683772161603E-13</v>
      </c>
      <c r="BZ196" s="13">
        <f>BY196*VLOOKUP('Données projet'!$B$12,Paramètres!$A$1:$I$89,3,0)*VLOOKUP('Données projet'!$B$12,Paramètres!$A$1:$I$89,5,0)</f>
        <v>-9.5769792096689348E-14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258.28817640749349</v>
      </c>
      <c r="CE196" s="59">
        <f t="shared" si="148"/>
        <v>158.16416492761954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22.722468110962957</v>
      </c>
      <c r="CL196" s="21">
        <f>EXP(-LN(2)/25)*CL195+(1-EXP(-LN(2)/25))/(LN(2)/25)*Calculateur!CG196*Calculateur!CI196*VLOOKUP('Données projet'!$B$12,Paramètres!$A$1:$I$89,3,0)*0.475*44/12</f>
        <v>9.6244052244234233</v>
      </c>
      <c r="CM196" s="21">
        <f>EXP(-LN(2)/2)*CM195+(1-EXP(-LN(2)/2))/(LN(2)/2)*CG196*CJ196*VLOOKUP('Données projet'!$B$12,Paramètres!$A$1:$I$89,3,0)*0.475*44/12</f>
        <v>5.154792852348915E-21</v>
      </c>
      <c r="CN196" s="22">
        <f t="shared" si="172"/>
        <v>32.346873335386377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1.1368683772161603E-13</v>
      </c>
      <c r="O197" s="13">
        <f>N197*VLOOKUP('Données projet'!$B$9,Paramètres!$A$1:$I$89,3,0)*VLOOKUP('Données projet'!$B$9,Paramètres!$A$1:$I$89,5,0)</f>
        <v>6.7984728957526396E-14</v>
      </c>
      <c r="P197" s="13">
        <f t="shared" ref="P197:P203" si="203">EXP(-1.0587+0.8836*LN(O197)+0.284)</f>
        <v>1.0682447123141398E-12</v>
      </c>
      <c r="Q197" s="20">
        <f t="shared" si="162"/>
        <v>1.978932943548152E-12</v>
      </c>
      <c r="R197" s="59">
        <f t="shared" si="191"/>
        <v>293.3333333333353</v>
      </c>
      <c r="S197" s="59">
        <f ca="1">AVERAGE(OFFSET($R$3,0,0,'Données projet'!$E$9+1,1))-AVERAGE(OFFSET($H$3,0,0,'Données projet'!$E$9+1,1))</f>
        <v>149.5086927376081</v>
      </c>
      <c r="T197" s="59">
        <f t="shared" ref="T197:T203" si="204">$T$3</f>
        <v>364.59164590134498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2.3419244366365373</v>
      </c>
      <c r="AA197" s="21">
        <f>EXP(-LN(2)/25)*AA196+(1-EXP(-LN(2)/25))/(LN(2)/25)*Calculateur!V197*Calculateur!X197*VLOOKUP('Données projet'!$B$9,Paramètres!$A$1:$I$89,3,0)*0.475*44/12</f>
        <v>0.44568560090979692</v>
      </c>
      <c r="AB197" s="21">
        <f>EXP(-LN(2)/2)*AB196+(1-EXP(-LN(2)/2))/(LN(2)/2)*V197*Y197*VLOOKUP('Données projet'!$B$9,Paramètres!$A$1:$I$89,3,0)*0.475*44/12</f>
        <v>1.1025649563746019E-23</v>
      </c>
      <c r="AC197" s="22">
        <f t="shared" si="163"/>
        <v>2.787610037546334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0</v>
      </c>
      <c r="AO197" s="59">
        <f t="shared" ref="AO197:AO203" si="205">$AO$3</f>
        <v>0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-8.5265128291212022E-14</v>
      </c>
      <c r="BE197" s="13">
        <f>BD197*VLOOKUP('Données projet'!$B$11,Paramètres!$A$1:$I$89,3,0)*VLOOKUP('Données projet'!$B$11,Paramètres!$A$1:$I$89,5,0)</f>
        <v>-6.9167072069831198E-14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175.73034516698141</v>
      </c>
      <c r="BJ197" s="59">
        <f t="shared" ref="BJ197:BJ203" si="206">$BJ$3</f>
        <v>203.59461632821052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5.8939252989657763E-2</v>
      </c>
      <c r="BR197" s="21">
        <f>EXP(-LN(2)/2)*BR196+(1-EXP(-LN(2)/2))/(LN(2)/2)*BL197*BO197*VLOOKUP('Données projet'!$B$11,Paramètres!$A$1:$I$89,3,0)*0.475*44/12</f>
        <v>1.6878944004794822E-24</v>
      </c>
      <c r="BS197" s="22">
        <f t="shared" si="169"/>
        <v>5.8939252989657763E-2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-1.1368683772161603E-13</v>
      </c>
      <c r="BZ197" s="13">
        <f>BY197*VLOOKUP('Données projet'!$B$12,Paramètres!$A$1:$I$89,3,0)*VLOOKUP('Données projet'!$B$12,Paramètres!$A$1:$I$89,5,0)</f>
        <v>-9.5769792096689348E-14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258.28817640749349</v>
      </c>
      <c r="CE197" s="59">
        <f t="shared" ref="CE197:CE203" si="207">$CE$3</f>
        <v>158.16416492761954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22.276894370644026</v>
      </c>
      <c r="CL197" s="21">
        <f>EXP(-LN(2)/25)*CL196+(1-EXP(-LN(2)/25))/(LN(2)/25)*Calculateur!CG197*Calculateur!CI197*VLOOKUP('Données projet'!$B$12,Paramètres!$A$1:$I$89,3,0)*0.475*44/12</f>
        <v>9.3612253574360906</v>
      </c>
      <c r="CM197" s="21">
        <f>EXP(-LN(2)/2)*CM196+(1-EXP(-LN(2)/2))/(LN(2)/2)*CG197*CJ197*VLOOKUP('Données projet'!$B$12,Paramètres!$A$1:$I$89,3,0)*0.475*44/12</f>
        <v>3.6449889815078634E-21</v>
      </c>
      <c r="CN197" s="22">
        <f t="shared" si="172"/>
        <v>31.638119728080117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1.1368683772161603E-13</v>
      </c>
      <c r="O198" s="13">
        <f>N198*VLOOKUP('Données projet'!$B$9,Paramètres!$A$1:$I$89,3,0)*VLOOKUP('Données projet'!$B$9,Paramètres!$A$1:$I$89,5,0)</f>
        <v>6.7984728957526396E-14</v>
      </c>
      <c r="P198" s="13">
        <f t="shared" si="203"/>
        <v>1.0682447123141398E-12</v>
      </c>
      <c r="Q198" s="20">
        <f t="shared" si="162"/>
        <v>1.978932943548152E-12</v>
      </c>
      <c r="R198" s="59">
        <f t="shared" si="191"/>
        <v>293.3333333333353</v>
      </c>
      <c r="S198" s="59">
        <f ca="1">AVERAGE(OFFSET($R$3,0,0,'Données projet'!$E$9+1,1))-AVERAGE(OFFSET($H$3,0,0,'Données projet'!$E$9+1,1))</f>
        <v>149.5086927376081</v>
      </c>
      <c r="T198" s="59">
        <f t="shared" si="204"/>
        <v>364.59164590134498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2.2960007268669549</v>
      </c>
      <c r="AA198" s="21">
        <f>EXP(-LN(2)/25)*AA197+(1-EXP(-LN(2)/25))/(LN(2)/25)*Calculateur!V198*Calculateur!X198*VLOOKUP('Données projet'!$B$9,Paramètres!$A$1:$I$89,3,0)*0.475*44/12</f>
        <v>0.43349830471533141</v>
      </c>
      <c r="AB198" s="21">
        <f>EXP(-LN(2)/2)*AB197+(1-EXP(-LN(2)/2))/(LN(2)/2)*V198*Y198*VLOOKUP('Données projet'!$B$9,Paramètres!$A$1:$I$89,3,0)*0.475*44/12</f>
        <v>7.7963115735113094E-24</v>
      </c>
      <c r="AC198" s="22">
        <f t="shared" si="163"/>
        <v>2.7294990315822862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0</v>
      </c>
      <c r="AO198" s="59">
        <f t="shared" si="205"/>
        <v>0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-8.5265128291212022E-14</v>
      </c>
      <c r="BE198" s="13">
        <f>BD198*VLOOKUP('Données projet'!$B$11,Paramètres!$A$1:$I$89,3,0)*VLOOKUP('Données projet'!$B$11,Paramètres!$A$1:$I$89,5,0)</f>
        <v>-6.9167072069831198E-14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175.73034516698141</v>
      </c>
      <c r="BJ198" s="59">
        <f t="shared" si="206"/>
        <v>203.59461632821052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5.7327556017174965E-2</v>
      </c>
      <c r="BR198" s="21">
        <f>EXP(-LN(2)/2)*BR197+(1-EXP(-LN(2)/2))/(LN(2)/2)*BL198*BO198*VLOOKUP('Données projet'!$B$11,Paramètres!$A$1:$I$89,3,0)*0.475*44/12</f>
        <v>1.1935215765058441E-24</v>
      </c>
      <c r="BS198" s="22">
        <f t="shared" si="169"/>
        <v>5.7327556017174965E-2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-1.1368683772161603E-13</v>
      </c>
      <c r="BZ198" s="13">
        <f>BY198*VLOOKUP('Données projet'!$B$12,Paramètres!$A$1:$I$89,3,0)*VLOOKUP('Données projet'!$B$12,Paramètres!$A$1:$I$89,5,0)</f>
        <v>-9.5769792096689348E-14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258.28817640749349</v>
      </c>
      <c r="CE198" s="59">
        <f t="shared" si="207"/>
        <v>158.16416492761954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21.840058059599603</v>
      </c>
      <c r="CL198" s="21">
        <f>EXP(-LN(2)/25)*CL197+(1-EXP(-LN(2)/25))/(LN(2)/25)*Calculateur!CG198*Calculateur!CI198*VLOOKUP('Données projet'!$B$12,Paramètres!$A$1:$I$89,3,0)*0.475*44/12</f>
        <v>9.1052421577515545</v>
      </c>
      <c r="CM198" s="21">
        <f>EXP(-LN(2)/2)*CM197+(1-EXP(-LN(2)/2))/(LN(2)/2)*CG198*CJ198*VLOOKUP('Données projet'!$B$12,Paramètres!$A$1:$I$89,3,0)*0.475*44/12</f>
        <v>2.5773964261744575E-21</v>
      </c>
      <c r="CN198" s="22">
        <f t="shared" si="172"/>
        <v>30.945300217351157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1.1368683772161603E-13</v>
      </c>
      <c r="O199" s="13">
        <f>N199*VLOOKUP('Données projet'!$B$9,Paramètres!$A$1:$I$89,3,0)*VLOOKUP('Données projet'!$B$9,Paramètres!$A$1:$I$89,5,0)</f>
        <v>6.7984728957526396E-14</v>
      </c>
      <c r="P199" s="13">
        <f t="shared" si="203"/>
        <v>1.0682447123141398E-12</v>
      </c>
      <c r="Q199" s="20">
        <f t="shared" si="162"/>
        <v>1.978932943548152E-12</v>
      </c>
      <c r="R199" s="59">
        <f t="shared" si="191"/>
        <v>293.3333333333353</v>
      </c>
      <c r="S199" s="59">
        <f ca="1">AVERAGE(OFFSET($R$3,0,0,'Données projet'!$E$9+1,1))-AVERAGE(OFFSET($H$3,0,0,'Données projet'!$E$9+1,1))</f>
        <v>149.5086927376081</v>
      </c>
      <c r="T199" s="59">
        <f t="shared" si="204"/>
        <v>364.59164590134498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2.2509775530352569</v>
      </c>
      <c r="AA199" s="21">
        <f>EXP(-LN(2)/25)*AA198+(1-EXP(-LN(2)/25))/(LN(2)/25)*Calculateur!V199*Calculateur!X199*VLOOKUP('Données projet'!$B$9,Paramètres!$A$1:$I$89,3,0)*0.475*44/12</f>
        <v>0.42164427077620559</v>
      </c>
      <c r="AB199" s="21">
        <f>EXP(-LN(2)/2)*AB198+(1-EXP(-LN(2)/2))/(LN(2)/2)*V199*Y199*VLOOKUP('Données projet'!$B$9,Paramètres!$A$1:$I$89,3,0)*0.475*44/12</f>
        <v>5.5128247818730096E-24</v>
      </c>
      <c r="AC199" s="22">
        <f t="shared" si="163"/>
        <v>2.6726218238114625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0</v>
      </c>
      <c r="AO199" s="59">
        <f t="shared" si="205"/>
        <v>0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-8.5265128291212022E-14</v>
      </c>
      <c r="BE199" s="13">
        <f>BD199*VLOOKUP('Données projet'!$B$11,Paramètres!$A$1:$I$89,3,0)*VLOOKUP('Données projet'!$B$11,Paramètres!$A$1:$I$89,5,0)</f>
        <v>-6.9167072069831198E-14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175.73034516698141</v>
      </c>
      <c r="BJ199" s="59">
        <f t="shared" si="206"/>
        <v>203.59461632821052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5.5759930983160171E-2</v>
      </c>
      <c r="BR199" s="21">
        <f>EXP(-LN(2)/2)*BR198+(1-EXP(-LN(2)/2))/(LN(2)/2)*BL199*BO199*VLOOKUP('Données projet'!$B$11,Paramètres!$A$1:$I$89,3,0)*0.475*44/12</f>
        <v>8.4394720023974112E-25</v>
      </c>
      <c r="BS199" s="22">
        <f t="shared" si="169"/>
        <v>5.5759930983160171E-2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-1.1368683772161603E-13</v>
      </c>
      <c r="BZ199" s="13">
        <f>BY199*VLOOKUP('Données projet'!$B$12,Paramètres!$A$1:$I$89,3,0)*VLOOKUP('Données projet'!$B$12,Paramètres!$A$1:$I$89,5,0)</f>
        <v>-9.5769792096689348E-14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258.28817640749349</v>
      </c>
      <c r="CE199" s="59">
        <f t="shared" si="207"/>
        <v>158.16416492761954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21.41178784217092</v>
      </c>
      <c r="CL199" s="21">
        <f>EXP(-LN(2)/25)*CL198+(1-EXP(-LN(2)/25))/(LN(2)/25)*Calculateur!CG199*Calculateur!CI199*VLOOKUP('Données projet'!$B$12,Paramètres!$A$1:$I$89,3,0)*0.475*44/12</f>
        <v>8.856258832123963</v>
      </c>
      <c r="CM199" s="21">
        <f>EXP(-LN(2)/2)*CM198+(1-EXP(-LN(2)/2))/(LN(2)/2)*CG199*CJ199*VLOOKUP('Données projet'!$B$12,Paramètres!$A$1:$I$89,3,0)*0.475*44/12</f>
        <v>1.8224944907539317E-21</v>
      </c>
      <c r="CN199" s="22">
        <f t="shared" si="172"/>
        <v>30.268046674294883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1.1368683772161603E-13</v>
      </c>
      <c r="O200" s="13">
        <f>N200*VLOOKUP('Données projet'!$B$9,Paramètres!$A$1:$I$89,3,0)*VLOOKUP('Données projet'!$B$9,Paramètres!$A$1:$I$89,5,0)</f>
        <v>6.7984728957526396E-14</v>
      </c>
      <c r="P200" s="13">
        <f t="shared" si="203"/>
        <v>1.0682447123141398E-12</v>
      </c>
      <c r="Q200" s="20">
        <f t="shared" si="162"/>
        <v>1.978932943548152E-12</v>
      </c>
      <c r="R200" s="59">
        <f t="shared" si="191"/>
        <v>293.3333333333353</v>
      </c>
      <c r="S200" s="59">
        <f ca="1">AVERAGE(OFFSET($R$3,0,0,'Données projet'!$E$9+1,1))-AVERAGE(OFFSET($H$3,0,0,'Données projet'!$E$9+1,1))</f>
        <v>149.5086927376081</v>
      </c>
      <c r="T200" s="59">
        <f t="shared" si="204"/>
        <v>364.59164590134498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2.2068372561809744</v>
      </c>
      <c r="AA200" s="21">
        <f>EXP(-LN(2)/25)*AA199+(1-EXP(-LN(2)/25))/(LN(2)/25)*Calculateur!V200*Calculateur!X200*VLOOKUP('Données projet'!$B$9,Paramètres!$A$1:$I$89,3,0)*0.475*44/12</f>
        <v>0.41011438601852174</v>
      </c>
      <c r="AB200" s="21">
        <f>EXP(-LN(2)/2)*AB199+(1-EXP(-LN(2)/2))/(LN(2)/2)*V200*Y200*VLOOKUP('Données projet'!$B$9,Paramètres!$A$1:$I$89,3,0)*0.475*44/12</f>
        <v>3.8981557867556547E-24</v>
      </c>
      <c r="AC200" s="22">
        <f t="shared" si="163"/>
        <v>2.6169516421994961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0</v>
      </c>
      <c r="AO200" s="59">
        <f t="shared" si="205"/>
        <v>0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-8.5265128291212022E-14</v>
      </c>
      <c r="BE200" s="13">
        <f>BD200*VLOOKUP('Données projet'!$B$11,Paramètres!$A$1:$I$89,3,0)*VLOOKUP('Données projet'!$B$11,Paramètres!$A$1:$I$89,5,0)</f>
        <v>-6.9167072069831198E-14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175.73034516698141</v>
      </c>
      <c r="BJ200" s="59">
        <f t="shared" si="206"/>
        <v>203.59461632821052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5.4235172738138326E-2</v>
      </c>
      <c r="BR200" s="21">
        <f>EXP(-LN(2)/2)*BR199+(1-EXP(-LN(2)/2))/(LN(2)/2)*BL200*BO200*VLOOKUP('Données projet'!$B$11,Paramètres!$A$1:$I$89,3,0)*0.475*44/12</f>
        <v>5.9676078825292204E-25</v>
      </c>
      <c r="BS200" s="22">
        <f t="shared" si="169"/>
        <v>5.4235172738138326E-2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-1.1368683772161603E-13</v>
      </c>
      <c r="BZ200" s="13">
        <f>BY200*VLOOKUP('Données projet'!$B$12,Paramètres!$A$1:$I$89,3,0)*VLOOKUP('Données projet'!$B$12,Paramètres!$A$1:$I$89,5,0)</f>
        <v>-9.5769792096689348E-14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258.28817640749349</v>
      </c>
      <c r="CE200" s="59">
        <f t="shared" si="207"/>
        <v>158.16416492761954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20.991915742486974</v>
      </c>
      <c r="CL200" s="21">
        <f>EXP(-LN(2)/25)*CL199+(1-EXP(-LN(2)/25))/(LN(2)/25)*Calculateur!CG200*Calculateur!CI200*VLOOKUP('Données projet'!$B$12,Paramètres!$A$1:$I$89,3,0)*0.475*44/12</f>
        <v>8.6140839686291226</v>
      </c>
      <c r="CM200" s="21">
        <f>EXP(-LN(2)/2)*CM199+(1-EXP(-LN(2)/2))/(LN(2)/2)*CG200*CJ200*VLOOKUP('Données projet'!$B$12,Paramètres!$A$1:$I$89,3,0)*0.475*44/12</f>
        <v>1.2886982130872287E-21</v>
      </c>
      <c r="CN200" s="22">
        <f t="shared" si="172"/>
        <v>29.605999711116098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1.1368683772161603E-13</v>
      </c>
      <c r="O201" s="13">
        <f>N201*VLOOKUP('Données projet'!$B$9,Paramètres!$A$1:$I$89,3,0)*VLOOKUP('Données projet'!$B$9,Paramètres!$A$1:$I$89,5,0)</f>
        <v>6.7984728957526396E-14</v>
      </c>
      <c r="P201" s="13">
        <f t="shared" si="203"/>
        <v>1.0682447123141398E-12</v>
      </c>
      <c r="Q201" s="20">
        <f t="shared" si="162"/>
        <v>1.978932943548152E-12</v>
      </c>
      <c r="R201" s="59">
        <f t="shared" si="191"/>
        <v>293.3333333333353</v>
      </c>
      <c r="S201" s="59">
        <f ca="1">AVERAGE(OFFSET($R$3,0,0,'Données projet'!$E$9+1,1))-AVERAGE(OFFSET($H$3,0,0,'Données projet'!$E$9+1,1))</f>
        <v>149.5086927376081</v>
      </c>
      <c r="T201" s="59">
        <f t="shared" si="204"/>
        <v>364.59164590134498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2.1635625236250817</v>
      </c>
      <c r="AA201" s="21">
        <f>EXP(-LN(2)/25)*AA200+(1-EXP(-LN(2)/25))/(LN(2)/25)*Calculateur!V201*Calculateur!X201*VLOOKUP('Données projet'!$B$9,Paramètres!$A$1:$I$89,3,0)*0.475*44/12</f>
        <v>0.39889978656586705</v>
      </c>
      <c r="AB201" s="21">
        <f>EXP(-LN(2)/2)*AB200+(1-EXP(-LN(2)/2))/(LN(2)/2)*V201*Y201*VLOOKUP('Données projet'!$B$9,Paramètres!$A$1:$I$89,3,0)*0.475*44/12</f>
        <v>2.7564123909365048E-24</v>
      </c>
      <c r="AC201" s="22">
        <f t="shared" si="163"/>
        <v>2.5624623101909489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0</v>
      </c>
      <c r="AO201" s="59">
        <f t="shared" si="205"/>
        <v>0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-8.5265128291212022E-14</v>
      </c>
      <c r="BE201" s="13">
        <f>BD201*VLOOKUP('Données projet'!$B$11,Paramètres!$A$1:$I$89,3,0)*VLOOKUP('Données projet'!$B$11,Paramètres!$A$1:$I$89,5,0)</f>
        <v>-6.9167072069831198E-14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175.73034516698141</v>
      </c>
      <c r="BJ201" s="59">
        <f t="shared" si="206"/>
        <v>203.59461632821052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5.2752109087510157E-2</v>
      </c>
      <c r="BR201" s="21">
        <f>EXP(-LN(2)/2)*BR200+(1-EXP(-LN(2)/2))/(LN(2)/2)*BL201*BO201*VLOOKUP('Données projet'!$B$11,Paramètres!$A$1:$I$89,3,0)*0.475*44/12</f>
        <v>4.2197360011987056E-25</v>
      </c>
      <c r="BS201" s="22">
        <f t="shared" si="169"/>
        <v>5.2752109087510157E-2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-1.1368683772161603E-13</v>
      </c>
      <c r="BZ201" s="13">
        <f>BY201*VLOOKUP('Données projet'!$B$12,Paramètres!$A$1:$I$89,3,0)*VLOOKUP('Données projet'!$B$12,Paramètres!$A$1:$I$89,5,0)</f>
        <v>-9.5769792096689348E-14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258.28817640749349</v>
      </c>
      <c r="CE201" s="59">
        <f t="shared" si="207"/>
        <v>158.16416492761954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20.580277078581137</v>
      </c>
      <c r="CL201" s="21">
        <f>EXP(-LN(2)/25)*CL200+(1-EXP(-LN(2)/25))/(LN(2)/25)*Calculateur!CG201*Calculateur!CI201*VLOOKUP('Données projet'!$B$12,Paramètres!$A$1:$I$89,3,0)*0.475*44/12</f>
        <v>8.3785313895119717</v>
      </c>
      <c r="CM201" s="21">
        <f>EXP(-LN(2)/2)*CM200+(1-EXP(-LN(2)/2))/(LN(2)/2)*CG201*CJ201*VLOOKUP('Données projet'!$B$12,Paramètres!$A$1:$I$89,3,0)*0.475*44/12</f>
        <v>9.1124724537696584E-22</v>
      </c>
      <c r="CN201" s="22">
        <f t="shared" si="172"/>
        <v>28.95880846809311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1.1368683772161603E-13</v>
      </c>
      <c r="O202" s="13">
        <f>N202*VLOOKUP('Données projet'!$B$9,Paramètres!$A$1:$I$89,3,0)*VLOOKUP('Données projet'!$B$9,Paramètres!$A$1:$I$89,5,0)</f>
        <v>6.7984728957526396E-14</v>
      </c>
      <c r="P202" s="13">
        <f t="shared" si="203"/>
        <v>1.0682447123141398E-12</v>
      </c>
      <c r="Q202" s="20">
        <f t="shared" si="162"/>
        <v>1.978932943548152E-12</v>
      </c>
      <c r="R202" s="59">
        <f t="shared" si="191"/>
        <v>293.3333333333353</v>
      </c>
      <c r="S202" s="59">
        <f ca="1">AVERAGE(OFFSET($R$3,0,0,'Données projet'!$E$9+1,1))-AVERAGE(OFFSET($H$3,0,0,'Données projet'!$E$9+1,1))</f>
        <v>149.5086927376081</v>
      </c>
      <c r="T202" s="59">
        <f t="shared" si="204"/>
        <v>364.59164590134498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2.1211363821796292</v>
      </c>
      <c r="AA202" s="21">
        <f>EXP(-LN(2)/25)*AA201+(1-EXP(-LN(2)/25))/(LN(2)/25)*Calculateur!V202*Calculateur!X202*VLOOKUP('Données projet'!$B$9,Paramètres!$A$1:$I$89,3,0)*0.475*44/12</f>
        <v>0.38799185092499533</v>
      </c>
      <c r="AB202" s="21">
        <f>EXP(-LN(2)/2)*AB201+(1-EXP(-LN(2)/2))/(LN(2)/2)*V202*Y202*VLOOKUP('Données projet'!$B$9,Paramètres!$A$1:$I$89,3,0)*0.475*44/12</f>
        <v>1.9490778933778274E-24</v>
      </c>
      <c r="AC202" s="22">
        <f t="shared" si="163"/>
        <v>2.5091282331046245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0</v>
      </c>
      <c r="AO202" s="59">
        <f t="shared" si="205"/>
        <v>0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-8.5265128291212022E-14</v>
      </c>
      <c r="BE202" s="13">
        <f>BD202*VLOOKUP('Données projet'!$B$11,Paramètres!$A$1:$I$89,3,0)*VLOOKUP('Données projet'!$B$11,Paramètres!$A$1:$I$89,5,0)</f>
        <v>-6.9167072069831198E-14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175.73034516698141</v>
      </c>
      <c r="BJ202" s="59">
        <f t="shared" si="206"/>
        <v>203.59461632821052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5.1309599890399342E-2</v>
      </c>
      <c r="BR202" s="21">
        <f>EXP(-LN(2)/2)*BR201+(1-EXP(-LN(2)/2))/(LN(2)/2)*BL202*BO202*VLOOKUP('Données projet'!$B$11,Paramètres!$A$1:$I$89,3,0)*0.475*44/12</f>
        <v>2.9838039412646102E-25</v>
      </c>
      <c r="BS202" s="22">
        <f t="shared" si="169"/>
        <v>5.1309599890399342E-2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-1.1368683772161603E-13</v>
      </c>
      <c r="BZ202" s="13">
        <f>BY202*VLOOKUP('Données projet'!$B$12,Paramètres!$A$1:$I$89,3,0)*VLOOKUP('Données projet'!$B$12,Paramètres!$A$1:$I$89,5,0)</f>
        <v>-9.5769792096689348E-14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258.28817640749349</v>
      </c>
      <c r="CE202" s="59">
        <f t="shared" si="207"/>
        <v>158.16416492761954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20.176710397799699</v>
      </c>
      <c r="CL202" s="21">
        <f>EXP(-LN(2)/25)*CL201+(1-EXP(-LN(2)/25))/(LN(2)/25)*Calculateur!CG202*Calculateur!CI202*VLOOKUP('Données projet'!$B$12,Paramètres!$A$1:$I$89,3,0)*0.475*44/12</f>
        <v>8.14942000805795</v>
      </c>
      <c r="CM202" s="21">
        <f>EXP(-LN(2)/2)*CM201+(1-EXP(-LN(2)/2))/(LN(2)/2)*CG202*CJ202*VLOOKUP('Données projet'!$B$12,Paramètres!$A$1:$I$89,3,0)*0.475*44/12</f>
        <v>6.4434910654361437E-22</v>
      </c>
      <c r="CN202" s="22">
        <f t="shared" si="172"/>
        <v>28.326130405857647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1.1368683772161603E-13</v>
      </c>
      <c r="O203" s="13">
        <f>N203*VLOOKUP('Données projet'!$B$9,Paramètres!$A$1:$I$89,3,0)*VLOOKUP('Données projet'!$B$9,Paramètres!$A$1:$I$89,5,0)</f>
        <v>6.7984728957526396E-14</v>
      </c>
      <c r="P203" s="13">
        <f t="shared" si="203"/>
        <v>1.0682447123141398E-12</v>
      </c>
      <c r="Q203" s="20">
        <f t="shared" si="162"/>
        <v>1.978932943548152E-12</v>
      </c>
      <c r="R203" s="59">
        <f t="shared" si="191"/>
        <v>293.3333333333353</v>
      </c>
      <c r="S203" s="59">
        <f ca="1">AVERAGE(OFFSET($R$3,0,0,'Données projet'!$E$9+1,1))-AVERAGE(OFFSET($H$3,0,0,'Données projet'!$E$9+1,1))</f>
        <v>149.5086927376081</v>
      </c>
      <c r="T203" s="59">
        <f t="shared" si="204"/>
        <v>364.59164590134498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2.079542191490531</v>
      </c>
      <c r="AA203" s="21">
        <f>EXP(-LN(2)/25)*AA202+(1-EXP(-LN(2)/25))/(LN(2)/25)*Calculateur!V203*Calculateur!X203*VLOOKUP('Données projet'!$B$9,Paramètres!$A$1:$I$89,3,0)*0.475*44/12</f>
        <v>0.37738219335784667</v>
      </c>
      <c r="AB203" s="21">
        <f>EXP(-LN(2)/2)*AB202+(1-EXP(-LN(2)/2))/(LN(2)/2)*V203*Y203*VLOOKUP('Données projet'!$B$9,Paramètres!$A$1:$I$89,3,0)*0.475*44/12</f>
        <v>1.3782061954682524E-24</v>
      </c>
      <c r="AC203" s="22">
        <f t="shared" si="163"/>
        <v>2.4569243848483775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0</v>
      </c>
      <c r="AO203" s="59">
        <f t="shared" si="205"/>
        <v>0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-8.5265128291212022E-14</v>
      </c>
      <c r="BE203" s="13">
        <f>BD203*VLOOKUP('Données projet'!$B$11,Paramètres!$A$1:$I$89,3,0)*VLOOKUP('Données projet'!$B$11,Paramètres!$A$1:$I$89,5,0)</f>
        <v>-6.9167072069831198E-14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175.73034516698141</v>
      </c>
      <c r="BJ203" s="59">
        <f t="shared" si="206"/>
        <v>203.59461632821052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4.9906536183141781E-2</v>
      </c>
      <c r="BR203" s="21">
        <f>EXP(-LN(2)/2)*BR202+(1-EXP(-LN(2)/2))/(LN(2)/2)*BL203*BO203*VLOOKUP('Données projet'!$B$11,Paramètres!$A$1:$I$89,3,0)*0.475*44/12</f>
        <v>2.1098680005993528E-25</v>
      </c>
      <c r="BS203" s="22">
        <f t="shared" si="169"/>
        <v>4.9906536183141781E-2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-1.1368683772161603E-13</v>
      </c>
      <c r="BZ203" s="13">
        <f>BY203*VLOOKUP('Données projet'!$B$12,Paramètres!$A$1:$I$89,3,0)*VLOOKUP('Données projet'!$B$12,Paramètres!$A$1:$I$89,5,0)</f>
        <v>-9.5769792096689348E-14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258.28817640749349</v>
      </c>
      <c r="CE203" s="59">
        <f t="shared" si="207"/>
        <v>158.16416492761954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19.781057413477015</v>
      </c>
      <c r="CL203" s="21">
        <f>EXP(-LN(2)/25)*CL202+(1-EXP(-LN(2)/25))/(LN(2)/25)*Calculateur!CG203*Calculateur!CI203*VLOOKUP('Données projet'!$B$12,Paramètres!$A$1:$I$89,3,0)*0.475*44/12</f>
        <v>7.926573689378233</v>
      </c>
      <c r="CM203" s="21">
        <f>EXP(-LN(2)/2)*CM202+(1-EXP(-LN(2)/2))/(LN(2)/2)*CG203*CJ203*VLOOKUP('Données projet'!$B$12,Paramètres!$A$1:$I$89,3,0)*0.475*44/12</f>
        <v>4.5562362268848292E-22</v>
      </c>
      <c r="CN203" s="22">
        <f t="shared" si="172"/>
        <v>27.707631102855249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1.4749438547769935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>
        <f>EXP(LN('Données projet'!B88)/'Données projet'!A88)</f>
        <v>1.2240347367580502</v>
      </c>
      <c r="BV205" s="82">
        <f>EXP(LN('Données projet'!B114)/'Données projet'!A114)</f>
        <v>1.2054868146447177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D1" zoomScale="90" zoomScaleNormal="90" workbookViewId="0">
      <selection activeCell="K23" sqref="K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maritime</v>
      </c>
      <c r="B6" s="146">
        <f>'Données projet'!D9</f>
        <v>42.125399999999999</v>
      </c>
      <c r="C6" s="147">
        <f ca="1">IF(OR('Données projet'!B9="",'Données projet'!C9="",'Données projet'!C9=0%),0,Calculateur!S3)</f>
        <v>149.5086927376081</v>
      </c>
      <c r="D6" s="147">
        <f>IF(OR('Données projet'!B9="",'Données projet'!C9="",'Données projet'!C9=0%),0,Calculateur!T3)</f>
        <v>364.59164590134498</v>
      </c>
      <c r="E6" s="147">
        <f ca="1">MIN(C6,D6)</f>
        <v>149.5086927376081</v>
      </c>
      <c r="F6" s="147">
        <f ca="1">E6*B6</f>
        <v>6298.1134850488361</v>
      </c>
      <c r="G6" s="147">
        <f ca="1">F6*(100%-'Données projet'!$C$24)*(100%-'Données projet'!$C$25)*(100%-'Données projet'!$C$26)*(100%-'Données projet'!$C$27)</f>
        <v>3854.4454528498877</v>
      </c>
      <c r="H6" s="148">
        <f>IF(OR('Données projet'!B9="",'Données projet'!C9="",'Données projet'!C9=0%),0,AVERAGE(Calculateur!$AC$3:$AC$33)*B6)</f>
        <v>752.08812733178297</v>
      </c>
      <c r="I6" s="149">
        <f>H6*(100%-'Données projet'!$C$24)*(100%-'Données projet'!$C$25)*(100%-'Données projet'!$C$26)*(100%-'Données projet'!$C$27)</f>
        <v>460.27793392705127</v>
      </c>
      <c r="J6" s="150">
        <f>IF(OR('Données projet'!B9="",'Données projet'!C9="",'Données projet'!C9=0%),0,SUM(Calculateur!$V$3:$V$33)*VLOOKUP('Données projet'!$B$9,Paramètres!$A$1:$I$89,9,0)*B6)</f>
        <v>10985.461811999998</v>
      </c>
      <c r="K6" s="151">
        <f>J6*(100%-'Données projet'!$C$24)*(100%-'Données projet'!$C$25)*(100%-'Données projet'!$C$26)*(100%-'Données projet'!$C$27)</f>
        <v>6723.1026289439997</v>
      </c>
      <c r="L6" s="152">
        <f ca="1">G6+I6+K6</f>
        <v>11037.826015720939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Chêne-liège</v>
      </c>
      <c r="B7" s="154">
        <f>'Données projet'!D10</f>
        <v>0.45501000000000003</v>
      </c>
      <c r="C7" s="147">
        <f ca="1"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ca="1" si="0">MIN(C7,D7)</f>
        <v>0</v>
      </c>
      <c r="F7" s="147">
        <f t="shared" ref="F7:F15" ca="1" si="1">E7*B7</f>
        <v>0</v>
      </c>
      <c r="G7" s="147">
        <f ca="1"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Bouleau verruqueux</v>
      </c>
      <c r="B8" s="154">
        <f>'Données projet'!D11</f>
        <v>0.46110000000000001</v>
      </c>
      <c r="C8" s="147">
        <f ca="1">IF(OR('Données projet'!B11="",'Données projet'!C11="",'Données projet'!C11=0%),0,Calculateur!BI3)</f>
        <v>175.73034516698141</v>
      </c>
      <c r="D8" s="147">
        <f>IF(OR('Données projet'!B11="",'Données projet'!C11="",'Données projet'!C11=0%),0,Calculateur!BJ3)</f>
        <v>203.59461632821052</v>
      </c>
      <c r="E8" s="147">
        <f t="shared" ca="1" si="0"/>
        <v>175.73034516698141</v>
      </c>
      <c r="F8" s="147">
        <f t="shared" ca="1" si="1"/>
        <v>81.029262156495136</v>
      </c>
      <c r="G8" s="147">
        <f ca="1">F8*(100%-'Données projet'!$C$24)*(100%-'Données projet'!$C$25)*(100%-'Données projet'!$C$26)*(100%-'Données projet'!$C$27)</f>
        <v>49.58990843977503</v>
      </c>
      <c r="H8" s="155">
        <f>IF(OR('Données projet'!B11="",'Données projet'!C11="",'Données projet'!C11=0%),0,AVERAGE(Calculateur!$BS$3:$BS$33)*B8)</f>
        <v>0.66740039951736851</v>
      </c>
      <c r="I8" s="149">
        <f>H8*(100%-'Données projet'!$C$24)*(100%-'Données projet'!$C$25)*(100%-'Données projet'!$C$26)*(100%-'Données projet'!$C$27)</f>
        <v>0.40844904450462954</v>
      </c>
      <c r="J8" s="150">
        <f>IF(OR('Données projet'!B11="",'Données projet'!C11="",'Données projet'!C11=0%),0,SUM(Calculateur!$BL$3:$BL$33)*VLOOKUP('Données projet'!$B$11,Paramètres!$A$1:$I$89,9,0)*B8)</f>
        <v>7.2623250000000006</v>
      </c>
      <c r="K8" s="151">
        <f>J8*(100%-'Données projet'!$C$24)*(100%-'Données projet'!$C$25)*(100%-'Données projet'!$C$26)*(100%-'Données projet'!$C$27)</f>
        <v>4.4445429000000001</v>
      </c>
      <c r="L8" s="152">
        <f t="shared" ca="1" si="2"/>
        <v>54.44290038427966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Chêne pédonculé</v>
      </c>
      <c r="B9" s="154">
        <f>'Données projet'!D12</f>
        <v>0.46110000000000001</v>
      </c>
      <c r="C9" s="147">
        <f ca="1">IF(OR('Données projet'!B12="",'Données projet'!C12="",'Données projet'!C12=0%),0,Calculateur!CD3)</f>
        <v>258.28817640749349</v>
      </c>
      <c r="D9" s="147">
        <f>IF(OR('Données projet'!B12="",'Données projet'!C12="",'Données projet'!C12=0%),0,Calculateur!CE3)</f>
        <v>158.16416492761954</v>
      </c>
      <c r="E9" s="147">
        <f t="shared" ca="1" si="0"/>
        <v>158.16416492761954</v>
      </c>
      <c r="F9" s="147">
        <f t="shared" ca="1" si="1"/>
        <v>72.929496448125377</v>
      </c>
      <c r="G9" s="147">
        <f ca="1">F9*(100%-'Données projet'!$C$24)*(100%-'Données projet'!$C$25)*(100%-'Données projet'!$C$26)*(100%-'Données projet'!$C$27)</f>
        <v>44.632851826252733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3.342975</v>
      </c>
      <c r="K9" s="151">
        <f>J9*(100%-'Données projet'!$C$24)*(100%-'Données projet'!$C$25)*(100%-'Données projet'!$C$26)*(100%-'Données projet'!$C$27)</f>
        <v>2.0459007000000002</v>
      </c>
      <c r="L9" s="152">
        <f t="shared" ca="1" si="2"/>
        <v>46.67875252625273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6452.0722436534561</v>
      </c>
      <c r="G16" s="166">
        <f t="shared" ca="1" si="3"/>
        <v>3948.6682131159155</v>
      </c>
      <c r="H16" s="167">
        <f t="shared" si="3"/>
        <v>752.75552773130039</v>
      </c>
      <c r="I16" s="167">
        <f t="shared" si="3"/>
        <v>460.68638297155587</v>
      </c>
      <c r="J16" s="168">
        <f t="shared" si="3"/>
        <v>10996.067111999997</v>
      </c>
      <c r="K16" s="168">
        <f t="shared" si="3"/>
        <v>6729.5930725439994</v>
      </c>
      <c r="L16" s="169">
        <f t="shared" ca="1" si="3"/>
        <v>11138.947668631472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Bouleau verruqueux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Chêne pédonculé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42.125399999999999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Chêne-liège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0.45501000000000003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Bouleau verruqueux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0.46110000000000001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pédonculé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0.46110000000000001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12</v>
      </c>
      <c r="B23" s="181">
        <f>'Données projet'!D36</f>
        <v>34</v>
      </c>
      <c r="C23" s="193"/>
      <c r="D23" s="182">
        <f>B23*C23</f>
        <v>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17</v>
      </c>
      <c r="B24" s="181">
        <f>'Données projet'!D37</f>
        <v>43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22</v>
      </c>
      <c r="B25" s="181">
        <f>'Données projet'!D38</f>
        <v>56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0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30</v>
      </c>
      <c r="B26" s="181">
        <f>'Données projet'!D39</f>
        <v>309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n'est pas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Chêne-liège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str">
        <f>IF(O63+1&lt;=MIN('Données projet'!$E$9:$E$18),O63+1,"STOP")</f>
        <v>STOP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Bouleau verruqueux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21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42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42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31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20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16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226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Chêne pédonculé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29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42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42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42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42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42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90</v>
      </c>
      <c r="B123" s="181">
        <f>'Données projet'!D121</f>
        <v>42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100</v>
      </c>
      <c r="B124" s="181">
        <f>'Données projet'!D122</f>
        <v>42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110</v>
      </c>
      <c r="B125" s="181">
        <f>'Données projet'!D123</f>
        <v>39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120</v>
      </c>
      <c r="B126" s="181">
        <f>'Données projet'!D124</f>
        <v>303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Kevin Brice</cp:lastModifiedBy>
  <dcterms:created xsi:type="dcterms:W3CDTF">2021-02-01T08:22:39Z</dcterms:created>
  <dcterms:modified xsi:type="dcterms:W3CDTF">2023-06-30T13:42:21Z</dcterms:modified>
</cp:coreProperties>
</file>