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3_Reboisement GF de Griveau_Corancy (58)\"/>
    </mc:Choice>
  </mc:AlternateContent>
  <xr:revisionPtr revIDLastSave="0" documentId="13_ncr:1_{189BF49D-20F9-44D8-9F59-0DD0EF5B3FD1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Y154" i="2" s="1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Z6" i="2"/>
  <c r="HI202" i="2"/>
  <c r="EW202" i="2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FD82" i="2" a="1"/>
  <c r="FD82" i="2" s="1"/>
  <c r="DN187" i="2" a="1"/>
  <c r="DN187" i="2" s="1"/>
  <c r="EY202" i="2"/>
  <c r="AX200" i="2"/>
  <c r="CS38" i="2" l="1" a="1"/>
  <c r="CS38" i="2" s="1"/>
  <c r="CS72" i="2" a="1"/>
  <c r="CS72" i="2" s="1"/>
  <c r="CS56" i="2" a="1"/>
  <c r="CS56" i="2" s="1"/>
  <c r="CS120" i="2" a="1"/>
  <c r="CS120" i="2" s="1"/>
  <c r="CS105" i="2" a="1"/>
  <c r="CS105" i="2" s="1"/>
  <c r="CS137" i="2" a="1"/>
  <c r="CS137" i="2" s="1"/>
  <c r="CS129" i="2" a="1"/>
  <c r="CS129" i="2" s="1"/>
  <c r="CS161" i="2" a="1"/>
  <c r="CS161" i="2" s="1"/>
  <c r="CS52" i="2" a="1"/>
  <c r="CS52" i="2" s="1"/>
  <c r="AH163" i="2" a="1"/>
  <c r="AH163" i="2" s="1"/>
  <c r="AH62" i="2" a="1"/>
  <c r="AH62" i="2" s="1"/>
  <c r="CS116" i="2" a="1"/>
  <c r="CS116" i="2" s="1"/>
  <c r="AH19" i="2" a="1"/>
  <c r="AH19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<sst xmlns="http://schemas.openxmlformats.org/spreadsheetml/2006/main" count="1172" uniqueCount="324">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</sst>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9" fontId="9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1.5965320682498849</c:v>
                </c:pt>
                <c:pt idx="2">
                  <c:v>2.0804656684191585</c:v>
                </c:pt>
                <c:pt idx="3">
                  <c:v>2.7116929244465795</c:v>
                </c:pt>
                <c:pt idx="4">
                  <c:v>3.5352194693690122</c:v>
                </c:pt>
                <c:pt idx="5">
                  <c:v>4.6098523220329826</c:v>
                </c:pt>
                <c:pt idx="6">
                  <c:v>6.0124464417853689</c:v>
                </c:pt>
                <c:pt idx="7">
                  <c:v>7.8434619535748142</c:v>
                </c:pt>
                <c:pt idx="8">
                  <c:v>10.234237719242712</c:v>
                </c:pt>
                <c:pt idx="9">
                  <c:v>13.356512818353137</c:v>
                </c:pt>
                <c:pt idx="10">
                  <c:v>17.434892545536155</c:v>
                </c:pt>
                <c:pt idx="11">
                  <c:v>22.763171935699592</c:v>
                </c:pt>
                <c:pt idx="12">
                  <c:v>29.725713609608871</c:v>
                </c:pt>
                <c:pt idx="13">
                  <c:v>38.825448909765242</c:v>
                </c:pt>
                <c:pt idx="14">
                  <c:v>50.720559458970314</c:v>
                </c:pt>
                <c:pt idx="15">
                  <c:v>66.272536635761469</c:v>
                </c:pt>
                <c:pt idx="16">
                  <c:v>87.39720941194355</c:v>
                </c:pt>
                <c:pt idx="17">
                  <c:v>108.39275296262326</c:v>
                </c:pt>
                <c:pt idx="18">
                  <c:v>129.28787235572034</c:v>
                </c:pt>
                <c:pt idx="19">
                  <c:v>150.10114082611082</c:v>
                </c:pt>
                <c:pt idx="20">
                  <c:v>170.84552734277023</c:v>
                </c:pt>
                <c:pt idx="21">
                  <c:v>171.25165998446093</c:v>
                </c:pt>
                <c:pt idx="22">
                  <c:v>198.00899198585157</c:v>
                </c:pt>
                <c:pt idx="23">
                  <c:v>224.68234460131828</c:v>
                </c:pt>
                <c:pt idx="24">
                  <c:v>251.28309296155351</c:v>
                </c:pt>
                <c:pt idx="25">
                  <c:v>277.82000253977031</c:v>
                </c:pt>
                <c:pt idx="26">
                  <c:v>236.17737575758818</c:v>
                </c:pt>
                <c:pt idx="27">
                  <c:v>264.96112067399923</c:v>
                </c:pt>
                <c:pt idx="28">
                  <c:v>293.67434397510982</c:v>
                </c:pt>
                <c:pt idx="29">
                  <c:v>322.32490612511452</c:v>
                </c:pt>
                <c:pt idx="30">
                  <c:v>350.91915547472769</c:v>
                </c:pt>
                <c:pt idx="31">
                  <c:v>309.91024204064519</c:v>
                </c:pt>
                <c:pt idx="32">
                  <c:v>338.92806802551468</c:v>
                </c:pt>
                <c:pt idx="33">
                  <c:v>367.89123357271296</c:v>
                </c:pt>
                <c:pt idx="34">
                  <c:v>396.8046424854017</c:v>
                </c:pt>
                <c:pt idx="35">
                  <c:v>425.67242592235584</c:v>
                </c:pt>
                <c:pt idx="36">
                  <c:v>383.64994645368193</c:v>
                </c:pt>
                <c:pt idx="37">
                  <c:v>411.34354777767368</c:v>
                </c:pt>
                <c:pt idx="38">
                  <c:v>438.99691752196122</c:v>
                </c:pt>
                <c:pt idx="39">
                  <c:v>466.61294333655428</c:v>
                </c:pt>
                <c:pt idx="40">
                  <c:v>494.19414347908759</c:v>
                </c:pt>
                <c:pt idx="41">
                  <c:v>450.72323552042934</c:v>
                </c:pt>
                <c:pt idx="42">
                  <c:v>476.73658583815109</c:v>
                </c:pt>
                <c:pt idx="43">
                  <c:v>502.71975654847256</c:v>
                </c:pt>
                <c:pt idx="44">
                  <c:v>528.67452504254368</c:v>
                </c:pt>
                <c:pt idx="45">
                  <c:v>554.60248014049159</c:v>
                </c:pt>
                <c:pt idx="46">
                  <c:v>509.6569483285125</c:v>
                </c:pt>
                <c:pt idx="47">
                  <c:v>534.02059922958108</c:v>
                </c:pt>
                <c:pt idx="48">
                  <c:v>558.36088338556658</c:v>
                </c:pt>
                <c:pt idx="49">
                  <c:v>582.67896154742527</c:v>
                </c:pt>
                <c:pt idx="50">
                  <c:v>606.97588978345209</c:v>
                </c:pt>
                <c:pt idx="51">
                  <c:v>560.53655870248713</c:v>
                </c:pt>
                <c:pt idx="52">
                  <c:v>583.2718170955078</c:v>
                </c:pt>
                <c:pt idx="53">
                  <c:v>605.98860961044454</c:v>
                </c:pt>
                <c:pt idx="54">
                  <c:v>628.687725133664</c:v>
                </c:pt>
                <c:pt idx="55">
                  <c:v>651.3698910026161</c:v>
                </c:pt>
                <c:pt idx="56">
                  <c:v>610.33239332688595</c:v>
                </c:pt>
                <c:pt idx="57">
                  <c:v>631.44992446698484</c:v>
                </c:pt>
                <c:pt idx="58">
                  <c:v>652.55285597369698</c:v>
                </c:pt>
                <c:pt idx="59">
                  <c:v>673.64172594616355</c:v>
                </c:pt>
                <c:pt idx="60">
                  <c:v>694.71703608163716</c:v>
                </c:pt>
                <c:pt idx="61">
                  <c:v>659.25549182776842</c:v>
                </c:pt>
                <c:pt idx="62">
                  <c:v>678.96105497560336</c:v>
                </c:pt>
                <c:pt idx="63">
                  <c:v>698.65488065528427</c:v>
                </c:pt>
                <c:pt idx="64">
                  <c:v>718.33734596845068</c:v>
                </c:pt>
                <c:pt idx="65">
                  <c:v>738.00880568863431</c:v>
                </c:pt>
                <c:pt idx="66">
                  <c:v>704.7576429027182</c:v>
                </c:pt>
                <c:pt idx="67">
                  <c:v>722.66599941596871</c:v>
                </c:pt>
                <c:pt idx="68">
                  <c:v>740.56530474645945</c:v>
                </c:pt>
                <c:pt idx="69">
                  <c:v>758.45580825595152</c:v>
                </c:pt>
                <c:pt idx="70">
                  <c:v>776.33774659506389</c:v>
                </c:pt>
                <c:pt idx="71">
                  <c:v>744.89127897250319</c:v>
                </c:pt>
                <c:pt idx="72">
                  <c:v>761.60049938263728</c:v>
                </c:pt>
                <c:pt idx="73">
                  <c:v>778.3022821864339</c:v>
                </c:pt>
                <c:pt idx="74">
                  <c:v>794.99680931890123</c:v>
                </c:pt>
                <c:pt idx="75">
                  <c:v>811.6842544585561</c:v>
                </c:pt>
                <c:pt idx="76">
                  <c:v>780.85602837776469</c:v>
                </c:pt>
                <c:pt idx="77">
                  <c:v>796.17497694671363</c:v>
                </c:pt>
                <c:pt idx="78">
                  <c:v>811.48797209662314</c:v>
                </c:pt>
                <c:pt idx="79">
                  <c:v>826.79514189431723</c:v>
                </c:pt>
                <c:pt idx="80">
                  <c:v>842.09660928248729</c:v>
                </c:pt>
                <c:pt idx="81">
                  <c:v>797.94216236075533</c:v>
                </c:pt>
                <c:pt idx="82">
                  <c:v>797.94216236075533</c:v>
                </c:pt>
                <c:pt idx="83">
                  <c:v>797.94216236075533</c:v>
                </c:pt>
                <c:pt idx="84">
                  <c:v>797.94216236075533</c:v>
                </c:pt>
                <c:pt idx="85">
                  <c:v>797.94216236075533</c:v>
                </c:pt>
                <c:pt idx="86">
                  <c:v>797.94216236075533</c:v>
                </c:pt>
                <c:pt idx="87">
                  <c:v>797.94216236075533</c:v>
                </c:pt>
                <c:pt idx="88">
                  <c:v>797.94216236075533</c:v>
                </c:pt>
                <c:pt idx="89">
                  <c:v>797.94216236075533</c:v>
                </c:pt>
                <c:pt idx="90">
                  <c:v>797.94216236075533</c:v>
                </c:pt>
                <c:pt idx="91">
                  <c:v>797.94216236075533</c:v>
                </c:pt>
                <c:pt idx="92">
                  <c:v>797.94216236075533</c:v>
                </c:pt>
                <c:pt idx="93">
                  <c:v>797.94216236075533</c:v>
                </c:pt>
                <c:pt idx="94">
                  <c:v>797.94216236075533</c:v>
                </c:pt>
                <c:pt idx="95">
                  <c:v>797.94216236075533</c:v>
                </c:pt>
                <c:pt idx="96">
                  <c:v>797.94216236075533</c:v>
                </c:pt>
                <c:pt idx="97">
                  <c:v>797.94216236075533</c:v>
                </c:pt>
                <c:pt idx="98">
                  <c:v>797.94216236075533</c:v>
                </c:pt>
                <c:pt idx="99">
                  <c:v>797.94216236075533</c:v>
                </c:pt>
                <c:pt idx="100">
                  <c:v>797.94216236075533</c:v>
                </c:pt>
                <c:pt idx="101">
                  <c:v>797.94216236075533</c:v>
                </c:pt>
                <c:pt idx="102">
                  <c:v>797.94216236075533</c:v>
                </c:pt>
                <c:pt idx="103">
                  <c:v>797.94216236075533</c:v>
                </c:pt>
                <c:pt idx="104">
                  <c:v>797.94216236075533</c:v>
                </c:pt>
                <c:pt idx="105">
                  <c:v>797.94216236075533</c:v>
                </c:pt>
                <c:pt idx="106">
                  <c:v>797.94216236075533</c:v>
                </c:pt>
                <c:pt idx="107">
                  <c:v>797.94216236075533</c:v>
                </c:pt>
                <c:pt idx="108">
                  <c:v>797.94216236075533</c:v>
                </c:pt>
                <c:pt idx="109">
                  <c:v>797.94216236075533</c:v>
                </c:pt>
                <c:pt idx="110">
                  <c:v>797.94216236075533</c:v>
                </c:pt>
                <c:pt idx="111">
                  <c:v>797.94216236075533</c:v>
                </c:pt>
                <c:pt idx="112">
                  <c:v>797.94216236075533</c:v>
                </c:pt>
                <c:pt idx="113">
                  <c:v>797.94216236075533</c:v>
                </c:pt>
                <c:pt idx="114">
                  <c:v>797.94216236075533</c:v>
                </c:pt>
                <c:pt idx="115">
                  <c:v>797.94216236075533</c:v>
                </c:pt>
                <c:pt idx="116">
                  <c:v>797.94216236075533</c:v>
                </c:pt>
                <c:pt idx="117">
                  <c:v>797.94216236075533</c:v>
                </c:pt>
                <c:pt idx="118">
                  <c:v>797.94216236075533</c:v>
                </c:pt>
                <c:pt idx="119">
                  <c:v>797.94216236075533</c:v>
                </c:pt>
                <c:pt idx="120">
                  <c:v>797.94216236075533</c:v>
                </c:pt>
                <c:pt idx="121">
                  <c:v>797.94216236075533</c:v>
                </c:pt>
                <c:pt idx="122">
                  <c:v>797.94216236075533</c:v>
                </c:pt>
                <c:pt idx="123">
                  <c:v>797.94216236075533</c:v>
                </c:pt>
                <c:pt idx="124">
                  <c:v>797.94216236075533</c:v>
                </c:pt>
                <c:pt idx="125">
                  <c:v>797.94216236075533</c:v>
                </c:pt>
                <c:pt idx="126">
                  <c:v>797.94216236075533</c:v>
                </c:pt>
                <c:pt idx="127">
                  <c:v>797.94216236075533</c:v>
                </c:pt>
                <c:pt idx="128">
                  <c:v>797.94216236075533</c:v>
                </c:pt>
                <c:pt idx="129">
                  <c:v>797.94216236075533</c:v>
                </c:pt>
                <c:pt idx="130">
                  <c:v>797.94216236075533</c:v>
                </c:pt>
                <c:pt idx="131">
                  <c:v>797.94216236075533</c:v>
                </c:pt>
                <c:pt idx="132">
                  <c:v>797.94216236075533</c:v>
                </c:pt>
                <c:pt idx="133">
                  <c:v>797.94216236075533</c:v>
                </c:pt>
                <c:pt idx="134">
                  <c:v>797.94216236075533</c:v>
                </c:pt>
                <c:pt idx="135">
                  <c:v>797.94216236075533</c:v>
                </c:pt>
                <c:pt idx="136">
                  <c:v>797.94216236075533</c:v>
                </c:pt>
                <c:pt idx="137">
                  <c:v>797.94216236075533</c:v>
                </c:pt>
                <c:pt idx="138">
                  <c:v>797.94216236075533</c:v>
                </c:pt>
                <c:pt idx="139">
                  <c:v>797.94216236075533</c:v>
                </c:pt>
                <c:pt idx="140">
                  <c:v>797.94216236075533</c:v>
                </c:pt>
                <c:pt idx="141">
                  <c:v>797.94216236075533</c:v>
                </c:pt>
                <c:pt idx="142">
                  <c:v>797.94216236075533</c:v>
                </c:pt>
                <c:pt idx="143">
                  <c:v>797.94216236075533</c:v>
                </c:pt>
                <c:pt idx="144">
                  <c:v>797.94216236075533</c:v>
                </c:pt>
                <c:pt idx="145">
                  <c:v>797.94216236075533</c:v>
                </c:pt>
                <c:pt idx="146">
                  <c:v>797.94216236075533</c:v>
                </c:pt>
                <c:pt idx="147">
                  <c:v>797.94216236075533</c:v>
                </c:pt>
                <c:pt idx="148">
                  <c:v>797.94216236075533</c:v>
                </c:pt>
                <c:pt idx="149">
                  <c:v>797.94216236075533</c:v>
                </c:pt>
                <c:pt idx="150">
                  <c:v>797.94216236075533</c:v>
                </c:pt>
                <c:pt idx="151">
                  <c:v>797.94216236075533</c:v>
                </c:pt>
                <c:pt idx="152">
                  <c:v>797.94216236075533</c:v>
                </c:pt>
                <c:pt idx="153">
                  <c:v>797.94216236075533</c:v>
                </c:pt>
                <c:pt idx="154">
                  <c:v>797.94216236075533</c:v>
                </c:pt>
                <c:pt idx="155">
                  <c:v>797.94216236075533</c:v>
                </c:pt>
                <c:pt idx="156">
                  <c:v>797.94216236075533</c:v>
                </c:pt>
                <c:pt idx="157">
                  <c:v>797.94216236075533</c:v>
                </c:pt>
                <c:pt idx="158">
                  <c:v>797.94216236075533</c:v>
                </c:pt>
                <c:pt idx="159">
                  <c:v>797.94216236075533</c:v>
                </c:pt>
                <c:pt idx="160">
                  <c:v>797.94216236075533</c:v>
                </c:pt>
                <c:pt idx="161">
                  <c:v>797.94216236075533</c:v>
                </c:pt>
                <c:pt idx="162">
                  <c:v>797.94216236075533</c:v>
                </c:pt>
                <c:pt idx="163">
                  <c:v>797.94216236075533</c:v>
                </c:pt>
                <c:pt idx="164">
                  <c:v>797.94216236075533</c:v>
                </c:pt>
                <c:pt idx="165">
                  <c:v>797.94216236075533</c:v>
                </c:pt>
                <c:pt idx="166">
                  <c:v>797.94216236075533</c:v>
                </c:pt>
                <c:pt idx="167">
                  <c:v>797.94216236075533</c:v>
                </c:pt>
                <c:pt idx="168">
                  <c:v>797.94216236075533</c:v>
                </c:pt>
                <c:pt idx="169">
                  <c:v>797.94216236075533</c:v>
                </c:pt>
                <c:pt idx="170">
                  <c:v>797.94216236075533</c:v>
                </c:pt>
                <c:pt idx="171">
                  <c:v>797.94216236075533</c:v>
                </c:pt>
                <c:pt idx="172">
                  <c:v>797.94216236075533</c:v>
                </c:pt>
                <c:pt idx="173">
                  <c:v>797.94216236075533</c:v>
                </c:pt>
                <c:pt idx="174">
                  <c:v>797.94216236075533</c:v>
                </c:pt>
                <c:pt idx="175">
                  <c:v>797.94216236075533</c:v>
                </c:pt>
                <c:pt idx="176">
                  <c:v>797.94216236075533</c:v>
                </c:pt>
                <c:pt idx="177">
                  <c:v>797.94216236075533</c:v>
                </c:pt>
                <c:pt idx="178">
                  <c:v>797.94216236075533</c:v>
                </c:pt>
                <c:pt idx="179">
                  <c:v>797.94216236075533</c:v>
                </c:pt>
                <c:pt idx="180">
                  <c:v>797.94216236075533</c:v>
                </c:pt>
                <c:pt idx="181">
                  <c:v>797.94216236075533</c:v>
                </c:pt>
                <c:pt idx="182">
                  <c:v>797.94216236075533</c:v>
                </c:pt>
                <c:pt idx="183">
                  <c:v>797.94216236075533</c:v>
                </c:pt>
                <c:pt idx="184">
                  <c:v>797.94216236075533</c:v>
                </c:pt>
                <c:pt idx="185">
                  <c:v>797.94216236075533</c:v>
                </c:pt>
                <c:pt idx="186">
                  <c:v>797.94216236075533</c:v>
                </c:pt>
                <c:pt idx="187">
                  <c:v>797.94216236075533</c:v>
                </c:pt>
                <c:pt idx="188">
                  <c:v>797.94216236075533</c:v>
                </c:pt>
                <c:pt idx="189">
                  <c:v>797.94216236075533</c:v>
                </c:pt>
                <c:pt idx="190">
                  <c:v>797.94216236075533</c:v>
                </c:pt>
                <c:pt idx="191">
                  <c:v>797.94216236075533</c:v>
                </c:pt>
                <c:pt idx="192">
                  <c:v>797.94216236075533</c:v>
                </c:pt>
                <c:pt idx="193">
                  <c:v>797.94216236075533</c:v>
                </c:pt>
                <c:pt idx="194">
                  <c:v>797.94216236075533</c:v>
                </c:pt>
                <c:pt idx="195">
                  <c:v>797.94216236075533</c:v>
                </c:pt>
                <c:pt idx="196">
                  <c:v>797.94216236075533</c:v>
                </c:pt>
                <c:pt idx="197">
                  <c:v>797.94216236075533</c:v>
                </c:pt>
                <c:pt idx="198">
                  <c:v>797.94216236075533</c:v>
                </c:pt>
                <c:pt idx="199">
                  <c:v>797.94216236075533</c:v>
                </c:pt>
                <c:pt idx="200">
                  <c:v>797.94216236075533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3.1789133645949152</c:v>
                </c:pt>
                <c:pt idx="2">
                  <c:v>3.8066012494147365</c:v>
                </c:pt>
                <c:pt idx="3">
                  <c:v>4.5586856518299959</c:v>
                </c:pt>
                <c:pt idx="4">
                  <c:v>5.4599051822734497</c:v>
                </c:pt>
                <c:pt idx="5">
                  <c:v>6.5399341005058345</c:v>
                </c:pt>
                <c:pt idx="6">
                  <c:v>7.8343699878635862</c:v>
                </c:pt>
                <c:pt idx="7">
                  <c:v>9.3859196082097007</c:v>
                </c:pt>
                <c:pt idx="8">
                  <c:v>11.245822827226961</c:v>
                </c:pt>
                <c:pt idx="9">
                  <c:v>13.475562498771119</c:v>
                </c:pt>
                <c:pt idx="10">
                  <c:v>16.148917890424809</c:v>
                </c:pt>
                <c:pt idx="11">
                  <c:v>19.35443083699084</c:v>
                </c:pt>
                <c:pt idx="12">
                  <c:v>23.198367775946725</c:v>
                </c:pt>
                <c:pt idx="13">
                  <c:v>27.808277608584905</c:v>
                </c:pt>
                <c:pt idx="14">
                  <c:v>33.337265516940001</c:v>
                </c:pt>
                <c:pt idx="15">
                  <c:v>39.969127138040541</c:v>
                </c:pt>
                <c:pt idx="16">
                  <c:v>47.924516681638387</c:v>
                </c:pt>
                <c:pt idx="17">
                  <c:v>57.468357671619486</c:v>
                </c:pt>
                <c:pt idx="18">
                  <c:v>68.918747193365917</c:v>
                </c:pt>
                <c:pt idx="19">
                  <c:v>82.65765528146629</c:v>
                </c:pt>
                <c:pt idx="20">
                  <c:v>99.143782119399972</c:v>
                </c:pt>
                <c:pt idx="21">
                  <c:v>111.99106512728763</c:v>
                </c:pt>
                <c:pt idx="22">
                  <c:v>124.80217592836114</c:v>
                </c:pt>
                <c:pt idx="23">
                  <c:v>137.58135594016102</c:v>
                </c:pt>
                <c:pt idx="24">
                  <c:v>150.33199216939715</c:v>
                </c:pt>
                <c:pt idx="25">
                  <c:v>163.0568489007332</c:v>
                </c:pt>
                <c:pt idx="26">
                  <c:v>160.78633625957775</c:v>
                </c:pt>
                <c:pt idx="27">
                  <c:v>176.66461846922871</c:v>
                </c:pt>
                <c:pt idx="28">
                  <c:v>192.50941388080682</c:v>
                </c:pt>
                <c:pt idx="29">
                  <c:v>208.3238677726421</c:v>
                </c:pt>
                <c:pt idx="30">
                  <c:v>224.11060835152207</c:v>
                </c:pt>
                <c:pt idx="31">
                  <c:v>194.77041295233732</c:v>
                </c:pt>
                <c:pt idx="32">
                  <c:v>212.83708887213751</c:v>
                </c:pt>
                <c:pt idx="33">
                  <c:v>230.86843461387113</c:v>
                </c:pt>
                <c:pt idx="34">
                  <c:v>248.86759792936172</c:v>
                </c:pt>
                <c:pt idx="35">
                  <c:v>266.83723378272913</c:v>
                </c:pt>
                <c:pt idx="36">
                  <c:v>238.52184729375213</c:v>
                </c:pt>
                <c:pt idx="37">
                  <c:v>257.4067095917905</c:v>
                </c:pt>
                <c:pt idx="38">
                  <c:v>276.26024969794508</c:v>
                </c:pt>
                <c:pt idx="39">
                  <c:v>295.08490550123889</c:v>
                </c:pt>
                <c:pt idx="40">
                  <c:v>313.882778399144</c:v>
                </c:pt>
                <c:pt idx="41">
                  <c:v>285.67604975379072</c:v>
                </c:pt>
                <c:pt idx="42">
                  <c:v>304.48706974706403</c:v>
                </c:pt>
                <c:pt idx="43">
                  <c:v>323.27225207911937</c:v>
                </c:pt>
                <c:pt idx="44">
                  <c:v>342.0333089023552</c:v>
                </c:pt>
                <c:pt idx="45">
                  <c:v>360.77174923573011</c:v>
                </c:pt>
                <c:pt idx="46">
                  <c:v>332.20900058507158</c:v>
                </c:pt>
                <c:pt idx="47">
                  <c:v>350.51293987860367</c:v>
                </c:pt>
                <c:pt idx="48">
                  <c:v>368.79592322817575</c:v>
                </c:pt>
                <c:pt idx="49">
                  <c:v>387.05913530996241</c:v>
                </c:pt>
                <c:pt idx="50">
                  <c:v>405.30363991428743</c:v>
                </c:pt>
                <c:pt idx="51">
                  <c:v>376.37081053726507</c:v>
                </c:pt>
                <c:pt idx="52">
                  <c:v>394.18111266295523</c:v>
                </c:pt>
                <c:pt idx="53">
                  <c:v>411.97397670838632</c:v>
                </c:pt>
                <c:pt idx="54">
                  <c:v>429.75026149342511</c:v>
                </c:pt>
                <c:pt idx="55">
                  <c:v>447.51074902101635</c:v>
                </c:pt>
                <c:pt idx="56">
                  <c:v>417.75304845733575</c:v>
                </c:pt>
                <c:pt idx="57">
                  <c:v>434.63593891144541</c:v>
                </c:pt>
                <c:pt idx="58">
                  <c:v>451.50475594502092</c:v>
                </c:pt>
                <c:pt idx="59">
                  <c:v>468.36009916440707</c:v>
                </c:pt>
                <c:pt idx="60">
                  <c:v>485.20252151676596</c:v>
                </c:pt>
                <c:pt idx="61">
                  <c:v>454.61068299689782</c:v>
                </c:pt>
                <c:pt idx="62">
                  <c:v>470.57693415697872</c:v>
                </c:pt>
                <c:pt idx="63">
                  <c:v>486.5316514967526</c:v>
                </c:pt>
                <c:pt idx="64">
                  <c:v>502.47526635010644</c:v>
                </c:pt>
                <c:pt idx="65">
                  <c:v>518.40818045759727</c:v>
                </c:pt>
                <c:pt idx="66">
                  <c:v>486.97467768184441</c:v>
                </c:pt>
                <c:pt idx="67">
                  <c:v>502.03253444791227</c:v>
                </c:pt>
                <c:pt idx="68">
                  <c:v>517.08083700630607</c:v>
                </c:pt>
                <c:pt idx="69">
                  <c:v>532.11990246351058</c:v>
                </c:pt>
                <c:pt idx="70">
                  <c:v>547.15002854720217</c:v>
                </c:pt>
                <c:pt idx="71">
                  <c:v>514.42593418418755</c:v>
                </c:pt>
                <c:pt idx="72">
                  <c:v>528.13985522390851</c:v>
                </c:pt>
                <c:pt idx="73">
                  <c:v>541.84628101014516</c:v>
                </c:pt>
                <c:pt idx="74">
                  <c:v>555.54542779246219</c:v>
                </c:pt>
                <c:pt idx="75">
                  <c:v>569.2375002894953</c:v>
                </c:pt>
                <c:pt idx="76">
                  <c:v>536.09932342421178</c:v>
                </c:pt>
                <c:pt idx="77">
                  <c:v>549.35960435614868</c:v>
                </c:pt>
                <c:pt idx="78">
                  <c:v>562.61317479886031</c:v>
                </c:pt>
                <c:pt idx="79">
                  <c:v>575.86021505494853</c:v>
                </c:pt>
                <c:pt idx="80">
                  <c:v>589.10089645816265</c:v>
                </c:pt>
                <c:pt idx="81">
                  <c:v>555.54542779246219</c:v>
                </c:pt>
                <c:pt idx="82">
                  <c:v>568.354350422528</c:v>
                </c:pt>
                <c:pt idx="83">
                  <c:v>581.1572413701989</c:v>
                </c:pt>
                <c:pt idx="84">
                  <c:v>593.9542521947759</c:v>
                </c:pt>
                <c:pt idx="85">
                  <c:v>606.74552739447779</c:v>
                </c:pt>
                <c:pt idx="86">
                  <c:v>572.32829966055499</c:v>
                </c:pt>
                <c:pt idx="87">
                  <c:v>584.24670779950202</c:v>
                </c:pt>
                <c:pt idx="88">
                  <c:v>596.16004974436078</c:v>
                </c:pt>
                <c:pt idx="89">
                  <c:v>608.06844097522537</c:v>
                </c:pt>
                <c:pt idx="90">
                  <c:v>619.9719920816176</c:v>
                </c:pt>
                <c:pt idx="91">
                  <c:v>584.68803230277865</c:v>
                </c:pt>
                <c:pt idx="92">
                  <c:v>595.71890383853497</c:v>
                </c:pt>
                <c:pt idx="93">
                  <c:v>606.74552739447779</c:v>
                </c:pt>
                <c:pt idx="94">
                  <c:v>617.76799103507346</c:v>
                </c:pt>
                <c:pt idx="95">
                  <c:v>628.78637942674527</c:v>
                </c:pt>
                <c:pt idx="96">
                  <c:v>593.07188547985857</c:v>
                </c:pt>
                <c:pt idx="97">
                  <c:v>603.65849584124965</c:v>
                </c:pt>
                <c:pt idx="98">
                  <c:v>614.24125004409814</c:v>
                </c:pt>
                <c:pt idx="99">
                  <c:v>624.82022387786867</c:v>
                </c:pt>
                <c:pt idx="100">
                  <c:v>635.39549035690561</c:v>
                </c:pt>
                <c:pt idx="101">
                  <c:v>599.2478812703564</c:v>
                </c:pt>
                <c:pt idx="102">
                  <c:v>609.39129480601252</c:v>
                </c:pt>
                <c:pt idx="103">
                  <c:v>619.53120488045533</c:v>
                </c:pt>
                <c:pt idx="104">
                  <c:v>629.66767690849451</c:v>
                </c:pt>
                <c:pt idx="105">
                  <c:v>639.80077402749509</c:v>
                </c:pt>
                <c:pt idx="106">
                  <c:v>604.98154941847156</c:v>
                </c:pt>
                <c:pt idx="107">
                  <c:v>614.24125004409836</c:v>
                </c:pt>
                <c:pt idx="108">
                  <c:v>623.49805636613041</c:v>
                </c:pt>
                <c:pt idx="109">
                  <c:v>632.75201740881005</c:v>
                </c:pt>
                <c:pt idx="110">
                  <c:v>642.00318064566773</c:v>
                </c:pt>
                <c:pt idx="111">
                  <c:v>608.50939888371101</c:v>
                </c:pt>
                <c:pt idx="112">
                  <c:v>616.88634501376157</c:v>
                </c:pt>
                <c:pt idx="113">
                  <c:v>625.26093350286112</c:v>
                </c:pt>
                <c:pt idx="114">
                  <c:v>633.63320038030508</c:v>
                </c:pt>
                <c:pt idx="115">
                  <c:v>642.00318064566795</c:v>
                </c:pt>
                <c:pt idx="116">
                  <c:v>602.33538201530905</c:v>
                </c:pt>
                <c:pt idx="117">
                  <c:v>602.33538201530905</c:v>
                </c:pt>
                <c:pt idx="118">
                  <c:v>602.33538201530905</c:v>
                </c:pt>
                <c:pt idx="119">
                  <c:v>602.33538201530905</c:v>
                </c:pt>
                <c:pt idx="120">
                  <c:v>602.33538201530905</c:v>
                </c:pt>
                <c:pt idx="121">
                  <c:v>602.33538201530905</c:v>
                </c:pt>
                <c:pt idx="122">
                  <c:v>602.33538201530905</c:v>
                </c:pt>
                <c:pt idx="123">
                  <c:v>602.33538201530905</c:v>
                </c:pt>
                <c:pt idx="124">
                  <c:v>602.33538201530905</c:v>
                </c:pt>
                <c:pt idx="125">
                  <c:v>602.33538201530905</c:v>
                </c:pt>
                <c:pt idx="126">
                  <c:v>602.33538201530905</c:v>
                </c:pt>
                <c:pt idx="127">
                  <c:v>602.33538201530905</c:v>
                </c:pt>
                <c:pt idx="128">
                  <c:v>602.33538201530905</c:v>
                </c:pt>
                <c:pt idx="129">
                  <c:v>602.33538201530905</c:v>
                </c:pt>
                <c:pt idx="130">
                  <c:v>602.33538201530905</c:v>
                </c:pt>
                <c:pt idx="131">
                  <c:v>602.33538201530905</c:v>
                </c:pt>
                <c:pt idx="132">
                  <c:v>602.33538201530905</c:v>
                </c:pt>
                <c:pt idx="133">
                  <c:v>602.33538201530905</c:v>
                </c:pt>
                <c:pt idx="134">
                  <c:v>602.33538201530905</c:v>
                </c:pt>
                <c:pt idx="135">
                  <c:v>602.33538201530905</c:v>
                </c:pt>
                <c:pt idx="136">
                  <c:v>602.33538201530905</c:v>
                </c:pt>
                <c:pt idx="137">
                  <c:v>602.33538201530905</c:v>
                </c:pt>
                <c:pt idx="138">
                  <c:v>602.33538201530905</c:v>
                </c:pt>
                <c:pt idx="139">
                  <c:v>602.33538201530905</c:v>
                </c:pt>
                <c:pt idx="140">
                  <c:v>602.33538201530905</c:v>
                </c:pt>
                <c:pt idx="141">
                  <c:v>602.33538201530905</c:v>
                </c:pt>
                <c:pt idx="142">
                  <c:v>602.33538201530905</c:v>
                </c:pt>
                <c:pt idx="143">
                  <c:v>602.33538201530905</c:v>
                </c:pt>
                <c:pt idx="144">
                  <c:v>602.33538201530905</c:v>
                </c:pt>
                <c:pt idx="145">
                  <c:v>602.33538201530905</c:v>
                </c:pt>
                <c:pt idx="146">
                  <c:v>602.33538201530905</c:v>
                </c:pt>
                <c:pt idx="147">
                  <c:v>602.33538201530905</c:v>
                </c:pt>
                <c:pt idx="148">
                  <c:v>602.33538201530905</c:v>
                </c:pt>
                <c:pt idx="149">
                  <c:v>602.33538201530905</c:v>
                </c:pt>
                <c:pt idx="150">
                  <c:v>602.33538201530905</c:v>
                </c:pt>
                <c:pt idx="151">
                  <c:v>602.33538201530905</c:v>
                </c:pt>
                <c:pt idx="152">
                  <c:v>602.33538201530905</c:v>
                </c:pt>
                <c:pt idx="153">
                  <c:v>602.33538201530905</c:v>
                </c:pt>
                <c:pt idx="154">
                  <c:v>602.33538201530905</c:v>
                </c:pt>
                <c:pt idx="155">
                  <c:v>602.33538201530905</c:v>
                </c:pt>
                <c:pt idx="156">
                  <c:v>602.33538201530905</c:v>
                </c:pt>
                <c:pt idx="157">
                  <c:v>602.33538201530905</c:v>
                </c:pt>
                <c:pt idx="158">
                  <c:v>602.33538201530905</c:v>
                </c:pt>
                <c:pt idx="159">
                  <c:v>602.33538201530905</c:v>
                </c:pt>
                <c:pt idx="160">
                  <c:v>602.33538201530905</c:v>
                </c:pt>
                <c:pt idx="161">
                  <c:v>602.33538201530905</c:v>
                </c:pt>
                <c:pt idx="162">
                  <c:v>602.33538201530905</c:v>
                </c:pt>
                <c:pt idx="163">
                  <c:v>602.33538201530905</c:v>
                </c:pt>
                <c:pt idx="164">
                  <c:v>602.33538201530905</c:v>
                </c:pt>
                <c:pt idx="165">
                  <c:v>602.33538201530905</c:v>
                </c:pt>
                <c:pt idx="166">
                  <c:v>602.33538201530905</c:v>
                </c:pt>
                <c:pt idx="167">
                  <c:v>602.33538201530905</c:v>
                </c:pt>
                <c:pt idx="168">
                  <c:v>602.33538201530905</c:v>
                </c:pt>
                <c:pt idx="169">
                  <c:v>602.33538201530905</c:v>
                </c:pt>
                <c:pt idx="170">
                  <c:v>602.33538201530905</c:v>
                </c:pt>
                <c:pt idx="171">
                  <c:v>602.33538201530905</c:v>
                </c:pt>
                <c:pt idx="172">
                  <c:v>602.33538201530905</c:v>
                </c:pt>
                <c:pt idx="173">
                  <c:v>602.33538201530905</c:v>
                </c:pt>
                <c:pt idx="174">
                  <c:v>602.33538201530905</c:v>
                </c:pt>
                <c:pt idx="175">
                  <c:v>602.33538201530905</c:v>
                </c:pt>
                <c:pt idx="176">
                  <c:v>602.33538201530905</c:v>
                </c:pt>
                <c:pt idx="177">
                  <c:v>602.33538201530905</c:v>
                </c:pt>
                <c:pt idx="178">
                  <c:v>602.33538201530905</c:v>
                </c:pt>
                <c:pt idx="179">
                  <c:v>602.33538201530905</c:v>
                </c:pt>
                <c:pt idx="180">
                  <c:v>602.33538201530905</c:v>
                </c:pt>
                <c:pt idx="181">
                  <c:v>602.33538201530905</c:v>
                </c:pt>
                <c:pt idx="182">
                  <c:v>602.33538201530905</c:v>
                </c:pt>
                <c:pt idx="183">
                  <c:v>602.33538201530905</c:v>
                </c:pt>
                <c:pt idx="184">
                  <c:v>602.33538201530905</c:v>
                </c:pt>
                <c:pt idx="185">
                  <c:v>602.33538201530905</c:v>
                </c:pt>
                <c:pt idx="186">
                  <c:v>602.33538201530905</c:v>
                </c:pt>
                <c:pt idx="187">
                  <c:v>602.33538201530905</c:v>
                </c:pt>
                <c:pt idx="188">
                  <c:v>602.33538201530905</c:v>
                </c:pt>
                <c:pt idx="189">
                  <c:v>602.33538201530905</c:v>
                </c:pt>
                <c:pt idx="190">
                  <c:v>602.33538201530905</c:v>
                </c:pt>
                <c:pt idx="191">
                  <c:v>602.33538201530905</c:v>
                </c:pt>
                <c:pt idx="192">
                  <c:v>602.33538201530905</c:v>
                </c:pt>
                <c:pt idx="193">
                  <c:v>602.33538201530905</c:v>
                </c:pt>
                <c:pt idx="194">
                  <c:v>602.33538201530905</c:v>
                </c:pt>
                <c:pt idx="195">
                  <c:v>602.33538201530905</c:v>
                </c:pt>
                <c:pt idx="196">
                  <c:v>602.33538201530905</c:v>
                </c:pt>
                <c:pt idx="197">
                  <c:v>602.33538201530905</c:v>
                </c:pt>
                <c:pt idx="198">
                  <c:v>602.33538201530905</c:v>
                </c:pt>
                <c:pt idx="199">
                  <c:v>602.33538201530905</c:v>
                </c:pt>
                <c:pt idx="200">
                  <c:v>602.33538201530905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70" t="s">
        <v>291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9" zoomScaleNormal="79" workbookViewId="0">
      <selection activeCell="G77" sqref="G7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6" t="s">
        <v>192</v>
      </c>
      <c r="C3" s="277"/>
      <c r="D3" s="277"/>
      <c r="E3" s="277"/>
      <c r="F3" s="278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81" t="s">
        <v>231</v>
      </c>
      <c r="B5" s="281"/>
      <c r="C5" s="24">
        <v>0.5</v>
      </c>
      <c r="D5" s="282" t="s">
        <v>229</v>
      </c>
      <c r="E5" s="283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80" t="s">
        <v>226</v>
      </c>
      <c r="B7" s="280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0.5</v>
      </c>
      <c r="D9" s="33">
        <f t="shared" ref="D9:D18" si="0">C9*$C$5</f>
        <v>0.25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164</v>
      </c>
      <c r="C10" s="266">
        <v>0.2</v>
      </c>
      <c r="D10" s="33">
        <f t="shared" si="0"/>
        <v>0.1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9</v>
      </c>
      <c r="C11" s="266">
        <v>0.3</v>
      </c>
      <c r="D11" s="33">
        <f t="shared" si="0"/>
        <v>0.15</v>
      </c>
      <c r="E11" s="265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6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267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267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0.5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9" t="s">
        <v>232</v>
      </c>
      <c r="B22" s="27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80" t="s">
        <v>227</v>
      </c>
      <c r="B30" s="280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62</v>
      </c>
      <c r="C62" s="261"/>
      <c r="D62" s="261">
        <v>0</v>
      </c>
      <c r="E62" s="260"/>
      <c r="F62" s="260"/>
      <c r="G62" s="260"/>
      <c r="H62" s="260"/>
      <c r="I62" s="53">
        <f>IFERROR(B62/A62,"")</f>
        <v>4.1333333333333337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164</v>
      </c>
      <c r="C63" s="261">
        <v>1</v>
      </c>
      <c r="D63" s="261">
        <v>26</v>
      </c>
      <c r="E63" s="260"/>
      <c r="F63" s="260"/>
      <c r="G63" s="260">
        <v>1</v>
      </c>
      <c r="H63" s="260"/>
      <c r="I63" s="49">
        <f>IF(A63&lt;&gt;0,(B63-(B62-D62))/(A63-A62),"")</f>
        <v>20.399999999999999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270</v>
      </c>
      <c r="C64" s="261">
        <v>2</v>
      </c>
      <c r="D64" s="261">
        <v>70</v>
      </c>
      <c r="E64" s="260"/>
      <c r="F64" s="260">
        <v>1</v>
      </c>
      <c r="G64" s="260"/>
      <c r="H64" s="260"/>
      <c r="I64" s="49">
        <f>IF(A64&lt;&gt;0,(B64-(B63-D63))/(A64-A63),"")</f>
        <v>26.4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343</v>
      </c>
      <c r="C65" s="261">
        <v>3</v>
      </c>
      <c r="D65" s="261">
        <v>70</v>
      </c>
      <c r="E65" s="260"/>
      <c r="F65" s="260">
        <v>1</v>
      </c>
      <c r="G65" s="260"/>
      <c r="H65" s="260"/>
      <c r="I65" s="49">
        <f>IF(A65&lt;&gt;0,(B65-(B64-D64))/(A65-A64),"")</f>
        <v>28.6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418</v>
      </c>
      <c r="C66" s="261">
        <v>4</v>
      </c>
      <c r="D66" s="261">
        <v>70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487</v>
      </c>
      <c r="C67" s="261">
        <v>5</v>
      </c>
      <c r="D67" s="261">
        <v>70</v>
      </c>
      <c r="E67" s="260">
        <v>1</v>
      </c>
      <c r="F67" s="260"/>
      <c r="G67" s="260"/>
      <c r="H67" s="260"/>
      <c r="I67" s="49">
        <f t="shared" si="2"/>
        <v>27.8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548</v>
      </c>
      <c r="C68" s="261">
        <v>6</v>
      </c>
      <c r="D68" s="261">
        <v>70</v>
      </c>
      <c r="E68" s="260">
        <v>1</v>
      </c>
      <c r="F68" s="260"/>
      <c r="G68" s="260"/>
      <c r="H68" s="260"/>
      <c r="I68" s="49">
        <f t="shared" si="2"/>
        <v>26.2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601</v>
      </c>
      <c r="C69" s="261">
        <v>7</v>
      </c>
      <c r="D69" s="261">
        <v>70</v>
      </c>
      <c r="E69" s="260">
        <v>1</v>
      </c>
      <c r="F69" s="260"/>
      <c r="G69" s="260"/>
      <c r="H69" s="260"/>
      <c r="I69" s="49">
        <f t="shared" si="2"/>
        <v>24.6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646</v>
      </c>
      <c r="C70" s="261">
        <v>8</v>
      </c>
      <c r="D70" s="261">
        <v>63</v>
      </c>
      <c r="E70" s="260">
        <v>1</v>
      </c>
      <c r="F70" s="260"/>
      <c r="G70" s="260"/>
      <c r="H70" s="260"/>
      <c r="I70" s="49">
        <f t="shared" si="2"/>
        <v>23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690</v>
      </c>
      <c r="C71" s="261">
        <v>9</v>
      </c>
      <c r="D71" s="261">
        <v>56</v>
      </c>
      <c r="E71" s="260">
        <v>1</v>
      </c>
      <c r="F71" s="260"/>
      <c r="G71" s="260"/>
      <c r="H71" s="260"/>
      <c r="I71" s="49">
        <f t="shared" si="2"/>
        <v>21.4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734</v>
      </c>
      <c r="C72" s="261">
        <v>10</v>
      </c>
      <c r="D72" s="261">
        <v>52</v>
      </c>
      <c r="E72" s="260">
        <v>1</v>
      </c>
      <c r="F72" s="260"/>
      <c r="G72" s="260"/>
      <c r="H72" s="260"/>
      <c r="I72" s="49">
        <f t="shared" si="2"/>
        <v>20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70</v>
      </c>
      <c r="B73" s="261">
        <v>773</v>
      </c>
      <c r="C73" s="261">
        <v>11</v>
      </c>
      <c r="D73" s="261">
        <v>49</v>
      </c>
      <c r="E73" s="260">
        <v>1</v>
      </c>
      <c r="F73" s="260"/>
      <c r="G73" s="260"/>
      <c r="H73" s="260"/>
      <c r="I73" s="49">
        <f t="shared" si="2"/>
        <v>18.2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75</v>
      </c>
      <c r="B74" s="261">
        <v>809</v>
      </c>
      <c r="C74" s="261">
        <v>12</v>
      </c>
      <c r="D74" s="261">
        <v>47</v>
      </c>
      <c r="E74" s="260">
        <v>1</v>
      </c>
      <c r="F74" s="260"/>
      <c r="G74" s="260"/>
      <c r="H74" s="260"/>
      <c r="I74" s="49">
        <f t="shared" si="2"/>
        <v>17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80</v>
      </c>
      <c r="B75" s="261">
        <v>840</v>
      </c>
      <c r="C75" s="261">
        <v>13</v>
      </c>
      <c r="D75" s="261">
        <v>45</v>
      </c>
      <c r="E75" s="260">
        <v>1</v>
      </c>
      <c r="F75" s="260"/>
      <c r="G75" s="260"/>
      <c r="H75" s="260"/>
      <c r="I75" s="49">
        <f t="shared" si="2"/>
        <v>15.6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chevelu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42</v>
      </c>
      <c r="C88" s="50"/>
      <c r="D88" s="60">
        <v>0</v>
      </c>
      <c r="E88" s="51"/>
      <c r="F88" s="51"/>
      <c r="G88" s="51"/>
      <c r="H88" s="51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70</v>
      </c>
      <c r="C89" s="50">
        <v>1</v>
      </c>
      <c r="D89" s="60">
        <v>8</v>
      </c>
      <c r="E89" s="51"/>
      <c r="F89" s="51"/>
      <c r="G89" s="51"/>
      <c r="H89" s="51">
        <v>1</v>
      </c>
      <c r="I89" s="53">
        <f t="shared" ref="I89:I100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97</v>
      </c>
      <c r="C90" s="50">
        <v>2</v>
      </c>
      <c r="D90" s="60">
        <v>21</v>
      </c>
      <c r="E90" s="51"/>
      <c r="F90" s="51"/>
      <c r="G90" s="51"/>
      <c r="H90" s="51">
        <v>1</v>
      </c>
      <c r="I90" s="53">
        <f t="shared" si="3"/>
        <v>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116</v>
      </c>
      <c r="C91" s="50">
        <v>3</v>
      </c>
      <c r="D91" s="60">
        <v>21</v>
      </c>
      <c r="E91" s="51">
        <v>1</v>
      </c>
      <c r="F91" s="51"/>
      <c r="G91" s="51"/>
      <c r="H91" s="51"/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137</v>
      </c>
      <c r="C92" s="50">
        <v>4</v>
      </c>
      <c r="D92" s="60">
        <v>21</v>
      </c>
      <c r="E92" s="51">
        <v>1</v>
      </c>
      <c r="F92" s="51"/>
      <c r="G92" s="51"/>
      <c r="H92" s="51"/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158</v>
      </c>
      <c r="C93" s="50">
        <v>5</v>
      </c>
      <c r="D93" s="60">
        <v>21</v>
      </c>
      <c r="E93" s="51">
        <v>1</v>
      </c>
      <c r="F93" s="51"/>
      <c r="G93" s="51"/>
      <c r="H93" s="51"/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60">
        <v>50</v>
      </c>
      <c r="B94" s="60">
        <v>178</v>
      </c>
      <c r="C94" s="60">
        <v>6</v>
      </c>
      <c r="D94" s="60">
        <v>21</v>
      </c>
      <c r="E94" s="269">
        <v>1</v>
      </c>
      <c r="F94" s="269"/>
      <c r="G94" s="269"/>
      <c r="H94" s="269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197</v>
      </c>
      <c r="C95" s="60">
        <v>7</v>
      </c>
      <c r="D95" s="60">
        <v>21</v>
      </c>
      <c r="E95" s="269">
        <v>1</v>
      </c>
      <c r="F95" s="269"/>
      <c r="G95" s="269"/>
      <c r="H95" s="269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214</v>
      </c>
      <c r="C96" s="60">
        <v>8</v>
      </c>
      <c r="D96" s="60">
        <v>21</v>
      </c>
      <c r="E96" s="269">
        <v>1</v>
      </c>
      <c r="F96" s="269"/>
      <c r="G96" s="269"/>
      <c r="H96" s="269"/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229</v>
      </c>
      <c r="C97" s="60">
        <v>9</v>
      </c>
      <c r="D97" s="60">
        <v>21</v>
      </c>
      <c r="E97" s="269">
        <v>1</v>
      </c>
      <c r="F97" s="269"/>
      <c r="G97" s="269"/>
      <c r="H97" s="269"/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242</v>
      </c>
      <c r="C98" s="60">
        <v>10</v>
      </c>
      <c r="D98" s="60">
        <v>21</v>
      </c>
      <c r="E98" s="269">
        <v>1</v>
      </c>
      <c r="F98" s="269"/>
      <c r="G98" s="269"/>
      <c r="H98" s="269"/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252</v>
      </c>
      <c r="C99" s="60">
        <v>11</v>
      </c>
      <c r="D99" s="60">
        <v>21</v>
      </c>
      <c r="E99" s="269">
        <v>1</v>
      </c>
      <c r="F99" s="269"/>
      <c r="G99" s="269"/>
      <c r="H99" s="269"/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261</v>
      </c>
      <c r="C100" s="60">
        <v>12</v>
      </c>
      <c r="D100" s="60">
        <v>21</v>
      </c>
      <c r="E100" s="268">
        <v>1</v>
      </c>
      <c r="F100" s="268"/>
      <c r="G100" s="268"/>
      <c r="H100" s="268"/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269</v>
      </c>
      <c r="C101" s="60">
        <v>13</v>
      </c>
      <c r="D101" s="60">
        <v>21</v>
      </c>
      <c r="E101" s="268">
        <v>1</v>
      </c>
      <c r="F101" s="268"/>
      <c r="G101" s="268"/>
      <c r="H101" s="268"/>
      <c r="I101" s="53">
        <f t="shared" ref="I101:I107" si="4">IF(A101&lt;&gt;0,(B101-(B100-D100))/(A101-A100),"")</f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50">
        <v>90</v>
      </c>
      <c r="B102" s="50">
        <v>275</v>
      </c>
      <c r="C102" s="50">
        <v>14</v>
      </c>
      <c r="D102" s="50">
        <v>21</v>
      </c>
      <c r="E102" s="54">
        <v>1</v>
      </c>
      <c r="F102" s="54"/>
      <c r="G102" s="54"/>
      <c r="H102" s="54"/>
      <c r="I102" s="53">
        <f t="shared" si="4"/>
        <v>5.4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50">
        <v>95</v>
      </c>
      <c r="B103" s="50">
        <v>279</v>
      </c>
      <c r="C103" s="50">
        <v>15</v>
      </c>
      <c r="D103" s="50">
        <v>21</v>
      </c>
      <c r="E103" s="54">
        <v>1</v>
      </c>
      <c r="F103" s="54"/>
      <c r="G103" s="54"/>
      <c r="H103" s="54"/>
      <c r="I103" s="53">
        <f t="shared" si="4"/>
        <v>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50">
        <v>100</v>
      </c>
      <c r="B104" s="50">
        <v>282</v>
      </c>
      <c r="C104" s="50">
        <v>16</v>
      </c>
      <c r="D104" s="50">
        <v>21</v>
      </c>
      <c r="E104" s="54">
        <v>1</v>
      </c>
      <c r="F104" s="54"/>
      <c r="G104" s="54"/>
      <c r="H104" s="54"/>
      <c r="I104" s="53">
        <f t="shared" si="4"/>
        <v>4.8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105</v>
      </c>
      <c r="B105" s="50">
        <v>284</v>
      </c>
      <c r="C105" s="50">
        <v>17</v>
      </c>
      <c r="D105" s="50">
        <v>20</v>
      </c>
      <c r="E105" s="54">
        <v>1</v>
      </c>
      <c r="F105" s="54"/>
      <c r="G105" s="54"/>
      <c r="H105" s="54"/>
      <c r="I105" s="53">
        <f t="shared" si="4"/>
        <v>4.5999999999999996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>
        <v>110</v>
      </c>
      <c r="B106" s="50">
        <v>285</v>
      </c>
      <c r="C106" s="50">
        <v>18</v>
      </c>
      <c r="D106" s="50">
        <v>19</v>
      </c>
      <c r="E106" s="54">
        <v>1</v>
      </c>
      <c r="F106" s="54"/>
      <c r="G106" s="54"/>
      <c r="H106" s="54"/>
      <c r="I106" s="53">
        <f t="shared" si="4"/>
        <v>4.2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>
        <v>115</v>
      </c>
      <c r="B107" s="50">
        <v>285</v>
      </c>
      <c r="C107" s="50">
        <v>19</v>
      </c>
      <c r="D107" s="50">
        <v>18</v>
      </c>
      <c r="E107" s="54">
        <v>1</v>
      </c>
      <c r="F107" s="54"/>
      <c r="G107" s="54"/>
      <c r="H107" s="54"/>
      <c r="I107" s="53">
        <f t="shared" si="4"/>
        <v>3.8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5" t="s">
        <v>191</v>
      </c>
      <c r="C2" s="286"/>
      <c r="D2" s="286"/>
      <c r="E2" s="286"/>
      <c r="F2" s="286"/>
      <c r="G2" s="28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4"/>
      <c r="C4" s="284"/>
      <c r="D4" s="284"/>
      <c r="E4" s="284"/>
      <c r="F4" s="284"/>
      <c r="G4" s="28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91" t="s">
        <v>176</v>
      </c>
      <c r="C1" s="292"/>
      <c r="D1" s="292"/>
      <c r="E1" s="292"/>
      <c r="F1" s="292"/>
      <c r="G1" s="292"/>
      <c r="H1" s="293"/>
      <c r="I1" s="288" t="str">
        <f>IF('Données projet'!$B$9="","",'Données projet'!$B$9)</f>
        <v>Pin maritime</v>
      </c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90"/>
      <c r="AD1" s="289" t="str">
        <f>IF('Données projet'!$B$10="","",'Données projet'!$B$10)</f>
        <v>Cèdre de l'Atlas</v>
      </c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90"/>
      <c r="AY1" s="288" t="str">
        <f>IF('Données projet'!$B$11="","",'Données projet'!$B$11)</f>
        <v>Chêne chevelu</v>
      </c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90"/>
      <c r="BT1" s="288" t="str">
        <f>IF('Données projet'!$B$12="","",'Données projet'!$B$12)</f>
        <v/>
      </c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90"/>
      <c r="CO1" s="288" t="str">
        <f>IF('Données projet'!$B$13="","",'Données projet'!$B$13)</f>
        <v/>
      </c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90"/>
      <c r="DJ1" s="288" t="str">
        <f>IF('Données projet'!$B$14="","",'Données projet'!$B$14)</f>
        <v/>
      </c>
      <c r="DK1" s="289"/>
      <c r="DL1" s="289"/>
      <c r="DM1" s="289"/>
      <c r="DN1" s="289"/>
      <c r="DO1" s="289"/>
      <c r="DP1" s="289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90"/>
      <c r="EE1" s="288" t="str">
        <f>IF('Données projet'!$B$15="","",'Données projet'!$B$15)</f>
        <v/>
      </c>
      <c r="EF1" s="289"/>
      <c r="EG1" s="289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9"/>
      <c r="EY1" s="290"/>
      <c r="EZ1" s="288" t="str">
        <f>IF('Données projet'!$B$16="","",'Données projet'!$B$16)</f>
        <v/>
      </c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9"/>
      <c r="FP1" s="289"/>
      <c r="FQ1" s="289"/>
      <c r="FR1" s="289"/>
      <c r="FS1" s="289"/>
      <c r="FT1" s="290"/>
      <c r="FU1" s="288" t="str">
        <f>IF('Données projet'!$B$17="","",'Données projet'!$B$17)</f>
        <v/>
      </c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9"/>
      <c r="GG1" s="289"/>
      <c r="GH1" s="289"/>
      <c r="GI1" s="289"/>
      <c r="GJ1" s="289"/>
      <c r="GK1" s="289"/>
      <c r="GL1" s="289"/>
      <c r="GM1" s="289"/>
      <c r="GN1" s="289"/>
      <c r="GO1" s="290"/>
      <c r="GP1" s="288" t="str">
        <f>IF('Données projet'!$B$18="","",'Données projet'!$B$18)</f>
        <v/>
      </c>
      <c r="GQ1" s="289"/>
      <c r="GR1" s="289"/>
      <c r="GS1" s="289"/>
      <c r="GT1" s="289"/>
      <c r="GU1" s="289"/>
      <c r="GV1" s="289"/>
      <c r="GW1" s="289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90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152.40696942350093</v>
      </c>
      <c r="T3" s="59">
        <f>IF('Données projet'!E9&gt;30,$R$33-$H$33,LOOKUP('Données projet'!$E$9,$A$3:$A$203,R3:R203)-LOOKUP('Données projet'!$E$9,$A$3:$A$203,$H$3:$H$203))</f>
        <v>368.99390365472789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379.12827535040157</v>
      </c>
      <c r="AO3" s="59">
        <f>IF('Données projet'!E10&gt;30,$AM$33-$H$33,LOOKUP('Données projet'!$E$10,$A$3:$A$203,AM3:AM203)-LOOKUP('Données projet'!$E$10,$A$3:$A$203,$H$3:$H$203))</f>
        <v>317.29813413796956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319.97102066931524</v>
      </c>
      <c r="BJ3" s="59">
        <f>IF('Données projet'!E11&gt;30,$BH$33-$H$33,LOOKUP('Données projet'!$E$11,$A$3:$A$203,BH3:BH203)-LOOKUP('Données projet'!$E$11,$A$3:$A$203,$H$3:$H$203))</f>
        <v>190.48958701476397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152.40696942350093</v>
      </c>
      <c r="T4" s="59">
        <f>$T$3</f>
        <v>368.99390365472789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4.1333333333333337</v>
      </c>
      <c r="AI4" s="13">
        <f>IF('Données projet'!$A$62&gt;35,AI3+AH4-AQ3,IF(A4&lt;'Données projet'!$A$62,$AF$205^A4,IF(A4='Données projet'!$A$62,'Données projet'!$B$62,AI3+AH4-AQ3)))</f>
        <v>1.3167180204218134</v>
      </c>
      <c r="AJ4" s="13">
        <f>AI4*VLOOKUP('Données projet'!$B$10,Paramètres!$A$1:$I$89,3,0)*VLOOKUP('Données projet'!$B$10,Paramètres!$A$1:$I$89,5,0)</f>
        <v>0.61622403355740862</v>
      </c>
      <c r="AK4" s="13">
        <f>EXP(-1.0587+0.8836*LN(AJ4)+0.284)</f>
        <v>0.3004450965382191</v>
      </c>
      <c r="AL4" s="20">
        <f t="shared" ref="AL4:AL67" si="4">(AJ4+AK4)*0.475*44/12</f>
        <v>1.5965320682498849</v>
      </c>
      <c r="AM4" s="59">
        <f t="shared" ref="AM4:AM67" si="5">AL4+(AD4+AE4)*44/12</f>
        <v>294.92986540158319</v>
      </c>
      <c r="AN4" s="59">
        <f ca="1">AVERAGE(OFFSET($AM$3,0,0,'Données projet'!$E$10+1,1))-AVERAGE(OFFSET($H$3,0,0,'Données projet'!$E$10+1,1))</f>
        <v>379.12827535040157</v>
      </c>
      <c r="AO4" s="59">
        <f>$AO$3</f>
        <v>317.29813413796956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1.2599748186666591</v>
      </c>
      <c r="BF4" s="13">
        <f>EXP(-1.0587+0.8836*LN(BE4)+0.284)</f>
        <v>0.56523859641176133</v>
      </c>
      <c r="BG4" s="20">
        <f t="shared" ref="BG4:BG67" si="7">(BE4+BF4)*0.475*44/12</f>
        <v>3.1789133645949152</v>
      </c>
      <c r="BH4" s="59">
        <f t="shared" ref="BH4:BH67" si="8">BG4+(AY4+AZ4)*44/12</f>
        <v>296.51224669792822</v>
      </c>
      <c r="BI4" s="59">
        <f ca="1">AVERAGE(OFFSET($BH$3,0,0,'Données projet'!$E$11+1,1))-AVERAGE(OFFSET($H$3,0,0,'Données projet'!$E$11+1,1))</f>
        <v>319.97102066931524</v>
      </c>
      <c r="BJ4" s="59">
        <f>$BJ$3</f>
        <v>190.48958701476397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152.40696942350093</v>
      </c>
      <c r="T5" s="59">
        <f t="shared" ref="T5:T68" si="34">$T$3</f>
        <v>368.99390365472789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4.1333333333333337</v>
      </c>
      <c r="AI5" s="13">
        <f>IF('Données projet'!$A$62&gt;35,AI4+AH5-AQ4,IF(A5&lt;'Données projet'!$A$62,$AF$205^A5,IF(A5='Données projet'!$A$62,'Données projet'!$B$62,AI4+AH5-AQ4)))</f>
        <v>1.7337463453035391</v>
      </c>
      <c r="AJ5" s="13">
        <f>AI5*VLOOKUP('Données projet'!$B$10,Paramètres!$A$1:$I$89,3,0)*VLOOKUP('Données projet'!$B$10,Paramètres!$A$1:$I$89,5,0)</f>
        <v>0.81139328960205626</v>
      </c>
      <c r="AK5" s="13">
        <f t="shared" ref="AK5:AK68" si="35">EXP(-1.0587+0.8836*LN(AJ5)+0.284)</f>
        <v>0.38313245303095356</v>
      </c>
      <c r="AL5" s="20">
        <f t="shared" si="4"/>
        <v>2.0804656684191585</v>
      </c>
      <c r="AM5" s="59">
        <f t="shared" si="5"/>
        <v>295.41379900175247</v>
      </c>
      <c r="AN5" s="59">
        <f ca="1">AVERAGE(OFFSET($AM$3,0,0,'Données projet'!$E$10+1,1))-AVERAGE(OFFSET($H$3,0,0,'Données projet'!$E$10+1,1))</f>
        <v>379.12827535040157</v>
      </c>
      <c r="AO5" s="59">
        <f t="shared" ref="AO5:AO68" si="36">$AO$3</f>
        <v>317.29813413796956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1.5188830306870267</v>
      </c>
      <c r="BF5" s="13">
        <f t="shared" ref="BF5:BF68" si="37">EXP(-1.0587+0.8836*LN(BE5)+0.284)</f>
        <v>0.66672534218267832</v>
      </c>
      <c r="BG5" s="20">
        <f t="shared" si="7"/>
        <v>3.8066012494147365</v>
      </c>
      <c r="BH5" s="59">
        <f t="shared" si="8"/>
        <v>297.13993458274803</v>
      </c>
      <c r="BI5" s="59">
        <f ca="1">AVERAGE(OFFSET($BH$3,0,0,'Données projet'!$E$11+1,1))-AVERAGE(OFFSET($H$3,0,0,'Données projet'!$E$11+1,1))</f>
        <v>319.97102066931524</v>
      </c>
      <c r="BJ5" s="59">
        <f t="shared" ref="BJ5:BJ68" si="38">$BJ$3</f>
        <v>190.48958701476397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152.40696942350093</v>
      </c>
      <c r="T6" s="59">
        <f t="shared" si="34"/>
        <v>368.99390365472789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4.1333333333333337</v>
      </c>
      <c r="AI6" s="13">
        <f>IF('Données projet'!$A$62&gt;35,AI5+AH6-AQ5,IF(A6&lt;'Données projet'!$A$62,$AF$205^A6,IF(A6='Données projet'!$A$62,'Données projet'!$B$62,AI5+AH6-AQ5)))</f>
        <v>2.2828550557016296</v>
      </c>
      <c r="AJ6" s="13">
        <f>AI6*VLOOKUP('Données projet'!$B$10,Paramètres!$A$1:$I$89,3,0)*VLOOKUP('Données projet'!$B$10,Paramètres!$A$1:$I$89,5,0)</f>
        <v>1.0683761660683626</v>
      </c>
      <c r="AK6" s="13">
        <f t="shared" si="35"/>
        <v>0.48857670921197038</v>
      </c>
      <c r="AL6" s="20">
        <f t="shared" si="4"/>
        <v>2.7116929244465795</v>
      </c>
      <c r="AM6" s="59">
        <f t="shared" si="5"/>
        <v>296.04502625777991</v>
      </c>
      <c r="AN6" s="59">
        <f ca="1">AVERAGE(OFFSET($AM$3,0,0,'Données projet'!$E$10+1,1))-AVERAGE(OFFSET($H$3,0,0,'Données projet'!$E$10+1,1))</f>
        <v>379.12827535040157</v>
      </c>
      <c r="AO6" s="59">
        <f t="shared" si="36"/>
        <v>317.29813413796956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1.830993466480819</v>
      </c>
      <c r="BF6" s="13">
        <f t="shared" si="37"/>
        <v>0.78643370203401075</v>
      </c>
      <c r="BG6" s="20">
        <f t="shared" si="7"/>
        <v>4.5586856518299959</v>
      </c>
      <c r="BH6" s="59">
        <f t="shared" si="8"/>
        <v>297.8920189851633</v>
      </c>
      <c r="BI6" s="59">
        <f ca="1">AVERAGE(OFFSET($BH$3,0,0,'Données projet'!$E$11+1,1))-AVERAGE(OFFSET($H$3,0,0,'Données projet'!$E$11+1,1))</f>
        <v>319.97102066931524</v>
      </c>
      <c r="BJ6" s="59">
        <f t="shared" si="38"/>
        <v>190.48958701476397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152.40696942350093</v>
      </c>
      <c r="T7" s="59">
        <f t="shared" si="34"/>
        <v>368.99390365472789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4.1333333333333337</v>
      </c>
      <c r="AI7" s="13">
        <f>IF('Données projet'!$A$62&gt;35,AI6+AH7-AQ6,IF(A7&lt;'Données projet'!$A$62,$AF$205^A7,IF(A7='Données projet'!$A$62,'Données projet'!$B$62,AI6+AH7-AQ6)))</f>
        <v>3.0058763898533787</v>
      </c>
      <c r="AJ7" s="13">
        <f>AI7*VLOOKUP('Données projet'!$B$10,Paramètres!$A$1:$I$89,3,0)*VLOOKUP('Données projet'!$B$10,Paramètres!$A$1:$I$89,5,0)</f>
        <v>1.4067501504513813</v>
      </c>
      <c r="AK7" s="13">
        <f t="shared" si="35"/>
        <v>0.62304093243991765</v>
      </c>
      <c r="AL7" s="20">
        <f t="shared" si="4"/>
        <v>3.5352194693690122</v>
      </c>
      <c r="AM7" s="59">
        <f t="shared" si="5"/>
        <v>296.86855280270231</v>
      </c>
      <c r="AN7" s="59">
        <f ca="1">AVERAGE(OFFSET($AM$3,0,0,'Données projet'!$E$10+1,1))-AVERAGE(OFFSET($H$3,0,0,'Données projet'!$E$10+1,1))</f>
        <v>379.12827535040157</v>
      </c>
      <c r="AO7" s="59">
        <f t="shared" si="36"/>
        <v>317.29813413796956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2.2072384815432522</v>
      </c>
      <c r="BF7" s="13">
        <f t="shared" si="37"/>
        <v>0.92763530732188715</v>
      </c>
      <c r="BG7" s="20">
        <f t="shared" si="7"/>
        <v>5.4599051822734497</v>
      </c>
      <c r="BH7" s="59">
        <f t="shared" si="8"/>
        <v>298.79323851560679</v>
      </c>
      <c r="BI7" s="59">
        <f ca="1">AVERAGE(OFFSET($BH$3,0,0,'Données projet'!$E$11+1,1))-AVERAGE(OFFSET($H$3,0,0,'Données projet'!$E$11+1,1))</f>
        <v>319.97102066931524</v>
      </c>
      <c r="BJ7" s="59">
        <f t="shared" si="38"/>
        <v>190.48958701476397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152.40696942350093</v>
      </c>
      <c r="T8" s="59">
        <f t="shared" si="34"/>
        <v>368.99390365472789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4.1333333333333337</v>
      </c>
      <c r="AI8" s="13">
        <f>IF('Données projet'!$A$62&gt;35,AI7+AH8-AQ7,IF(A8&lt;'Données projet'!$A$62,$AF$205^A8,IF(A8='Données projet'!$A$62,'Données projet'!$B$62,AI7+AH8-AQ7)))</f>
        <v>3.957891609680408</v>
      </c>
      <c r="AJ8" s="13">
        <f>AI8*VLOOKUP('Données projet'!$B$10,Paramètres!$A$1:$I$89,3,0)*VLOOKUP('Données projet'!$B$10,Paramètres!$A$1:$I$89,5,0)</f>
        <v>1.8522932733304309</v>
      </c>
      <c r="AK8" s="13">
        <f t="shared" si="35"/>
        <v>0.79451188764544445</v>
      </c>
      <c r="AL8" s="20">
        <f t="shared" si="4"/>
        <v>4.6098523220329826</v>
      </c>
      <c r="AM8" s="59">
        <f t="shared" si="5"/>
        <v>297.94318565536628</v>
      </c>
      <c r="AN8" s="59">
        <f ca="1">AVERAGE(OFFSET($AM$3,0,0,'Données projet'!$E$10+1,1))-AVERAGE(OFFSET($H$3,0,0,'Données projet'!$E$10+1,1))</f>
        <v>379.12827535040157</v>
      </c>
      <c r="AO8" s="59">
        <f t="shared" si="36"/>
        <v>317.29813413796956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2.6607968862768185</v>
      </c>
      <c r="BF8" s="13">
        <f t="shared" si="37"/>
        <v>1.0941892001380149</v>
      </c>
      <c r="BG8" s="20">
        <f t="shared" si="7"/>
        <v>6.5399341005058345</v>
      </c>
      <c r="BH8" s="59">
        <f t="shared" si="8"/>
        <v>299.87326743383915</v>
      </c>
      <c r="BI8" s="59">
        <f ca="1">AVERAGE(OFFSET($BH$3,0,0,'Données projet'!$E$11+1,1))-AVERAGE(OFFSET($H$3,0,0,'Données projet'!$E$11+1,1))</f>
        <v>319.97102066931524</v>
      </c>
      <c r="BJ8" s="59">
        <f t="shared" si="38"/>
        <v>190.48958701476397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152.40696942350093</v>
      </c>
      <c r="T9" s="59">
        <f t="shared" si="34"/>
        <v>368.99390365472789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4.1333333333333337</v>
      </c>
      <c r="AI9" s="13">
        <f>IF('Données projet'!$A$62&gt;35,AI8+AH9-AQ8,IF(A9&lt;'Données projet'!$A$62,$AF$205^A9,IF(A9='Données projet'!$A$62,'Données projet'!$B$62,AI8+AH9-AQ8)))</f>
        <v>5.211427205342491</v>
      </c>
      <c r="AJ9" s="13">
        <f>AI9*VLOOKUP('Données projet'!$B$10,Paramètres!$A$1:$I$89,3,0)*VLOOKUP('Données projet'!$B$10,Paramètres!$A$1:$I$89,5,0)</f>
        <v>2.438947932100286</v>
      </c>
      <c r="AK9" s="13">
        <f t="shared" si="35"/>
        <v>1.0131744268195433</v>
      </c>
      <c r="AL9" s="20">
        <f t="shared" si="4"/>
        <v>6.0124464417853689</v>
      </c>
      <c r="AM9" s="59">
        <f t="shared" si="5"/>
        <v>299.34577977511867</v>
      </c>
      <c r="AN9" s="59">
        <f ca="1">AVERAGE(OFFSET($AM$3,0,0,'Données projet'!$E$10+1,1))-AVERAGE(OFFSET($H$3,0,0,'Données projet'!$E$10+1,1))</f>
        <v>379.12827535040157</v>
      </c>
      <c r="AO9" s="59">
        <f t="shared" si="36"/>
        <v>317.29813413796956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3.2075555628544254</v>
      </c>
      <c r="BF9" s="13">
        <f t="shared" si="37"/>
        <v>1.290647300990696</v>
      </c>
      <c r="BG9" s="20">
        <f t="shared" si="7"/>
        <v>7.8343699878635862</v>
      </c>
      <c r="BH9" s="59">
        <f t="shared" si="8"/>
        <v>301.16770332119688</v>
      </c>
      <c r="BI9" s="59">
        <f ca="1">AVERAGE(OFFSET($BH$3,0,0,'Données projet'!$E$11+1,1))-AVERAGE(OFFSET($H$3,0,0,'Données projet'!$E$11+1,1))</f>
        <v>319.97102066931524</v>
      </c>
      <c r="BJ9" s="59">
        <f t="shared" si="38"/>
        <v>190.48958701476397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152.40696942350093</v>
      </c>
      <c r="T10" s="59">
        <f t="shared" si="34"/>
        <v>368.99390365472789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4.1333333333333337</v>
      </c>
      <c r="AI10" s="13">
        <f>IF('Données projet'!$A$62&gt;35,AI9+AH10-AQ9,IF(A10&lt;'Données projet'!$A$62,$AF$205^A10,IF(A10='Données projet'!$A$62,'Données projet'!$B$62,AI9+AH10-AQ9)))</f>
        <v>6.8619801133909482</v>
      </c>
      <c r="AJ10" s="13">
        <f>AI10*VLOOKUP('Données projet'!$B$10,Paramètres!$A$1:$I$89,3,0)*VLOOKUP('Données projet'!$B$10,Paramètres!$A$1:$I$89,5,0)</f>
        <v>3.211406693066964</v>
      </c>
      <c r="AK10" s="13">
        <f t="shared" si="35"/>
        <v>1.2920164381721646</v>
      </c>
      <c r="AL10" s="20">
        <f t="shared" si="4"/>
        <v>7.8434619535748142</v>
      </c>
      <c r="AM10" s="59">
        <f t="shared" si="5"/>
        <v>301.17679528690815</v>
      </c>
      <c r="AN10" s="59">
        <f ca="1">AVERAGE(OFFSET($AM$3,0,0,'Données projet'!$E$10+1,1))-AVERAGE(OFFSET($H$3,0,0,'Données projet'!$E$10+1,1))</f>
        <v>379.12827535040157</v>
      </c>
      <c r="AO10" s="59">
        <f t="shared" si="36"/>
        <v>317.29813413796956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3.8666659382613262</v>
      </c>
      <c r="BF10" s="13">
        <f t="shared" si="37"/>
        <v>1.5223788128638611</v>
      </c>
      <c r="BG10" s="20">
        <f t="shared" si="7"/>
        <v>9.3859196082097007</v>
      </c>
      <c r="BH10" s="59">
        <f t="shared" si="8"/>
        <v>302.719252941543</v>
      </c>
      <c r="BI10" s="59">
        <f ca="1">AVERAGE(OFFSET($BH$3,0,0,'Données projet'!$E$11+1,1))-AVERAGE(OFFSET($H$3,0,0,'Données projet'!$E$11+1,1))</f>
        <v>319.97102066931524</v>
      </c>
      <c r="BJ10" s="59">
        <f t="shared" si="38"/>
        <v>190.48958701476397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152.40696942350093</v>
      </c>
      <c r="T11" s="59">
        <f t="shared" si="34"/>
        <v>368.99390365472789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4.1333333333333337</v>
      </c>
      <c r="AI11" s="13">
        <f>IF('Données projet'!$A$62&gt;35,AI10+AH11-AQ10,IF(A11&lt;'Données projet'!$A$62,$AF$205^A11,IF(A11='Données projet'!$A$62,'Données projet'!$B$62,AI10+AH11-AQ10)))</f>
        <v>9.0352928710779814</v>
      </c>
      <c r="AJ11" s="13">
        <f>AI11*VLOOKUP('Données projet'!$B$10,Paramètres!$A$1:$I$89,3,0)*VLOOKUP('Données projet'!$B$10,Paramètres!$A$1:$I$89,5,0)</f>
        <v>4.2285170636644951</v>
      </c>
      <c r="AK11" s="13">
        <f t="shared" si="35"/>
        <v>1.6476002870968705</v>
      </c>
      <c r="AL11" s="20">
        <f t="shared" si="4"/>
        <v>10.234237719242712</v>
      </c>
      <c r="AM11" s="59">
        <f t="shared" si="5"/>
        <v>303.567571052576</v>
      </c>
      <c r="AN11" s="59">
        <f ca="1">AVERAGE(OFFSET($AM$3,0,0,'Données projet'!$E$10+1,1))-AVERAGE(OFFSET($H$3,0,0,'Données projet'!$E$10+1,1))</f>
        <v>379.12827535040157</v>
      </c>
      <c r="AO11" s="59">
        <f t="shared" si="36"/>
        <v>317.29813413796956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4.661214805209875</v>
      </c>
      <c r="BF11" s="13">
        <f t="shared" si="37"/>
        <v>1.7957169616190025</v>
      </c>
      <c r="BG11" s="20">
        <f t="shared" si="7"/>
        <v>11.245822827226961</v>
      </c>
      <c r="BH11" s="59">
        <f t="shared" si="8"/>
        <v>304.57915616056027</v>
      </c>
      <c r="BI11" s="59">
        <f ca="1">AVERAGE(OFFSET($BH$3,0,0,'Données projet'!$E$11+1,1))-AVERAGE(OFFSET($H$3,0,0,'Données projet'!$E$11+1,1))</f>
        <v>319.97102066931524</v>
      </c>
      <c r="BJ11" s="59">
        <f t="shared" si="38"/>
        <v>190.48958701476397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152.40696942350093</v>
      </c>
      <c r="T12" s="59">
        <f t="shared" si="34"/>
        <v>368.99390365472789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4.1333333333333337</v>
      </c>
      <c r="AI12" s="13">
        <f>IF('Données projet'!$A$62&gt;35,AI11+AH12-AQ11,IF(A12&lt;'Données projet'!$A$62,$AF$205^A12,IF(A12='Données projet'!$A$62,'Données projet'!$B$62,AI11+AH12-AQ11)))</f>
        <v>11.896932943137122</v>
      </c>
      <c r="AJ12" s="13">
        <f>AI12*VLOOKUP('Données projet'!$B$10,Paramètres!$A$1:$I$89,3,0)*VLOOKUP('Données projet'!$B$10,Paramètres!$A$1:$I$89,5,0)</f>
        <v>5.5677646173881739</v>
      </c>
      <c r="AK12" s="13">
        <f t="shared" si="35"/>
        <v>2.1010465701830059</v>
      </c>
      <c r="AL12" s="20">
        <f t="shared" si="4"/>
        <v>13.356512818353137</v>
      </c>
      <c r="AM12" s="59">
        <f t="shared" si="5"/>
        <v>306.68984615168642</v>
      </c>
      <c r="AN12" s="59">
        <f ca="1">AVERAGE(OFFSET($AM$3,0,0,'Données projet'!$E$10+1,1))-AVERAGE(OFFSET($H$3,0,0,'Données projet'!$E$10+1,1))</f>
        <v>379.12827535040157</v>
      </c>
      <c r="AO12" s="59">
        <f t="shared" si="36"/>
        <v>317.29813413796956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5.61903298790725</v>
      </c>
      <c r="BF12" s="13">
        <f t="shared" si="37"/>
        <v>2.1181320831575063</v>
      </c>
      <c r="BG12" s="20">
        <f t="shared" si="7"/>
        <v>13.475562498771119</v>
      </c>
      <c r="BH12" s="59">
        <f t="shared" si="8"/>
        <v>306.80889583210444</v>
      </c>
      <c r="BI12" s="59">
        <f ca="1">AVERAGE(OFFSET($BH$3,0,0,'Données projet'!$E$11+1,1))-AVERAGE(OFFSET($H$3,0,0,'Données projet'!$E$11+1,1))</f>
        <v>319.97102066931524</v>
      </c>
      <c r="BJ12" s="59">
        <f t="shared" si="38"/>
        <v>190.48958701476397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152.40696942350093</v>
      </c>
      <c r="T13" s="59">
        <f t="shared" si="34"/>
        <v>368.99390365472789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4.1333333333333337</v>
      </c>
      <c r="AI13" s="13">
        <f>IF('Données projet'!$A$62&gt;35,AI12+AH13-AQ12,IF(A13&lt;'Données projet'!$A$62,$AF$205^A13,IF(A13='Données projet'!$A$62,'Données projet'!$B$62,AI12+AH13-AQ12)))</f>
        <v>15.664905993978572</v>
      </c>
      <c r="AJ13" s="13">
        <f>AI13*VLOOKUP('Données projet'!$B$10,Paramètres!$A$1:$I$89,3,0)*VLOOKUP('Données projet'!$B$10,Paramètres!$A$1:$I$89,5,0)</f>
        <v>7.3311760051819714</v>
      </c>
      <c r="AK13" s="13">
        <f t="shared" si="35"/>
        <v>2.6792886142646251</v>
      </c>
      <c r="AL13" s="20">
        <f t="shared" si="4"/>
        <v>17.434892545536155</v>
      </c>
      <c r="AM13" s="59">
        <f t="shared" si="5"/>
        <v>310.76822587886949</v>
      </c>
      <c r="AN13" s="59">
        <f ca="1">AVERAGE(OFFSET($AM$3,0,0,'Données projet'!$E$10+1,1))-AVERAGE(OFFSET($H$3,0,0,'Données projet'!$E$10+1,1))</f>
        <v>379.12827535040157</v>
      </c>
      <c r="AO13" s="59">
        <f t="shared" si="36"/>
        <v>317.29813413796956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6.7736701779759017</v>
      </c>
      <c r="BF13" s="13">
        <f t="shared" si="37"/>
        <v>2.4984357878182442</v>
      </c>
      <c r="BG13" s="20">
        <f t="shared" si="7"/>
        <v>16.148917890424809</v>
      </c>
      <c r="BH13" s="59">
        <f t="shared" si="8"/>
        <v>309.48225122375811</v>
      </c>
      <c r="BI13" s="59">
        <f ca="1">AVERAGE(OFFSET($BH$3,0,0,'Données projet'!$E$11+1,1))-AVERAGE(OFFSET($H$3,0,0,'Données projet'!$E$11+1,1))</f>
        <v>319.97102066931524</v>
      </c>
      <c r="BJ13" s="59">
        <f t="shared" si="38"/>
        <v>190.48958701476397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152.40696942350093</v>
      </c>
      <c r="T14" s="59">
        <f t="shared" si="34"/>
        <v>368.99390365472789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4.1333333333333337</v>
      </c>
      <c r="AI14" s="13">
        <f>IF('Données projet'!$A$62&gt;35,AI13+AH14-AQ13,IF(A14&lt;'Données projet'!$A$62,$AF$205^A14,IF(A14='Données projet'!$A$62,'Données projet'!$B$62,AI13+AH14-AQ13)))</f>
        <v>20.626264010485261</v>
      </c>
      <c r="AJ14" s="13">
        <f>AI14*VLOOKUP('Données projet'!$B$10,Paramètres!$A$1:$I$89,3,0)*VLOOKUP('Données projet'!$B$10,Paramètres!$A$1:$I$89,5,0)</f>
        <v>9.6530915569071016</v>
      </c>
      <c r="AK14" s="13">
        <f t="shared" si="35"/>
        <v>3.4166722339252007</v>
      </c>
      <c r="AL14" s="20">
        <f t="shared" si="4"/>
        <v>22.763171935699592</v>
      </c>
      <c r="AM14" s="59">
        <f t="shared" si="5"/>
        <v>316.09650526903289</v>
      </c>
      <c r="AN14" s="59">
        <f ca="1">AVERAGE(OFFSET($AM$3,0,0,'Données projet'!$E$10+1,1))-AVERAGE(OFFSET($H$3,0,0,'Données projet'!$E$10+1,1))</f>
        <v>379.12827535040157</v>
      </c>
      <c r="AO14" s="59">
        <f t="shared" si="36"/>
        <v>317.29813413796956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8.1655700863020879</v>
      </c>
      <c r="BF14" s="13">
        <f t="shared" si="37"/>
        <v>2.9470217818266238</v>
      </c>
      <c r="BG14" s="20">
        <f t="shared" si="7"/>
        <v>19.35443083699084</v>
      </c>
      <c r="BH14" s="59">
        <f t="shared" si="8"/>
        <v>312.68776417032416</v>
      </c>
      <c r="BI14" s="59">
        <f ca="1">AVERAGE(OFFSET($BH$3,0,0,'Données projet'!$E$11+1,1))-AVERAGE(OFFSET($H$3,0,0,'Données projet'!$E$11+1,1))</f>
        <v>319.97102066931524</v>
      </c>
      <c r="BJ14" s="59">
        <f t="shared" si="38"/>
        <v>190.48958701476397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152.40696942350093</v>
      </c>
      <c r="T15" s="59">
        <f t="shared" si="34"/>
        <v>368.99390365472789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4.1333333333333337</v>
      </c>
      <c r="AI15" s="13">
        <f>IF('Données projet'!$A$62&gt;35,AI14+AH15-AQ14,IF(A15&lt;'Données projet'!$A$62,$AF$205^A15,IF(A15='Données projet'!$A$62,'Données projet'!$B$62,AI14+AH15-AQ14)))</f>
        <v>27.158973516583853</v>
      </c>
      <c r="AJ15" s="13">
        <f>AI15*VLOOKUP('Données projet'!$B$10,Paramètres!$A$1:$I$89,3,0)*VLOOKUP('Données projet'!$B$10,Paramètres!$A$1:$I$89,5,0)</f>
        <v>12.710399605761243</v>
      </c>
      <c r="AK15" s="13">
        <f t="shared" si="35"/>
        <v>4.3569957681768665</v>
      </c>
      <c r="AL15" s="20">
        <f t="shared" si="4"/>
        <v>29.725713609608871</v>
      </c>
      <c r="AM15" s="59">
        <f t="shared" si="5"/>
        <v>323.05904694294219</v>
      </c>
      <c r="AN15" s="59">
        <f ca="1">AVERAGE(OFFSET($AM$3,0,0,'Données projet'!$E$10+1,1))-AVERAGE(OFFSET($H$3,0,0,'Données projet'!$E$10+1,1))</f>
        <v>379.12827535040157</v>
      </c>
      <c r="AO15" s="59">
        <f t="shared" si="36"/>
        <v>317.29813413796956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9.8434870730944972</v>
      </c>
      <c r="BF15" s="13">
        <f t="shared" si="37"/>
        <v>3.4761499274490784</v>
      </c>
      <c r="BG15" s="20">
        <f t="shared" si="7"/>
        <v>23.198367775946725</v>
      </c>
      <c r="BH15" s="59">
        <f t="shared" si="8"/>
        <v>316.53170110928005</v>
      </c>
      <c r="BI15" s="59">
        <f ca="1">AVERAGE(OFFSET($BH$3,0,0,'Données projet'!$E$11+1,1))-AVERAGE(OFFSET($H$3,0,0,'Données projet'!$E$11+1,1))</f>
        <v>319.97102066931524</v>
      </c>
      <c r="BJ15" s="59">
        <f t="shared" si="38"/>
        <v>190.48958701476397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152.40696942350093</v>
      </c>
      <c r="T16" s="59">
        <f t="shared" si="34"/>
        <v>368.99390365472789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4.1333333333333337</v>
      </c>
      <c r="AI16" s="13">
        <f>IF('Données projet'!$A$62&gt;35,AI15+AH16-AQ15,IF(A16&lt;'Données projet'!$A$62,$AF$205^A16,IF(A16='Données projet'!$A$62,'Données projet'!$B$62,AI15+AH16-AQ15)))</f>
        <v>35.760709845444744</v>
      </c>
      <c r="AJ16" s="13">
        <f>AI16*VLOOKUP('Données projet'!$B$10,Paramètres!$A$1:$I$89,3,0)*VLOOKUP('Données projet'!$B$10,Paramètres!$A$1:$I$89,5,0)</f>
        <v>16.736012207668139</v>
      </c>
      <c r="AK16" s="13">
        <f t="shared" si="35"/>
        <v>5.5561115682736277</v>
      </c>
      <c r="AL16" s="20">
        <f t="shared" si="4"/>
        <v>38.825448909765242</v>
      </c>
      <c r="AM16" s="59">
        <f t="shared" si="5"/>
        <v>332.15878224309859</v>
      </c>
      <c r="AN16" s="59">
        <f ca="1">AVERAGE(OFFSET($AM$3,0,0,'Données projet'!$E$10+1,1))-AVERAGE(OFFSET($H$3,0,0,'Données projet'!$E$10+1,1))</f>
        <v>379.12827535040157</v>
      </c>
      <c r="AO16" s="59">
        <f t="shared" si="36"/>
        <v>317.29813413796956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11.866193876741139</v>
      </c>
      <c r="BF16" s="13">
        <f t="shared" si="37"/>
        <v>4.100281305221487</v>
      </c>
      <c r="BG16" s="20">
        <f t="shared" si="7"/>
        <v>27.808277608584905</v>
      </c>
      <c r="BH16" s="59">
        <f t="shared" si="8"/>
        <v>321.1416109419182</v>
      </c>
      <c r="BI16" s="59">
        <f ca="1">AVERAGE(OFFSET($BH$3,0,0,'Données projet'!$E$11+1,1))-AVERAGE(OFFSET($H$3,0,0,'Données projet'!$E$11+1,1))</f>
        <v>319.97102066931524</v>
      </c>
      <c r="BJ16" s="59">
        <f t="shared" si="38"/>
        <v>190.48958701476397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152.40696942350093</v>
      </c>
      <c r="T17" s="59">
        <f t="shared" si="34"/>
        <v>368.99390365472789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4.1333333333333337</v>
      </c>
      <c r="AI17" s="13">
        <f>IF('Données projet'!$A$62&gt;35,AI16+AH17-AQ16,IF(A17&lt;'Données projet'!$A$62,$AF$205^A17,IF(A17='Données projet'!$A$62,'Données projet'!$B$62,AI16+AH17-AQ16)))</f>
        <v>47.086771076572859</v>
      </c>
      <c r="AJ17" s="13">
        <f>AI17*VLOOKUP('Données projet'!$B$10,Paramètres!$A$1:$I$89,3,0)*VLOOKUP('Données projet'!$B$10,Paramètres!$A$1:$I$89,5,0)</f>
        <v>22.036608863836101</v>
      </c>
      <c r="AK17" s="13">
        <f t="shared" si="35"/>
        <v>7.0852434571037932</v>
      </c>
      <c r="AL17" s="20">
        <f t="shared" si="4"/>
        <v>50.720559458970314</v>
      </c>
      <c r="AM17" s="59">
        <f t="shared" si="5"/>
        <v>344.0538927923036</v>
      </c>
      <c r="AN17" s="59">
        <f ca="1">AVERAGE(OFFSET($AM$3,0,0,'Données projet'!$E$10+1,1))-AVERAGE(OFFSET($H$3,0,0,'Données projet'!$E$10+1,1))</f>
        <v>379.12827535040157</v>
      </c>
      <c r="AO17" s="59">
        <f t="shared" si="36"/>
        <v>317.29813413796956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14.304540258429331</v>
      </c>
      <c r="BF17" s="13">
        <f t="shared" si="37"/>
        <v>4.8364734355075134</v>
      </c>
      <c r="BG17" s="20">
        <f t="shared" si="7"/>
        <v>33.337265516940001</v>
      </c>
      <c r="BH17" s="59">
        <f t="shared" si="8"/>
        <v>326.67059885027334</v>
      </c>
      <c r="BI17" s="59">
        <f ca="1">AVERAGE(OFFSET($BH$3,0,0,'Données projet'!$E$11+1,1))-AVERAGE(OFFSET($H$3,0,0,'Données projet'!$E$11+1,1))</f>
        <v>319.97102066931524</v>
      </c>
      <c r="BJ17" s="59">
        <f t="shared" si="38"/>
        <v>190.48958701476397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152.40696942350093</v>
      </c>
      <c r="T18" s="59">
        <f t="shared" si="34"/>
        <v>368.99390365472789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62</v>
      </c>
      <c r="AG18" s="12">
        <f>VLOOKUP(A18,'Données projet'!$A$61:$I$81,9,0)</f>
        <v>4.1333333333333337</v>
      </c>
      <c r="AH18" s="12">
        <f t="array" ref="AH18">INDEX(AG:AG,MIN(IF(ISNUMBER(AG18:AG214),ROW(AG18:AG214),"")))</f>
        <v>4.1333333333333337</v>
      </c>
      <c r="AI18" s="13">
        <f>IF('Données projet'!$A$62&gt;35,AI17+AH18-AQ17,IF(A18&lt;'Données projet'!$A$62,$AF$205^A18,IF(A18='Données projet'!$A$62,'Données projet'!$B$62,AI17+AH18-AQ17)))</f>
        <v>62</v>
      </c>
      <c r="AJ18" s="13">
        <f>AI18*VLOOKUP('Données projet'!$B$10,Paramètres!$A$1:$I$89,3,0)*VLOOKUP('Données projet'!$B$10,Paramètres!$A$1:$I$89,5,0)</f>
        <v>29.016000000000002</v>
      </c>
      <c r="AK18" s="13">
        <f t="shared" si="35"/>
        <v>9.0352172071357728</v>
      </c>
      <c r="AL18" s="20">
        <f t="shared" si="4"/>
        <v>66.272536635761469</v>
      </c>
      <c r="AM18" s="59">
        <f t="shared" si="5"/>
        <v>359.60586996909478</v>
      </c>
      <c r="AN18" s="59">
        <f ca="1">AVERAGE(OFFSET($AM$3,0,0,'Données projet'!$E$10+1,1))-AVERAGE(OFFSET($H$3,0,0,'Données projet'!$E$10+1,1))</f>
        <v>379.12827535040157</v>
      </c>
      <c r="AO18" s="59">
        <f t="shared" si="36"/>
        <v>317.29813413796956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17.243934671091104</v>
      </c>
      <c r="BF18" s="13">
        <f t="shared" si="37"/>
        <v>5.704846460798203</v>
      </c>
      <c r="BG18" s="20">
        <f t="shared" si="7"/>
        <v>39.969127138040541</v>
      </c>
      <c r="BH18" s="59">
        <f t="shared" si="8"/>
        <v>333.30246047137388</v>
      </c>
      <c r="BI18" s="59">
        <f ca="1">AVERAGE(OFFSET($BH$3,0,0,'Données projet'!$E$11+1,1))-AVERAGE(OFFSET($H$3,0,0,'Données projet'!$E$11+1,1))</f>
        <v>319.97102066931524</v>
      </c>
      <c r="BJ18" s="59">
        <f t="shared" si="38"/>
        <v>190.48958701476397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152.40696942350093</v>
      </c>
      <c r="T19" s="59">
        <f t="shared" si="34"/>
        <v>368.99390365472789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20.399999999999999</v>
      </c>
      <c r="AI19" s="13">
        <f>IF('Données projet'!$A$62&gt;35,AI18+AH19-AQ18,IF(A19&lt;'Données projet'!$A$62,$AF$205^A19,IF(A19='Données projet'!$A$62,'Données projet'!$B$62,AI18+AH19-AQ18)))</f>
        <v>82.4</v>
      </c>
      <c r="AJ19" s="13">
        <f>AI19*VLOOKUP('Données projet'!$B$10,Paramètres!$A$1:$I$89,3,0)*VLOOKUP('Données projet'!$B$10,Paramètres!$A$1:$I$89,5,0)</f>
        <v>38.563200000000002</v>
      </c>
      <c r="AK19" s="13">
        <f t="shared" si="35"/>
        <v>11.617015930302525</v>
      </c>
      <c r="AL19" s="20">
        <f t="shared" si="4"/>
        <v>87.39720941194355</v>
      </c>
      <c r="AM19" s="59">
        <f t="shared" si="5"/>
        <v>380.73054274527686</v>
      </c>
      <c r="AN19" s="59">
        <f ca="1">AVERAGE(OFFSET($AM$3,0,0,'Données projet'!$E$10+1,1))-AVERAGE(OFFSET($H$3,0,0,'Données projet'!$E$10+1,1))</f>
        <v>379.12827535040157</v>
      </c>
      <c r="AO19" s="59">
        <f t="shared" si="36"/>
        <v>317.29813413796956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20.787335878595226</v>
      </c>
      <c r="BF19" s="13">
        <f t="shared" si="37"/>
        <v>6.7291330295225098</v>
      </c>
      <c r="BG19" s="20">
        <f t="shared" si="7"/>
        <v>47.924516681638387</v>
      </c>
      <c r="BH19" s="59">
        <f t="shared" si="8"/>
        <v>341.25785001497172</v>
      </c>
      <c r="BI19" s="59">
        <f ca="1">AVERAGE(OFFSET($BH$3,0,0,'Données projet'!$E$11+1,1))-AVERAGE(OFFSET($H$3,0,0,'Données projet'!$E$11+1,1))</f>
        <v>319.97102066931524</v>
      </c>
      <c r="BJ19" s="59">
        <f t="shared" si="38"/>
        <v>190.48958701476397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152.40696942350093</v>
      </c>
      <c r="T20" s="59">
        <f t="shared" si="34"/>
        <v>368.99390365472789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20.399999999999999</v>
      </c>
      <c r="AI20" s="13">
        <f>IF('Données projet'!$A$62&gt;35,AI19+AH20-AQ19,IF(A20&lt;'Données projet'!$A$62,$AF$205^A20,IF(A20='Données projet'!$A$62,'Données projet'!$B$62,AI19+AH20-AQ19)))</f>
        <v>102.80000000000001</v>
      </c>
      <c r="AJ20" s="13">
        <f>AI20*VLOOKUP('Données projet'!$B$10,Paramètres!$A$1:$I$89,3,0)*VLOOKUP('Données projet'!$B$10,Paramètres!$A$1:$I$89,5,0)</f>
        <v>48.110400000000006</v>
      </c>
      <c r="AK20" s="13">
        <f t="shared" si="35"/>
        <v>14.124673471362632</v>
      </c>
      <c r="AL20" s="20">
        <f t="shared" si="4"/>
        <v>108.39275296262326</v>
      </c>
      <c r="AM20" s="59">
        <f t="shared" si="5"/>
        <v>401.72608629595658</v>
      </c>
      <c r="AN20" s="59">
        <f ca="1">AVERAGE(OFFSET($AM$3,0,0,'Données projet'!$E$10+1,1))-AVERAGE(OFFSET($H$3,0,0,'Données projet'!$E$10+1,1))</f>
        <v>379.12827535040157</v>
      </c>
      <c r="AO20" s="59">
        <f t="shared" si="36"/>
        <v>317.29813413796956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25.058859313237608</v>
      </c>
      <c r="BF20" s="13">
        <f t="shared" si="37"/>
        <v>7.9373269097018113</v>
      </c>
      <c r="BG20" s="20">
        <f t="shared" si="7"/>
        <v>57.468357671619486</v>
      </c>
      <c r="BH20" s="59">
        <f t="shared" si="8"/>
        <v>350.80169100495277</v>
      </c>
      <c r="BI20" s="59">
        <f ca="1">AVERAGE(OFFSET($BH$3,0,0,'Données projet'!$E$11+1,1))-AVERAGE(OFFSET($H$3,0,0,'Données projet'!$E$11+1,1))</f>
        <v>319.97102066931524</v>
      </c>
      <c r="BJ20" s="59">
        <f t="shared" si="38"/>
        <v>190.48958701476397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152.40696942350093</v>
      </c>
      <c r="T21" s="59">
        <f t="shared" si="34"/>
        <v>368.99390365472789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20.399999999999999</v>
      </c>
      <c r="AI21" s="13">
        <f>IF('Données projet'!$A$62&gt;35,AI20+AH21-AQ20,IF(A21&lt;'Données projet'!$A$62,$AF$205^A21,IF(A21='Données projet'!$A$62,'Données projet'!$B$62,AI20+AH21-AQ20)))</f>
        <v>123.20000000000002</v>
      </c>
      <c r="AJ21" s="13">
        <f>AI21*VLOOKUP('Données projet'!$B$10,Paramètres!$A$1:$I$89,3,0)*VLOOKUP('Données projet'!$B$10,Paramètres!$A$1:$I$89,5,0)</f>
        <v>57.657600000000009</v>
      </c>
      <c r="AK21" s="13">
        <f t="shared" si="35"/>
        <v>16.574671209026025</v>
      </c>
      <c r="AL21" s="20">
        <f t="shared" si="4"/>
        <v>129.28787235572034</v>
      </c>
      <c r="AM21" s="59">
        <f t="shared" si="5"/>
        <v>422.62120568905368</v>
      </c>
      <c r="AN21" s="59">
        <f ca="1">AVERAGE(OFFSET($AM$3,0,0,'Données projet'!$E$10+1,1))-AVERAGE(OFFSET($H$3,0,0,'Données projet'!$E$10+1,1))</f>
        <v>379.12827535040157</v>
      </c>
      <c r="AO21" s="59">
        <f t="shared" si="36"/>
        <v>317.29813413796956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30.208124492144925</v>
      </c>
      <c r="BF21" s="13">
        <f t="shared" si="37"/>
        <v>9.3624480590699601</v>
      </c>
      <c r="BG21" s="20">
        <f t="shared" si="7"/>
        <v>68.918747193365917</v>
      </c>
      <c r="BH21" s="59">
        <f t="shared" si="8"/>
        <v>362.25208052669922</v>
      </c>
      <c r="BI21" s="59">
        <f ca="1">AVERAGE(OFFSET($BH$3,0,0,'Données projet'!$E$11+1,1))-AVERAGE(OFFSET($H$3,0,0,'Données projet'!$E$11+1,1))</f>
        <v>319.97102066931524</v>
      </c>
      <c r="BJ21" s="59">
        <f t="shared" si="38"/>
        <v>190.48958701476397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152.40696942350093</v>
      </c>
      <c r="T22" s="59">
        <f t="shared" si="34"/>
        <v>368.99390365472789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20.399999999999999</v>
      </c>
      <c r="AI22" s="13">
        <f>IF('Données projet'!$A$62&gt;35,AI21+AH22-AQ21,IF(A22&lt;'Données projet'!$A$62,$AF$205^A22,IF(A22='Données projet'!$A$62,'Données projet'!$B$62,AI21+AH22-AQ21)))</f>
        <v>143.60000000000002</v>
      </c>
      <c r="AJ22" s="13">
        <f>AI22*VLOOKUP('Données projet'!$B$10,Paramètres!$A$1:$I$89,3,0)*VLOOKUP('Données projet'!$B$10,Paramètres!$A$1:$I$89,5,0)</f>
        <v>67.204800000000006</v>
      </c>
      <c r="AK22" s="13">
        <f t="shared" si="35"/>
        <v>18.977673201594712</v>
      </c>
      <c r="AL22" s="20">
        <f t="shared" si="4"/>
        <v>150.10114082611082</v>
      </c>
      <c r="AM22" s="59">
        <f t="shared" si="5"/>
        <v>443.43447415944411</v>
      </c>
      <c r="AN22" s="59">
        <f ca="1">AVERAGE(OFFSET($AM$3,0,0,'Données projet'!$E$10+1,1))-AVERAGE(OFFSET($H$3,0,0,'Données projet'!$E$10+1,1))</f>
        <v>379.12827535040157</v>
      </c>
      <c r="AO22" s="59">
        <f t="shared" si="36"/>
        <v>317.29813413796956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36.415495770426872</v>
      </c>
      <c r="BF22" s="13">
        <f t="shared" si="37"/>
        <v>11.043445061037035</v>
      </c>
      <c r="BG22" s="20">
        <f t="shared" si="7"/>
        <v>82.65765528146629</v>
      </c>
      <c r="BH22" s="59">
        <f t="shared" si="8"/>
        <v>375.99098861479962</v>
      </c>
      <c r="BI22" s="59">
        <f ca="1">AVERAGE(OFFSET($BH$3,0,0,'Données projet'!$E$11+1,1))-AVERAGE(OFFSET($H$3,0,0,'Données projet'!$E$11+1,1))</f>
        <v>319.97102066931524</v>
      </c>
      <c r="BJ22" s="59">
        <f t="shared" si="38"/>
        <v>190.48958701476397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152.40696942350093</v>
      </c>
      <c r="T23" s="59">
        <f t="shared" si="34"/>
        <v>368.99390365472789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164</v>
      </c>
      <c r="AG23" s="12">
        <f>VLOOKUP(A23,'Données projet'!$A$61:$I$81,9,0)</f>
        <v>20.399999999999999</v>
      </c>
      <c r="AH23" s="12">
        <f t="array" ref="AH23">INDEX(AG:AG,MIN(IF(ISNUMBER(AG23:AG219),ROW(AG23:AG219),"")))</f>
        <v>20.399999999999999</v>
      </c>
      <c r="AI23" s="13">
        <f>IF('Données projet'!$A$62&gt;35,AI22+AH23-AQ22,IF(A23&lt;'Données projet'!$A$62,$AF$205^A23,IF(A23='Données projet'!$A$62,'Données projet'!$B$62,AI22+AH23-AQ22)))</f>
        <v>164.00000000000003</v>
      </c>
      <c r="AJ23" s="13">
        <f>AI23*VLOOKUP('Données projet'!$B$10,Paramètres!$A$1:$I$89,3,0)*VLOOKUP('Données projet'!$B$10,Paramètres!$A$1:$I$89,5,0)</f>
        <v>76.75200000000001</v>
      </c>
      <c r="AK23" s="13">
        <f t="shared" si="35"/>
        <v>21.341125747045119</v>
      </c>
      <c r="AL23" s="20">
        <f t="shared" si="4"/>
        <v>170.84552734277023</v>
      </c>
      <c r="AM23" s="59">
        <f t="shared" si="5"/>
        <v>464.17886067610357</v>
      </c>
      <c r="AN23" s="59">
        <f ca="1">AVERAGE(OFFSET($AM$3,0,0,'Données projet'!$E$10+1,1))-AVERAGE(OFFSET($H$3,0,0,'Données projet'!$E$10+1,1))</f>
        <v>379.12827535040157</v>
      </c>
      <c r="AO23" s="59">
        <f t="shared" si="36"/>
        <v>317.29813413796956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13.777002596302035</v>
      </c>
      <c r="AX23" s="21">
        <f t="shared" si="6"/>
        <v>13.777002596302035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43.898400000000002</v>
      </c>
      <c r="BF23" s="13">
        <f t="shared" si="37"/>
        <v>13.026259590086106</v>
      </c>
      <c r="BG23" s="20">
        <f t="shared" si="7"/>
        <v>99.143782119399972</v>
      </c>
      <c r="BH23" s="59">
        <f t="shared" si="8"/>
        <v>392.4771154527333</v>
      </c>
      <c r="BI23" s="59">
        <f ca="1">AVERAGE(OFFSET($BH$3,0,0,'Données projet'!$E$11+1,1))-AVERAGE(OFFSET($H$3,0,0,'Données projet'!$E$11+1,1))</f>
        <v>319.97102066931524</v>
      </c>
      <c r="BJ23" s="59">
        <f t="shared" si="38"/>
        <v>190.48958701476397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152.40696942350093</v>
      </c>
      <c r="T24" s="59">
        <f t="shared" si="34"/>
        <v>368.99390365472789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26.4</v>
      </c>
      <c r="AI24" s="13">
        <f>IF('Données projet'!$A$62&gt;35,AI23+AH24-AQ23,IF(A24&lt;'Données projet'!$A$62,$AF$205^A24,IF(A24='Données projet'!$A$62,'Données projet'!$B$62,AI23+AH24-AQ23)))</f>
        <v>164.40000000000003</v>
      </c>
      <c r="AJ24" s="13">
        <f>AI24*VLOOKUP('Données projet'!$B$10,Paramètres!$A$1:$I$89,3,0)*VLOOKUP('Données projet'!$B$10,Paramètres!$A$1:$I$89,5,0)</f>
        <v>76.939200000000014</v>
      </c>
      <c r="AK24" s="13">
        <f t="shared" si="35"/>
        <v>21.38711195280052</v>
      </c>
      <c r="AL24" s="20">
        <f t="shared" si="4"/>
        <v>171.25165998446093</v>
      </c>
      <c r="AM24" s="59">
        <f t="shared" si="5"/>
        <v>464.58499331779421</v>
      </c>
      <c r="AN24" s="59">
        <f ca="1">AVERAGE(OFFSET($AM$3,0,0,'Données projet'!$E$10+1,1))-AVERAGE(OFFSET($H$3,0,0,'Données projet'!$E$10+1,1))</f>
        <v>379.12827535040157</v>
      </c>
      <c r="AO24" s="59">
        <f t="shared" si="36"/>
        <v>317.29813413796956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9.7418119602698408</v>
      </c>
      <c r="AX24" s="21">
        <f t="shared" si="6"/>
        <v>9.7418119602698408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49.751520000000006</v>
      </c>
      <c r="BF24" s="13">
        <f t="shared" si="37"/>
        <v>14.549570025236916</v>
      </c>
      <c r="BG24" s="20">
        <f t="shared" si="7"/>
        <v>111.99106512728763</v>
      </c>
      <c r="BH24" s="59">
        <f t="shared" si="8"/>
        <v>405.32439846062096</v>
      </c>
      <c r="BI24" s="59">
        <f ca="1">AVERAGE(OFFSET($BH$3,0,0,'Données projet'!$E$11+1,1))-AVERAGE(OFFSET($H$3,0,0,'Données projet'!$E$11+1,1))</f>
        <v>319.97102066931524</v>
      </c>
      <c r="BJ24" s="59">
        <f t="shared" si="38"/>
        <v>190.48958701476397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152.40696942350093</v>
      </c>
      <c r="T25" s="59">
        <f t="shared" si="34"/>
        <v>368.99390365472789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26.4</v>
      </c>
      <c r="AI25" s="13">
        <f>IF('Données projet'!$A$62&gt;35,AI24+AH25-AQ24,IF(A25&lt;'Données projet'!$A$62,$AF$205^A25,IF(A25='Données projet'!$A$62,'Données projet'!$B$62,AI24+AH25-AQ24)))</f>
        <v>190.80000000000004</v>
      </c>
      <c r="AJ25" s="13">
        <f>AI25*VLOOKUP('Données projet'!$B$10,Paramètres!$A$1:$I$89,3,0)*VLOOKUP('Données projet'!$B$10,Paramètres!$A$1:$I$89,5,0)</f>
        <v>89.294400000000024</v>
      </c>
      <c r="AK25" s="13">
        <f t="shared" si="35"/>
        <v>24.394973389005663</v>
      </c>
      <c r="AL25" s="20">
        <f t="shared" si="4"/>
        <v>198.00899198585157</v>
      </c>
      <c r="AM25" s="59">
        <f t="shared" si="5"/>
        <v>491.34232531918485</v>
      </c>
      <c r="AN25" s="59">
        <f ca="1">AVERAGE(OFFSET($AM$3,0,0,'Données projet'!$E$10+1,1))-AVERAGE(OFFSET($H$3,0,0,'Données projet'!$E$10+1,1))</f>
        <v>379.12827535040157</v>
      </c>
      <c r="AO25" s="59">
        <f t="shared" si="36"/>
        <v>317.29813413796956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6.8885012981510183</v>
      </c>
      <c r="AX25" s="21">
        <f t="shared" si="6"/>
        <v>6.8885012981510183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55.604640000000011</v>
      </c>
      <c r="BF25" s="13">
        <f t="shared" si="37"/>
        <v>16.052111729202565</v>
      </c>
      <c r="BG25" s="20">
        <f t="shared" si="7"/>
        <v>124.80217592836114</v>
      </c>
      <c r="BH25" s="59">
        <f t="shared" si="8"/>
        <v>418.13550926169444</v>
      </c>
      <c r="BI25" s="59">
        <f ca="1">AVERAGE(OFFSET($BH$3,0,0,'Données projet'!$E$11+1,1))-AVERAGE(OFFSET($H$3,0,0,'Données projet'!$E$11+1,1))</f>
        <v>319.97102066931524</v>
      </c>
      <c r="BJ25" s="59">
        <f t="shared" si="38"/>
        <v>190.48958701476397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152.40696942350093</v>
      </c>
      <c r="T26" s="59">
        <f t="shared" si="34"/>
        <v>368.99390365472789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26.4</v>
      </c>
      <c r="AI26" s="13">
        <f>IF('Données projet'!$A$62&gt;35,AI25+AH26-AQ25,IF(A26&lt;'Données projet'!$A$62,$AF$205^A26,IF(A26='Données projet'!$A$62,'Données projet'!$B$62,AI25+AH26-AQ25)))</f>
        <v>217.20000000000005</v>
      </c>
      <c r="AJ26" s="13">
        <f>AI26*VLOOKUP('Données projet'!$B$10,Paramètres!$A$1:$I$89,3,0)*VLOOKUP('Données projet'!$B$10,Paramètres!$A$1:$I$89,5,0)</f>
        <v>101.64960000000001</v>
      </c>
      <c r="AK26" s="13">
        <f t="shared" si="35"/>
        <v>27.354616995972222</v>
      </c>
      <c r="AL26" s="20">
        <f t="shared" si="4"/>
        <v>224.68234460131828</v>
      </c>
      <c r="AM26" s="59">
        <f t="shared" si="5"/>
        <v>518.01567793465165</v>
      </c>
      <c r="AN26" s="59">
        <f ca="1">AVERAGE(OFFSET($AM$3,0,0,'Données projet'!$E$10+1,1))-AVERAGE(OFFSET($H$3,0,0,'Données projet'!$E$10+1,1))</f>
        <v>379.12827535040157</v>
      </c>
      <c r="AO26" s="59">
        <f t="shared" si="36"/>
        <v>317.29813413796956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4.8709059801349213</v>
      </c>
      <c r="AX26" s="21">
        <f t="shared" si="6"/>
        <v>4.8709059801349213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61.457760000000015</v>
      </c>
      <c r="BF26" s="13">
        <f t="shared" si="37"/>
        <v>17.536319965642669</v>
      </c>
      <c r="BG26" s="20">
        <f t="shared" si="7"/>
        <v>137.58135594016102</v>
      </c>
      <c r="BH26" s="59">
        <f t="shared" si="8"/>
        <v>430.91468927349433</v>
      </c>
      <c r="BI26" s="59">
        <f ca="1">AVERAGE(OFFSET($BH$3,0,0,'Données projet'!$E$11+1,1))-AVERAGE(OFFSET($H$3,0,0,'Données projet'!$E$11+1,1))</f>
        <v>319.97102066931524</v>
      </c>
      <c r="BJ26" s="59">
        <f t="shared" si="38"/>
        <v>190.48958701476397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152.40696942350093</v>
      </c>
      <c r="T27" s="59">
        <f t="shared" si="34"/>
        <v>368.99390365472789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26.4</v>
      </c>
      <c r="AI27" s="13">
        <f>IF('Données projet'!$A$62&gt;35,AI26+AH27-AQ26,IF(A27&lt;'Données projet'!$A$62,$AF$205^A27,IF(A27='Données projet'!$A$62,'Données projet'!$B$62,AI26+AH27-AQ26)))</f>
        <v>243.60000000000005</v>
      </c>
      <c r="AJ27" s="13">
        <f>AI27*VLOOKUP('Données projet'!$B$10,Paramètres!$A$1:$I$89,3,0)*VLOOKUP('Données projet'!$B$10,Paramètres!$A$1:$I$89,5,0)</f>
        <v>114.00480000000002</v>
      </c>
      <c r="AK27" s="13">
        <f t="shared" si="35"/>
        <v>30.272573949217303</v>
      </c>
      <c r="AL27" s="20">
        <f t="shared" si="4"/>
        <v>251.28309296155351</v>
      </c>
      <c r="AM27" s="59">
        <f t="shared" si="5"/>
        <v>544.61642629488688</v>
      </c>
      <c r="AN27" s="59">
        <f ca="1">AVERAGE(OFFSET($AM$3,0,0,'Données projet'!$E$10+1,1))-AVERAGE(OFFSET($H$3,0,0,'Données projet'!$E$10+1,1))</f>
        <v>379.12827535040157</v>
      </c>
      <c r="AO27" s="59">
        <f t="shared" si="36"/>
        <v>317.29813413796956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3.4442506490755096</v>
      </c>
      <c r="AX27" s="21">
        <f t="shared" si="6"/>
        <v>3.4442506490755096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67.310880000000012</v>
      </c>
      <c r="BF27" s="13">
        <f t="shared" si="37"/>
        <v>19.004139427405065</v>
      </c>
      <c r="BG27" s="20">
        <f t="shared" si="7"/>
        <v>150.33199216939715</v>
      </c>
      <c r="BH27" s="59">
        <f t="shared" si="8"/>
        <v>443.66532550273047</v>
      </c>
      <c r="BI27" s="59">
        <f ca="1">AVERAGE(OFFSET($BH$3,0,0,'Données projet'!$E$11+1,1))-AVERAGE(OFFSET($H$3,0,0,'Données projet'!$E$11+1,1))</f>
        <v>319.97102066931524</v>
      </c>
      <c r="BJ27" s="59">
        <f t="shared" si="38"/>
        <v>190.48958701476397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152.40696942350093</v>
      </c>
      <c r="T28" s="59">
        <f t="shared" si="34"/>
        <v>368.99390365472789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270</v>
      </c>
      <c r="AG28" s="12">
        <f>VLOOKUP(A28,'Données projet'!$A$61:$I$81,9,0)</f>
        <v>26.4</v>
      </c>
      <c r="AH28" s="12">
        <f t="array" ref="AH28">INDEX(AG:AG,MIN(IF(ISNUMBER(AG28:AG224),ROW(AG28:AG224),"")))</f>
        <v>26.4</v>
      </c>
      <c r="AI28" s="13">
        <f>IF('Données projet'!$A$62&gt;35,AI27+AH28-AQ27,IF(A28&lt;'Données projet'!$A$62,$AF$205^A28,IF(A28='Données projet'!$A$62,'Données projet'!$B$62,AI27+AH28-AQ27)))</f>
        <v>270.00000000000006</v>
      </c>
      <c r="AJ28" s="13">
        <f>AI28*VLOOKUP('Données projet'!$B$10,Paramètres!$A$1:$I$89,3,0)*VLOOKUP('Données projet'!$B$10,Paramètres!$A$1:$I$89,5,0)</f>
        <v>126.36000000000003</v>
      </c>
      <c r="AK28" s="13">
        <f t="shared" si="35"/>
        <v>33.153877056327453</v>
      </c>
      <c r="AL28" s="20">
        <f t="shared" si="4"/>
        <v>277.82000253977031</v>
      </c>
      <c r="AM28" s="59">
        <f t="shared" si="5"/>
        <v>571.15333587310363</v>
      </c>
      <c r="AN28" s="59">
        <f ca="1">AVERAGE(OFFSET($AM$3,0,0,'Données projet'!$E$10+1,1))-AVERAGE(OFFSET($H$3,0,0,'Données projet'!$E$10+1,1))</f>
        <v>379.12827535040157</v>
      </c>
      <c r="AO28" s="59">
        <f t="shared" si="36"/>
        <v>317.29813413796956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70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23.807926925703139</v>
      </c>
      <c r="AW28" s="21">
        <f>EXP(-LN(2)/2)*AW27+(1-EXP(-LN(2)/2))/(LN(2)/2)*AQ28*AT28*VLOOKUP('Données projet'!$B$10,Paramètres!$A$1:$I$89,3,0)*0.475*44/12</f>
        <v>2.4354529900674606</v>
      </c>
      <c r="AX28" s="21">
        <f t="shared" si="6"/>
        <v>26.2433799157706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73.164000000000016</v>
      </c>
      <c r="BF28" s="13">
        <f t="shared" si="37"/>
        <v>20.457157263578857</v>
      </c>
      <c r="BG28" s="20">
        <f t="shared" si="7"/>
        <v>163.0568489007332</v>
      </c>
      <c r="BH28" s="59">
        <f t="shared" si="8"/>
        <v>456.39018223406651</v>
      </c>
      <c r="BI28" s="59">
        <f ca="1">AVERAGE(OFFSET($BH$3,0,0,'Données projet'!$E$11+1,1))-AVERAGE(OFFSET($H$3,0,0,'Données projet'!$E$11+1,1))</f>
        <v>319.97102066931524</v>
      </c>
      <c r="BJ28" s="59">
        <f t="shared" si="38"/>
        <v>190.48958701476397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152.40696942350093</v>
      </c>
      <c r="T29" s="59">
        <f t="shared" si="34"/>
        <v>368.99390365472789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28.6</v>
      </c>
      <c r="AI29" s="13">
        <f>IF('Données projet'!$A$62&gt;35,AI28+AH29-AQ28,IF(A29&lt;'Données projet'!$A$62,$AF$205^A29,IF(A29='Données projet'!$A$62,'Données projet'!$B$62,AI28+AH29-AQ28)))</f>
        <v>228.60000000000008</v>
      </c>
      <c r="AJ29" s="13">
        <f>AI29*VLOOKUP('Données projet'!$B$10,Paramètres!$A$1:$I$89,3,0)*VLOOKUP('Données projet'!$B$10,Paramètres!$A$1:$I$89,5,0)</f>
        <v>106.98480000000004</v>
      </c>
      <c r="AK29" s="13">
        <f t="shared" si="35"/>
        <v>28.619434884739594</v>
      </c>
      <c r="AL29" s="20">
        <f t="shared" si="4"/>
        <v>236.17737575758818</v>
      </c>
      <c r="AM29" s="59">
        <f t="shared" si="5"/>
        <v>529.51070909092152</v>
      </c>
      <c r="AN29" s="59">
        <f ca="1">AVERAGE(OFFSET($AM$3,0,0,'Données projet'!$E$10+1,1))-AVERAGE(OFFSET($H$3,0,0,'Données projet'!$E$10+1,1))</f>
        <v>379.12827535040157</v>
      </c>
      <c r="AO29" s="59">
        <f t="shared" si="36"/>
        <v>317.29813413796956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23.156897911915323</v>
      </c>
      <c r="AW29" s="21">
        <f>EXP(-LN(2)/2)*AW28+(1-EXP(-LN(2)/2))/(LN(2)/2)*AQ29*AT29*VLOOKUP('Données projet'!$B$10,Paramètres!$A$1:$I$89,3,0)*0.475*44/12</f>
        <v>1.7221253245377548</v>
      </c>
      <c r="AX29" s="21">
        <f t="shared" si="6"/>
        <v>24.879023236453076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</v>
      </c>
      <c r="BD29" s="12">
        <f>IF('Données projet'!$A$88&gt;35,BD28+BC29-BL28,IF(A29&lt;'Données projet'!$A$88,$BA$205^A29,IF(A29='Données projet'!$A$88,'Données projet'!$B$88,BD28+BC29-BL28)))</f>
        <v>69</v>
      </c>
      <c r="BE29" s="13">
        <f>BD29*VLOOKUP('Données projet'!$B$11,Paramètres!$A$1:$I$89,3,0)*VLOOKUP('Données projet'!$B$11,Paramètres!$A$1:$I$89,5,0)</f>
        <v>72.118800000000007</v>
      </c>
      <c r="BF29" s="13">
        <f t="shared" si="37"/>
        <v>20.198713641862817</v>
      </c>
      <c r="BG29" s="20">
        <f t="shared" si="7"/>
        <v>160.78633625957775</v>
      </c>
      <c r="BH29" s="59">
        <f t="shared" si="8"/>
        <v>454.11966959291107</v>
      </c>
      <c r="BI29" s="59">
        <f ca="1">AVERAGE(OFFSET($BH$3,0,0,'Données projet'!$E$11+1,1))-AVERAGE(OFFSET($H$3,0,0,'Données projet'!$E$11+1,1))</f>
        <v>319.97102066931524</v>
      </c>
      <c r="BJ29" s="59">
        <f t="shared" si="38"/>
        <v>190.48958701476397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152.40696942350093</v>
      </c>
      <c r="T30" s="59">
        <f t="shared" si="34"/>
        <v>368.99390365472789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28.6</v>
      </c>
      <c r="AI30" s="13">
        <f>IF('Données projet'!$A$62&gt;35,AI29+AH30-AQ29,IF(A30&lt;'Données projet'!$A$62,$AF$205^A30,IF(A30='Données projet'!$A$62,'Données projet'!$B$62,AI29+AH30-AQ29)))</f>
        <v>257.2000000000001</v>
      </c>
      <c r="AJ30" s="13">
        <f>AI30*VLOOKUP('Données projet'!$B$10,Paramètres!$A$1:$I$89,3,0)*VLOOKUP('Données projet'!$B$10,Paramètres!$A$1:$I$89,5,0)</f>
        <v>120.36960000000003</v>
      </c>
      <c r="AK30" s="13">
        <f t="shared" si="35"/>
        <v>31.761186989855986</v>
      </c>
      <c r="AL30" s="20">
        <f t="shared" si="4"/>
        <v>264.96112067399923</v>
      </c>
      <c r="AM30" s="59">
        <f t="shared" si="5"/>
        <v>558.29445400733255</v>
      </c>
      <c r="AN30" s="59">
        <f ca="1">AVERAGE(OFFSET($AM$3,0,0,'Données projet'!$E$10+1,1))-AVERAGE(OFFSET($H$3,0,0,'Données projet'!$E$10+1,1))</f>
        <v>379.12827535040157</v>
      </c>
      <c r="AO30" s="59">
        <f t="shared" si="36"/>
        <v>317.29813413796956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22.523671320745663</v>
      </c>
      <c r="AW30" s="21">
        <f>EXP(-LN(2)/2)*AW29+(1-EXP(-LN(2)/2))/(LN(2)/2)*AQ30*AT30*VLOOKUP('Données projet'!$B$10,Paramètres!$A$1:$I$89,3,0)*0.475*44/12</f>
        <v>1.2177264950337303</v>
      </c>
      <c r="AX30" s="21">
        <f t="shared" si="6"/>
        <v>23.741397815779393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</v>
      </c>
      <c r="BD30" s="12">
        <f>IF('Données projet'!$A$88&gt;35,BD29+BC30-BL29,IF(A30&lt;'Données projet'!$A$88,$BA$205^A30,IF(A30='Données projet'!$A$88,'Données projet'!$B$88,BD29+BC30-BL29)))</f>
        <v>76</v>
      </c>
      <c r="BE30" s="13">
        <f>BD30*VLOOKUP('Données projet'!$B$11,Paramètres!$A$1:$I$89,3,0)*VLOOKUP('Données projet'!$B$11,Paramètres!$A$1:$I$89,5,0)</f>
        <v>79.435200000000009</v>
      </c>
      <c r="BF30" s="13">
        <f t="shared" si="37"/>
        <v>21.999030700035618</v>
      </c>
      <c r="BG30" s="20">
        <f t="shared" si="7"/>
        <v>176.66461846922871</v>
      </c>
      <c r="BH30" s="59">
        <f t="shared" si="8"/>
        <v>469.99795180256206</v>
      </c>
      <c r="BI30" s="59">
        <f ca="1">AVERAGE(OFFSET($BH$3,0,0,'Données projet'!$E$11+1,1))-AVERAGE(OFFSET($H$3,0,0,'Données projet'!$E$11+1,1))</f>
        <v>319.97102066931524</v>
      </c>
      <c r="BJ30" s="59">
        <f t="shared" si="38"/>
        <v>190.48958701476397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152.40696942350093</v>
      </c>
      <c r="T31" s="59">
        <f t="shared" si="34"/>
        <v>368.99390365472789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28.6</v>
      </c>
      <c r="AI31" s="13">
        <f>IF('Données projet'!$A$62&gt;35,AI30+AH31-AQ30,IF(A31&lt;'Données projet'!$A$62,$AF$205^A31,IF(A31='Données projet'!$A$62,'Données projet'!$B$62,AI30+AH31-AQ30)))</f>
        <v>285.80000000000013</v>
      </c>
      <c r="AJ31" s="13">
        <f>AI31*VLOOKUP('Données projet'!$B$10,Paramètres!$A$1:$I$89,3,0)*VLOOKUP('Données projet'!$B$10,Paramètres!$A$1:$I$89,5,0)</f>
        <v>133.75440000000006</v>
      </c>
      <c r="AK31" s="13">
        <f t="shared" si="35"/>
        <v>34.862448215374009</v>
      </c>
      <c r="AL31" s="20">
        <f t="shared" si="4"/>
        <v>293.67434397510982</v>
      </c>
      <c r="AM31" s="59">
        <f t="shared" si="5"/>
        <v>587.00767730844314</v>
      </c>
      <c r="AN31" s="59">
        <f ca="1">AVERAGE(OFFSET($AM$3,0,0,'Données projet'!$E$10+1,1))-AVERAGE(OFFSET($H$3,0,0,'Données projet'!$E$10+1,1))</f>
        <v>379.12827535040157</v>
      </c>
      <c r="AO31" s="59">
        <f t="shared" si="36"/>
        <v>317.29813413796956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21.907760344011479</v>
      </c>
      <c r="AW31" s="21">
        <f>EXP(-LN(2)/2)*AW30+(1-EXP(-LN(2)/2))/(LN(2)/2)*AQ31*AT31*VLOOKUP('Données projet'!$B$10,Paramètres!$A$1:$I$89,3,0)*0.475*44/12</f>
        <v>0.8610626622688774</v>
      </c>
      <c r="AX31" s="21">
        <f t="shared" si="6"/>
        <v>22.768823006280357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</v>
      </c>
      <c r="BD31" s="12">
        <f>IF('Données projet'!$A$88&gt;35,BD30+BC31-BL30,IF(A31&lt;'Données projet'!$A$88,$BA$205^A31,IF(A31='Données projet'!$A$88,'Données projet'!$B$88,BD30+BC31-BL30)))</f>
        <v>83</v>
      </c>
      <c r="BE31" s="13">
        <f>BD31*VLOOKUP('Données projet'!$B$11,Paramètres!$A$1:$I$89,3,0)*VLOOKUP('Données projet'!$B$11,Paramètres!$A$1:$I$89,5,0)</f>
        <v>86.75160000000001</v>
      </c>
      <c r="BF31" s="13">
        <f t="shared" si="37"/>
        <v>23.780120888501518</v>
      </c>
      <c r="BG31" s="20">
        <f t="shared" si="7"/>
        <v>192.50941388080682</v>
      </c>
      <c r="BH31" s="59">
        <f t="shared" si="8"/>
        <v>485.8427472141401</v>
      </c>
      <c r="BI31" s="59">
        <f ca="1">AVERAGE(OFFSET($BH$3,0,0,'Données projet'!$E$11+1,1))-AVERAGE(OFFSET($H$3,0,0,'Données projet'!$E$11+1,1))</f>
        <v>319.97102066931524</v>
      </c>
      <c r="BJ31" s="59">
        <f t="shared" si="38"/>
        <v>190.48958701476397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152.40696942350093</v>
      </c>
      <c r="T32" s="59">
        <f t="shared" si="34"/>
        <v>368.99390365472789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28.6</v>
      </c>
      <c r="AI32" s="13">
        <f>IF('Données projet'!$A$62&gt;35,AI31+AH32-AQ31,IF(A32&lt;'Données projet'!$A$62,$AF$205^A32,IF(A32='Données projet'!$A$62,'Données projet'!$B$62,AI31+AH32-AQ31)))</f>
        <v>314.40000000000015</v>
      </c>
      <c r="AJ32" s="13">
        <f>AI32*VLOOKUP('Données projet'!$B$10,Paramètres!$A$1:$I$89,3,0)*VLOOKUP('Données projet'!$B$10,Paramètres!$A$1:$I$89,5,0)</f>
        <v>147.13920000000007</v>
      </c>
      <c r="AK32" s="13">
        <f t="shared" si="35"/>
        <v>37.927731746477185</v>
      </c>
      <c r="AL32" s="20">
        <f t="shared" si="4"/>
        <v>322.32490612511452</v>
      </c>
      <c r="AM32" s="59">
        <f t="shared" si="5"/>
        <v>615.65823945844784</v>
      </c>
      <c r="AN32" s="59">
        <f ca="1">AVERAGE(OFFSET($AM$3,0,0,'Données projet'!$E$10+1,1))-AVERAGE(OFFSET($H$3,0,0,'Données projet'!$E$10+1,1))</f>
        <v>379.12827535040157</v>
      </c>
      <c r="AO32" s="59">
        <f t="shared" si="36"/>
        <v>317.29813413796956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21.30869148532544</v>
      </c>
      <c r="AW32" s="21">
        <f>EXP(-LN(2)/2)*AW31+(1-EXP(-LN(2)/2))/(LN(2)/2)*AQ32*AT32*VLOOKUP('Données projet'!$B$10,Paramètres!$A$1:$I$89,3,0)*0.475*44/12</f>
        <v>0.60886324751686516</v>
      </c>
      <c r="AX32" s="21">
        <f t="shared" si="6"/>
        <v>21.917554732842305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</v>
      </c>
      <c r="BD32" s="12">
        <f>IF('Données projet'!$A$88&gt;35,BD31+BC32-BL31,IF(A32&lt;'Données projet'!$A$88,$BA$205^A32,IF(A32='Données projet'!$A$88,'Données projet'!$B$88,BD31+BC32-BL31)))</f>
        <v>90</v>
      </c>
      <c r="BE32" s="13">
        <f>BD32*VLOOKUP('Données projet'!$B$11,Paramètres!$A$1:$I$89,3,0)*VLOOKUP('Données projet'!$B$11,Paramètres!$A$1:$I$89,5,0)</f>
        <v>94.068000000000012</v>
      </c>
      <c r="BF32" s="13">
        <f t="shared" si="37"/>
        <v>25.543790108694029</v>
      </c>
      <c r="BG32" s="20">
        <f t="shared" si="7"/>
        <v>208.3238677726421</v>
      </c>
      <c r="BH32" s="59">
        <f t="shared" si="8"/>
        <v>501.65720110597545</v>
      </c>
      <c r="BI32" s="59">
        <f ca="1">AVERAGE(OFFSET($BH$3,0,0,'Données projet'!$E$11+1,1))-AVERAGE(OFFSET($H$3,0,0,'Données projet'!$E$11+1,1))</f>
        <v>319.97102066931524</v>
      </c>
      <c r="BJ32" s="59">
        <f t="shared" si="38"/>
        <v>190.48958701476397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152.40696942350093</v>
      </c>
      <c r="T33" s="59">
        <f t="shared" si="34"/>
        <v>368.99390365472789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343</v>
      </c>
      <c r="AG33" s="12">
        <f>VLOOKUP(A33,'Données projet'!$A$61:$I$81,9,0)</f>
        <v>28.6</v>
      </c>
      <c r="AH33" s="12">
        <f t="array" ref="AH33">INDEX(AG:AG,MIN(IF(ISNUMBER(AG33:AG229),ROW(AG33:AG229),"")))</f>
        <v>28.6</v>
      </c>
      <c r="AI33" s="13">
        <f>IF('Données projet'!$A$62&gt;35,AI32+AH33-AQ32,IF(A33&lt;'Données projet'!$A$62,$AF$205^A33,IF(A33='Données projet'!$A$62,'Données projet'!$B$62,AI32+AH33-AQ32)))</f>
        <v>343.00000000000017</v>
      </c>
      <c r="AJ33" s="13">
        <f>AI33*VLOOKUP('Données projet'!$B$10,Paramètres!$A$1:$I$89,3,0)*VLOOKUP('Données projet'!$B$10,Paramètres!$A$1:$I$89,5,0)</f>
        <v>160.52400000000009</v>
      </c>
      <c r="AK33" s="13">
        <f t="shared" si="35"/>
        <v>40.960682569221582</v>
      </c>
      <c r="AL33" s="20">
        <f t="shared" si="4"/>
        <v>350.91915547472769</v>
      </c>
      <c r="AM33" s="59">
        <f t="shared" si="5"/>
        <v>644.252488808061</v>
      </c>
      <c r="AN33" s="59">
        <f ca="1">AVERAGE(OFFSET($AM$3,0,0,'Données projet'!$E$10+1,1))-AVERAGE(OFFSET($H$3,0,0,'Données projet'!$E$10+1,1))</f>
        <v>379.12827535040157</v>
      </c>
      <c r="AO33" s="59">
        <f t="shared" si="36"/>
        <v>317.29813413796956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44.533931121786971</v>
      </c>
      <c r="AW33" s="21">
        <f>EXP(-LN(2)/2)*AW32+(1-EXP(-LN(2)/2))/(LN(2)/2)*AQ33*AT33*VLOOKUP('Données projet'!$B$10,Paramètres!$A$1:$I$89,3,0)*0.475*44/12</f>
        <v>0.4305313311344387</v>
      </c>
      <c r="AX33" s="21">
        <f t="shared" si="6"/>
        <v>44.96446245292141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7</v>
      </c>
      <c r="BC33" s="12">
        <f t="array" ref="BC33">INDEX(BB:BB,MIN(IF(ISNUMBER(BB33:BB229),ROW(BB33:BB229),"")))</f>
        <v>7</v>
      </c>
      <c r="BD33" s="12">
        <f>IF('Données projet'!$A$88&gt;35,BD32+BC33-BL32,IF(A33&lt;'Données projet'!$A$88,$BA$205^A33,IF(A33='Données projet'!$A$88,'Données projet'!$B$88,BD32+BC33-BL32)))</f>
        <v>97</v>
      </c>
      <c r="BE33" s="13">
        <f>BD33*VLOOKUP('Données projet'!$B$11,Paramètres!$A$1:$I$89,3,0)*VLOOKUP('Données projet'!$B$11,Paramètres!$A$1:$I$89,5,0)</f>
        <v>101.38440000000001</v>
      </c>
      <c r="BF33" s="13">
        <f t="shared" si="37"/>
        <v>27.291547378864344</v>
      </c>
      <c r="BG33" s="20">
        <f t="shared" si="7"/>
        <v>224.11060835152207</v>
      </c>
      <c r="BH33" s="59">
        <f t="shared" si="8"/>
        <v>517.44394168485542</v>
      </c>
      <c r="BI33" s="59">
        <f ca="1">AVERAGE(OFFSET($BH$3,0,0,'Données projet'!$E$11+1,1))-AVERAGE(OFFSET($H$3,0,0,'Données projet'!$E$11+1,1))</f>
        <v>319.97102066931524</v>
      </c>
      <c r="BJ33" s="59">
        <f t="shared" si="38"/>
        <v>190.48958701476397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152.40696942350093</v>
      </c>
      <c r="T34" s="59">
        <f t="shared" si="34"/>
        <v>368.99390365472789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29</v>
      </c>
      <c r="AI34" s="13">
        <f>IF('Données projet'!$A$62&gt;35,AI33+AH34-AQ33,IF(A34&lt;'Données projet'!$A$62,$AF$205^A34,IF(A34='Données projet'!$A$62,'Données projet'!$B$62,AI33+AH34-AQ33)))</f>
        <v>302.00000000000017</v>
      </c>
      <c r="AJ34" s="13">
        <f>AI34*VLOOKUP('Données projet'!$B$10,Paramètres!$A$1:$I$89,3,0)*VLOOKUP('Données projet'!$B$10,Paramètres!$A$1:$I$89,5,0)</f>
        <v>141.33600000000007</v>
      </c>
      <c r="AK34" s="13">
        <f t="shared" si="35"/>
        <v>36.602894951566547</v>
      </c>
      <c r="AL34" s="20">
        <f t="shared" si="4"/>
        <v>309.91024204064519</v>
      </c>
      <c r="AM34" s="59">
        <f t="shared" si="5"/>
        <v>603.2435753739785</v>
      </c>
      <c r="AN34" s="59">
        <f ca="1">AVERAGE(OFFSET($AM$3,0,0,'Données projet'!$E$10+1,1))-AVERAGE(OFFSET($H$3,0,0,'Données projet'!$E$10+1,1))</f>
        <v>379.12827535040157</v>
      </c>
      <c r="AO34" s="59">
        <f t="shared" si="36"/>
        <v>317.29813413796956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43.316148433324052</v>
      </c>
      <c r="AW34" s="21">
        <f>EXP(-LN(2)/2)*AW33+(1-EXP(-LN(2)/2))/(LN(2)/2)*AQ34*AT34*VLOOKUP('Données projet'!$B$10,Paramètres!$A$1:$I$89,3,0)*0.475*44/12</f>
        <v>0.30443162375843258</v>
      </c>
      <c r="AX34" s="21">
        <f t="shared" si="6"/>
        <v>43.620580057082485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</v>
      </c>
      <c r="BE34" s="13">
        <f>BD34*VLOOKUP('Données projet'!$B$11,Paramètres!$A$1:$I$89,3,0)*VLOOKUP('Données projet'!$B$11,Paramètres!$A$1:$I$89,5,0)</f>
        <v>87.796800000000005</v>
      </c>
      <c r="BF34" s="13">
        <f t="shared" si="37"/>
        <v>24.033102173590827</v>
      </c>
      <c r="BG34" s="20">
        <f t="shared" si="7"/>
        <v>194.77041295233732</v>
      </c>
      <c r="BH34" s="59">
        <f t="shared" si="8"/>
        <v>488.10374628567064</v>
      </c>
      <c r="BI34" s="59">
        <f ca="1">AVERAGE(OFFSET($BH$3,0,0,'Données projet'!$E$11+1,1))-AVERAGE(OFFSET($H$3,0,0,'Données projet'!$E$11+1,1))</f>
        <v>319.97102066931524</v>
      </c>
      <c r="BJ34" s="59">
        <f t="shared" si="38"/>
        <v>190.48958701476397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152.40696942350093</v>
      </c>
      <c r="T35" s="59">
        <f t="shared" si="34"/>
        <v>368.99390365472789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29</v>
      </c>
      <c r="AI35" s="13">
        <f>IF('Données projet'!$A$62&gt;35,AI34+AH35-AQ34,IF(A35&lt;'Données projet'!$A$62,$AF$205^A35,IF(A35='Données projet'!$A$62,'Données projet'!$B$62,AI34+AH35-AQ34)))</f>
        <v>331.00000000000017</v>
      </c>
      <c r="AJ35" s="13">
        <f>AI35*VLOOKUP('Données projet'!$B$10,Paramètres!$A$1:$I$89,3,0)*VLOOKUP('Données projet'!$B$10,Paramètres!$A$1:$I$89,5,0)</f>
        <v>154.90800000000007</v>
      </c>
      <c r="AK35" s="13">
        <f t="shared" si="35"/>
        <v>39.691847670151908</v>
      </c>
      <c r="AL35" s="20">
        <f t="shared" si="4"/>
        <v>338.92806802551468</v>
      </c>
      <c r="AM35" s="59">
        <f t="shared" si="5"/>
        <v>632.26140135884793</v>
      </c>
      <c r="AN35" s="59">
        <f ca="1">AVERAGE(OFFSET($AM$3,0,0,'Données projet'!$E$10+1,1))-AVERAGE(OFFSET($H$3,0,0,'Données projet'!$E$10+1,1))</f>
        <v>379.12827535040157</v>
      </c>
      <c r="AO35" s="59">
        <f t="shared" si="36"/>
        <v>317.29813413796956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42.131666076517561</v>
      </c>
      <c r="AW35" s="21">
        <f>EXP(-LN(2)/2)*AW34+(1-EXP(-LN(2)/2))/(LN(2)/2)*AQ35*AT35*VLOOKUP('Données projet'!$B$10,Paramètres!$A$1:$I$89,3,0)*0.475*44/12</f>
        <v>0.21526566556721935</v>
      </c>
      <c r="AX35" s="21">
        <f t="shared" si="6"/>
        <v>42.346931742084777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</v>
      </c>
      <c r="BE35" s="13">
        <f>BD35*VLOOKUP('Données projet'!$B$11,Paramètres!$A$1:$I$89,3,0)*VLOOKUP('Données projet'!$B$11,Paramètres!$A$1:$I$89,5,0)</f>
        <v>96.1584</v>
      </c>
      <c r="BF35" s="13">
        <f t="shared" si="37"/>
        <v>26.044713228021536</v>
      </c>
      <c r="BG35" s="20">
        <f t="shared" si="7"/>
        <v>212.83708887213751</v>
      </c>
      <c r="BH35" s="59">
        <f t="shared" si="8"/>
        <v>506.1704222054708</v>
      </c>
      <c r="BI35" s="59">
        <f ca="1">AVERAGE(OFFSET($BH$3,0,0,'Données projet'!$E$11+1,1))-AVERAGE(OFFSET($H$3,0,0,'Données projet'!$E$11+1,1))</f>
        <v>319.97102066931524</v>
      </c>
      <c r="BJ35" s="59">
        <f t="shared" si="38"/>
        <v>190.48958701476397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152.40696942350093</v>
      </c>
      <c r="T36" s="59">
        <f t="shared" si="34"/>
        <v>368.99390365472789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29</v>
      </c>
      <c r="AI36" s="13">
        <f>IF('Données projet'!$A$62&gt;35,AI35+AH36-AQ35,IF(A36&lt;'Données projet'!$A$62,$AF$205^A36,IF(A36='Données projet'!$A$62,'Données projet'!$B$62,AI35+AH36-AQ35)))</f>
        <v>360.00000000000017</v>
      </c>
      <c r="AJ36" s="13">
        <f>AI36*VLOOKUP('Données projet'!$B$10,Paramètres!$A$1:$I$89,3,0)*VLOOKUP('Données projet'!$B$10,Paramètres!$A$1:$I$89,5,0)</f>
        <v>168.48000000000008</v>
      </c>
      <c r="AK36" s="13">
        <f t="shared" si="35"/>
        <v>42.749416405385382</v>
      </c>
      <c r="AL36" s="20">
        <f t="shared" si="4"/>
        <v>367.89123357271296</v>
      </c>
      <c r="AM36" s="59">
        <f t="shared" si="5"/>
        <v>661.22456690604622</v>
      </c>
      <c r="AN36" s="59">
        <f ca="1">AVERAGE(OFFSET($AM$3,0,0,'Données projet'!$E$10+1,1))-AVERAGE(OFFSET($H$3,0,0,'Données projet'!$E$10+1,1))</f>
        <v>379.12827535040157</v>
      </c>
      <c r="AO36" s="59">
        <f t="shared" si="36"/>
        <v>317.29813413796956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40.979573452047163</v>
      </c>
      <c r="AW36" s="21">
        <f>EXP(-LN(2)/2)*AW35+(1-EXP(-LN(2)/2))/(LN(2)/2)*AQ36*AT36*VLOOKUP('Données projet'!$B$10,Paramètres!$A$1:$I$89,3,0)*0.475*44/12</f>
        <v>0.15221581187921629</v>
      </c>
      <c r="AX36" s="21">
        <f t="shared" si="6"/>
        <v>41.131789263926379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</v>
      </c>
      <c r="BE36" s="13">
        <f>BD36*VLOOKUP('Données projet'!$B$11,Paramètres!$A$1:$I$89,3,0)*VLOOKUP('Données projet'!$B$11,Paramètres!$A$1:$I$89,5,0)</f>
        <v>104.52000000000001</v>
      </c>
      <c r="BF36" s="13">
        <f t="shared" si="37"/>
        <v>28.036039012748962</v>
      </c>
      <c r="BG36" s="20">
        <f t="shared" si="7"/>
        <v>230.86843461387113</v>
      </c>
      <c r="BH36" s="59">
        <f t="shared" si="8"/>
        <v>524.20176794720442</v>
      </c>
      <c r="BI36" s="59">
        <f ca="1">AVERAGE(OFFSET($BH$3,0,0,'Données projet'!$E$11+1,1))-AVERAGE(OFFSET($H$3,0,0,'Données projet'!$E$11+1,1))</f>
        <v>319.97102066931524</v>
      </c>
      <c r="BJ36" s="59">
        <f t="shared" si="38"/>
        <v>190.48958701476397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152.40696942350093</v>
      </c>
      <c r="T37" s="59">
        <f t="shared" si="34"/>
        <v>368.99390365472789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29</v>
      </c>
      <c r="AI37" s="13">
        <f>IF('Données projet'!$A$62&gt;35,AI36+AH37-AQ36,IF(A37&lt;'Données projet'!$A$62,$AF$205^A37,IF(A37='Données projet'!$A$62,'Données projet'!$B$62,AI36+AH37-AQ36)))</f>
        <v>389.00000000000017</v>
      </c>
      <c r="AJ37" s="13">
        <f>AI37*VLOOKUP('Données projet'!$B$10,Paramètres!$A$1:$I$89,3,0)*VLOOKUP('Données projet'!$B$10,Paramètres!$A$1:$I$89,5,0)</f>
        <v>182.05200000000008</v>
      </c>
      <c r="AK37" s="13">
        <f t="shared" si="35"/>
        <v>45.778416738029613</v>
      </c>
      <c r="AL37" s="20">
        <f t="shared" si="4"/>
        <v>396.8046424854017</v>
      </c>
      <c r="AM37" s="59">
        <f t="shared" si="5"/>
        <v>690.13797581873496</v>
      </c>
      <c r="AN37" s="59">
        <f ca="1">AVERAGE(OFFSET($AM$3,0,0,'Données projet'!$E$10+1,1))-AVERAGE(OFFSET($H$3,0,0,'Données projet'!$E$10+1,1))</f>
        <v>379.12827535040157</v>
      </c>
      <c r="AO37" s="59">
        <f t="shared" si="36"/>
        <v>317.29813413796956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39.858984860978822</v>
      </c>
      <c r="AW37" s="21">
        <f>EXP(-LN(2)/2)*AW36+(1-EXP(-LN(2)/2))/(LN(2)/2)*AQ37*AT37*VLOOKUP('Données projet'!$B$10,Paramètres!$A$1:$I$89,3,0)*0.475*44/12</f>
        <v>0.10763283278360967</v>
      </c>
      <c r="AX37" s="21">
        <f t="shared" si="6"/>
        <v>39.96661769376243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</v>
      </c>
      <c r="BE37" s="13">
        <f>BD37*VLOOKUP('Données projet'!$B$11,Paramètres!$A$1:$I$89,3,0)*VLOOKUP('Données projet'!$B$11,Paramètres!$A$1:$I$89,5,0)</f>
        <v>112.88160000000001</v>
      </c>
      <c r="BF37" s="13">
        <f t="shared" si="37"/>
        <v>30.008886849394283</v>
      </c>
      <c r="BG37" s="20">
        <f t="shared" si="7"/>
        <v>248.86759792936172</v>
      </c>
      <c r="BH37" s="59">
        <f t="shared" si="8"/>
        <v>542.20093126269501</v>
      </c>
      <c r="BI37" s="59">
        <f ca="1">AVERAGE(OFFSET($BH$3,0,0,'Données projet'!$E$11+1,1))-AVERAGE(OFFSET($H$3,0,0,'Données projet'!$E$11+1,1))</f>
        <v>319.97102066931524</v>
      </c>
      <c r="BJ37" s="59">
        <f t="shared" si="38"/>
        <v>190.48958701476397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152.40696942350093</v>
      </c>
      <c r="T38" s="59">
        <f t="shared" si="34"/>
        <v>368.99390365472789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418</v>
      </c>
      <c r="AG38" s="12">
        <f>VLOOKUP(A38,'Données projet'!$A$61:$I$81,9,0)</f>
        <v>29</v>
      </c>
      <c r="AH38" s="12">
        <f t="array" ref="AH38">INDEX(AG:AG,MIN(IF(ISNUMBER(AG38:AG234),ROW(AG38:AG234),"")))</f>
        <v>29</v>
      </c>
      <c r="AI38" s="13">
        <f>IF('Données projet'!$A$62&gt;35,AI37+AH38-AQ37,IF(A38&lt;'Données projet'!$A$62,$AF$205^A38,IF(A38='Données projet'!$A$62,'Données projet'!$B$62,AI37+AH38-AQ37)))</f>
        <v>418.00000000000017</v>
      </c>
      <c r="AJ38" s="13">
        <f>AI38*VLOOKUP('Données projet'!$B$10,Paramètres!$A$1:$I$89,3,0)*VLOOKUP('Données projet'!$B$10,Paramètres!$A$1:$I$89,5,0)</f>
        <v>195.62400000000008</v>
      </c>
      <c r="AK38" s="13">
        <f t="shared" si="35"/>
        <v>48.781220625276006</v>
      </c>
      <c r="AL38" s="20">
        <f t="shared" si="4"/>
        <v>425.67242592235584</v>
      </c>
      <c r="AM38" s="59">
        <f t="shared" si="5"/>
        <v>719.0057592556891</v>
      </c>
      <c r="AN38" s="59">
        <f ca="1">AVERAGE(OFFSET($AM$3,0,0,'Données projet'!$E$10+1,1))-AVERAGE(OFFSET($H$3,0,0,'Données projet'!$E$10+1,1))</f>
        <v>379.12827535040157</v>
      </c>
      <c r="AO38" s="59">
        <f t="shared" si="36"/>
        <v>317.29813413796956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70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23.902038358109635</v>
      </c>
      <c r="AV38" s="21">
        <f>EXP(-LN(2)/25)*AV37+(1-EXP(-LN(2)/25))/(LN(2)/25)*Calculateur!AQ38*Calculateur!AS38*VLOOKUP('Données projet'!$B$10,Paramètres!$A$1:$I$89,3,0)*0.475*44/12</f>
        <v>38.769038823862438</v>
      </c>
      <c r="AW38" s="21">
        <f>EXP(-LN(2)/2)*AW37+(1-EXP(-LN(2)/2))/(LN(2)/2)*AQ38*AT38*VLOOKUP('Données projet'!$B$10,Paramètres!$A$1:$I$89,3,0)*0.475*44/12</f>
        <v>7.6107905939608145E-2</v>
      </c>
      <c r="AX38" s="21">
        <f t="shared" si="6"/>
        <v>62.747185087911681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</v>
      </c>
      <c r="BE38" s="13">
        <f>BD38*VLOOKUP('Données projet'!$B$11,Paramètres!$A$1:$I$89,3,0)*VLOOKUP('Données projet'!$B$11,Paramètres!$A$1:$I$89,5,0)</f>
        <v>121.2432</v>
      </c>
      <c r="BF38" s="13">
        <f t="shared" si="37"/>
        <v>31.964781119270334</v>
      </c>
      <c r="BG38" s="20">
        <f t="shared" si="7"/>
        <v>266.83723378272913</v>
      </c>
      <c r="BH38" s="59">
        <f t="shared" si="8"/>
        <v>560.17056711606244</v>
      </c>
      <c r="BI38" s="59">
        <f ca="1">AVERAGE(OFFSET($BH$3,0,0,'Données projet'!$E$11+1,1))-AVERAGE(OFFSET($H$3,0,0,'Données projet'!$E$11+1,1))</f>
        <v>319.97102066931524</v>
      </c>
      <c r="BJ38" s="59">
        <f t="shared" si="38"/>
        <v>190.48958701476397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10.43360189541119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10.43360189541119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152.40696942350093</v>
      </c>
      <c r="T39" s="59">
        <f t="shared" si="34"/>
        <v>368.99390365472789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27.8</v>
      </c>
      <c r="AI39" s="13">
        <f>IF('Données projet'!$A$62&gt;35,AI38+AH39-AQ38,IF(A39&lt;'Données projet'!$A$62,$AF$205^A39,IF(A39='Données projet'!$A$62,'Données projet'!$B$62,AI38+AH39-AQ38)))</f>
        <v>375.80000000000018</v>
      </c>
      <c r="AJ39" s="13">
        <f>AI39*VLOOKUP('Données projet'!$B$10,Paramètres!$A$1:$I$89,3,0)*VLOOKUP('Données projet'!$B$10,Paramètres!$A$1:$I$89,5,0)</f>
        <v>175.87440000000009</v>
      </c>
      <c r="AK39" s="13">
        <f t="shared" si="35"/>
        <v>44.403081217424962</v>
      </c>
      <c r="AL39" s="20">
        <f t="shared" si="4"/>
        <v>383.64994645368193</v>
      </c>
      <c r="AM39" s="59">
        <f t="shared" si="5"/>
        <v>676.98327978701525</v>
      </c>
      <c r="AN39" s="59">
        <f ca="1">AVERAGE(OFFSET($AM$3,0,0,'Données projet'!$E$10+1,1))-AVERAGE(OFFSET($H$3,0,0,'Données projet'!$E$10+1,1))</f>
        <v>379.12827535040157</v>
      </c>
      <c r="AO39" s="59">
        <f t="shared" si="36"/>
        <v>317.29813413796956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23.433333964710968</v>
      </c>
      <c r="AV39" s="21">
        <f>EXP(-LN(2)/25)*AV38+(1-EXP(-LN(2)/25))/(LN(2)/25)*Calculateur!AQ39*Calculateur!AS39*VLOOKUP('Données projet'!$B$10,Paramètres!$A$1:$I$89,3,0)*0.475*44/12</f>
        <v>37.708897418448778</v>
      </c>
      <c r="AW39" s="21">
        <f>EXP(-LN(2)/2)*AW38+(1-EXP(-LN(2)/2))/(LN(2)/2)*AQ39*AT39*VLOOKUP('Données projet'!$B$10,Paramètres!$A$1:$I$89,3,0)*0.475*44/12</f>
        <v>5.3816416391804837E-2</v>
      </c>
      <c r="AX39" s="21">
        <f t="shared" si="6"/>
        <v>61.19604779955155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</v>
      </c>
      <c r="BE39" s="13">
        <f>BD39*VLOOKUP('Données projet'!$B$11,Paramètres!$A$1:$I$89,3,0)*VLOOKUP('Données projet'!$B$11,Paramètres!$A$1:$I$89,5,0)</f>
        <v>108.07368000000001</v>
      </c>
      <c r="BF39" s="13">
        <f t="shared" si="37"/>
        <v>28.87666294378112</v>
      </c>
      <c r="BG39" s="20">
        <f t="shared" si="7"/>
        <v>238.52184729375213</v>
      </c>
      <c r="BH39" s="59">
        <f t="shared" si="8"/>
        <v>531.85518062708547</v>
      </c>
      <c r="BI39" s="59">
        <f ca="1">AVERAGE(OFFSET($BH$3,0,0,'Données projet'!$E$11+1,1))-AVERAGE(OFFSET($H$3,0,0,'Données projet'!$E$11+1,1))</f>
        <v>319.97102066931524</v>
      </c>
      <c r="BJ39" s="59">
        <f t="shared" si="38"/>
        <v>190.48958701476397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10.229005326110952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10.229005326110952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152.40696942350093</v>
      </c>
      <c r="T40" s="59">
        <f t="shared" si="34"/>
        <v>368.99390365472789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27.8</v>
      </c>
      <c r="AI40" s="13">
        <f>IF('Données projet'!$A$62&gt;35,AI39+AH40-AQ39,IF(A40&lt;'Données projet'!$A$62,$AF$205^A40,IF(A40='Données projet'!$A$62,'Données projet'!$B$62,AI39+AH40-AQ39)))</f>
        <v>403.60000000000019</v>
      </c>
      <c r="AJ40" s="13">
        <f>AI40*VLOOKUP('Données projet'!$B$10,Paramètres!$A$1:$I$89,3,0)*VLOOKUP('Données projet'!$B$10,Paramètres!$A$1:$I$89,5,0)</f>
        <v>188.8848000000001</v>
      </c>
      <c r="AK40" s="13">
        <f t="shared" si="35"/>
        <v>47.293313556558964</v>
      </c>
      <c r="AL40" s="20">
        <f t="shared" si="4"/>
        <v>411.34354777767368</v>
      </c>
      <c r="AM40" s="59">
        <f t="shared" si="5"/>
        <v>704.67688111100699</v>
      </c>
      <c r="AN40" s="59">
        <f ca="1">AVERAGE(OFFSET($AM$3,0,0,'Données projet'!$E$10+1,1))-AVERAGE(OFFSET($H$3,0,0,'Données projet'!$E$10+1,1))</f>
        <v>379.12827535040157</v>
      </c>
      <c r="AO40" s="59">
        <f t="shared" si="36"/>
        <v>317.29813413796956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22.973820578585396</v>
      </c>
      <c r="AV40" s="21">
        <f>EXP(-LN(2)/25)*AV39+(1-EXP(-LN(2)/25))/(LN(2)/25)*Calculateur!AQ40*Calculateur!AS40*VLOOKUP('Données projet'!$B$10,Paramètres!$A$1:$I$89,3,0)*0.475*44/12</f>
        <v>36.677745635516565</v>
      </c>
      <c r="AW40" s="21">
        <f>EXP(-LN(2)/2)*AW39+(1-EXP(-LN(2)/2))/(LN(2)/2)*AQ40*AT40*VLOOKUP('Données projet'!$B$10,Paramètres!$A$1:$I$89,3,0)*0.475*44/12</f>
        <v>3.8053952969804072E-2</v>
      </c>
      <c r="AX40" s="21">
        <f t="shared" si="6"/>
        <v>59.689620167071766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111.80000000000001</v>
      </c>
      <c r="BE40" s="13">
        <f>BD40*VLOOKUP('Données projet'!$B$11,Paramètres!$A$1:$I$89,3,0)*VLOOKUP('Données projet'!$B$11,Paramètres!$A$1:$I$89,5,0)</f>
        <v>116.85336000000001</v>
      </c>
      <c r="BF40" s="13">
        <f t="shared" si="37"/>
        <v>30.939966081410812</v>
      </c>
      <c r="BG40" s="20">
        <f t="shared" si="7"/>
        <v>257.4067095917905</v>
      </c>
      <c r="BH40" s="59">
        <f t="shared" si="8"/>
        <v>550.74004292512382</v>
      </c>
      <c r="BI40" s="59">
        <f ca="1">AVERAGE(OFFSET($BH$3,0,0,'Données projet'!$E$11+1,1))-AVERAGE(OFFSET($H$3,0,0,'Données projet'!$E$11+1,1))</f>
        <v>319.97102066931524</v>
      </c>
      <c r="BJ40" s="59">
        <f t="shared" si="38"/>
        <v>190.48958701476397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10.028420770743107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10.028420770743107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152.40696942350093</v>
      </c>
      <c r="T41" s="59">
        <f t="shared" si="34"/>
        <v>368.99390365472789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27.8</v>
      </c>
      <c r="AI41" s="13">
        <f>IF('Données projet'!$A$62&gt;35,AI40+AH41-AQ40,IF(A41&lt;'Données projet'!$A$62,$AF$205^A41,IF(A41='Données projet'!$A$62,'Données projet'!$B$62,AI40+AH41-AQ40)))</f>
        <v>431.4000000000002</v>
      </c>
      <c r="AJ41" s="13">
        <f>AI41*VLOOKUP('Données projet'!$B$10,Paramètres!$A$1:$I$89,3,0)*VLOOKUP('Données projet'!$B$10,Paramètres!$A$1:$I$89,5,0)</f>
        <v>201.89520000000007</v>
      </c>
      <c r="AK41" s="13">
        <f t="shared" si="35"/>
        <v>50.160446424092498</v>
      </c>
      <c r="AL41" s="20">
        <f t="shared" si="4"/>
        <v>438.99691752196122</v>
      </c>
      <c r="AM41" s="59">
        <f t="shared" si="5"/>
        <v>732.33025085529448</v>
      </c>
      <c r="AN41" s="59">
        <f ca="1">AVERAGE(OFFSET($AM$3,0,0,'Données projet'!$E$10+1,1))-AVERAGE(OFFSET($H$3,0,0,'Données projet'!$E$10+1,1))</f>
        <v>379.12827535040157</v>
      </c>
      <c r="AO41" s="59">
        <f t="shared" si="36"/>
        <v>317.29813413796956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22.523317969686257</v>
      </c>
      <c r="AV41" s="21">
        <f>EXP(-LN(2)/25)*AV40+(1-EXP(-LN(2)/25))/(LN(2)/25)*Calculateur!AQ41*Calculateur!AS41*VLOOKUP('Données projet'!$B$10,Paramètres!$A$1:$I$89,3,0)*0.475*44/12</f>
        <v>35.67479075231455</v>
      </c>
      <c r="AW41" s="21">
        <f>EXP(-LN(2)/2)*AW40+(1-EXP(-LN(2)/2))/(LN(2)/2)*AQ41*AT41*VLOOKUP('Données projet'!$B$10,Paramètres!$A$1:$I$89,3,0)*0.475*44/12</f>
        <v>2.6908208195902419E-2</v>
      </c>
      <c r="AX41" s="21">
        <f t="shared" si="6"/>
        <v>58.225016930196716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120.20000000000002</v>
      </c>
      <c r="BE41" s="13">
        <f>BD41*VLOOKUP('Données projet'!$B$11,Paramètres!$A$1:$I$89,3,0)*VLOOKUP('Données projet'!$B$11,Paramètres!$A$1:$I$89,5,0)</f>
        <v>125.63304000000004</v>
      </c>
      <c r="BF41" s="13">
        <f t="shared" si="37"/>
        <v>32.98528518542296</v>
      </c>
      <c r="BG41" s="20">
        <f t="shared" si="7"/>
        <v>276.26024969794508</v>
      </c>
      <c r="BH41" s="59">
        <f t="shared" si="8"/>
        <v>569.5935830312784</v>
      </c>
      <c r="BI41" s="59">
        <f ca="1">AVERAGE(OFFSET($BH$3,0,0,'Données projet'!$E$11+1,1))-AVERAGE(OFFSET($H$3,0,0,'Données projet'!$E$11+1,1))</f>
        <v>319.97102066931524</v>
      </c>
      <c r="BJ41" s="59">
        <f t="shared" si="38"/>
        <v>190.48958701476397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9.831769556161527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9.831769556161527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152.40696942350093</v>
      </c>
      <c r="T42" s="59">
        <f t="shared" si="34"/>
        <v>368.99390365472789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27.8</v>
      </c>
      <c r="AI42" s="13">
        <f>IF('Données projet'!$A$62&gt;35,AI41+AH42-AQ41,IF(A42&lt;'Données projet'!$A$62,$AF$205^A42,IF(A42='Données projet'!$A$62,'Données projet'!$B$62,AI41+AH42-AQ41)))</f>
        <v>459.20000000000022</v>
      </c>
      <c r="AJ42" s="13">
        <f>AI42*VLOOKUP('Données projet'!$B$10,Paramètres!$A$1:$I$89,3,0)*VLOOKUP('Données projet'!$B$10,Paramètres!$A$1:$I$89,5,0)</f>
        <v>214.90560000000011</v>
      </c>
      <c r="AK42" s="13">
        <f t="shared" si="35"/>
        <v>53.006137800892326</v>
      </c>
      <c r="AL42" s="20">
        <f t="shared" si="4"/>
        <v>466.61294333655428</v>
      </c>
      <c r="AM42" s="59">
        <f t="shared" si="5"/>
        <v>759.94627666988754</v>
      </c>
      <c r="AN42" s="59">
        <f ca="1">AVERAGE(OFFSET($AM$3,0,0,'Données projet'!$E$10+1,1))-AVERAGE(OFFSET($H$3,0,0,'Données projet'!$E$10+1,1))</f>
        <v>379.12827535040157</v>
      </c>
      <c r="AO42" s="59">
        <f t="shared" si="36"/>
        <v>317.29813413796956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22.081649442168171</v>
      </c>
      <c r="AV42" s="21">
        <f>EXP(-LN(2)/25)*AV41+(1-EXP(-LN(2)/25))/(LN(2)/25)*Calculateur!AQ42*Calculateur!AS42*VLOOKUP('Données projet'!$B$10,Paramètres!$A$1:$I$89,3,0)*0.475*44/12</f>
        <v>34.6992617231368</v>
      </c>
      <c r="AW42" s="21">
        <f>EXP(-LN(2)/2)*AW41+(1-EXP(-LN(2)/2))/(LN(2)/2)*AQ42*AT42*VLOOKUP('Données projet'!$B$10,Paramètres!$A$1:$I$89,3,0)*0.475*44/12</f>
        <v>1.9026976484902036E-2</v>
      </c>
      <c r="AX42" s="21">
        <f t="shared" si="6"/>
        <v>56.799938141789873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134.41272000000004</v>
      </c>
      <c r="BF42" s="13">
        <f t="shared" si="37"/>
        <v>35.014020000711284</v>
      </c>
      <c r="BG42" s="20">
        <f t="shared" si="7"/>
        <v>295.08490550123889</v>
      </c>
      <c r="BH42" s="59">
        <f t="shared" si="8"/>
        <v>588.41823883457221</v>
      </c>
      <c r="BI42" s="59">
        <f ca="1">AVERAGE(OFFSET($BH$3,0,0,'Données projet'!$E$11+1,1))-AVERAGE(OFFSET($H$3,0,0,'Données projet'!$E$11+1,1))</f>
        <v>319.97102066931524</v>
      </c>
      <c r="BJ42" s="59">
        <f t="shared" si="38"/>
        <v>190.48958701476397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9.6389745519524954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9.6389745519524954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152.40696942350093</v>
      </c>
      <c r="T43" s="59">
        <f t="shared" si="34"/>
        <v>368.99390365472789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487</v>
      </c>
      <c r="AG43" s="12">
        <f>VLOOKUP(A43,'Données projet'!$A$61:$I$81,9,0)</f>
        <v>27.8</v>
      </c>
      <c r="AH43" s="12">
        <f t="array" ref="AH43">INDEX(AG:AG,MIN(IF(ISNUMBER(AG43:AG239),ROW(AG43:AG239),"")))</f>
        <v>27.8</v>
      </c>
      <c r="AI43" s="13">
        <f>IF('Données projet'!$A$62&gt;35,AI42+AH43-AQ42,IF(A43&lt;'Données projet'!$A$62,$AF$205^A43,IF(A43='Données projet'!$A$62,'Données projet'!$B$62,AI42+AH43-AQ42)))</f>
        <v>487.00000000000023</v>
      </c>
      <c r="AJ43" s="13">
        <f>AI43*VLOOKUP('Données projet'!$B$10,Paramètres!$A$1:$I$89,3,0)*VLOOKUP('Données projet'!$B$10,Paramètres!$A$1:$I$89,5,0)</f>
        <v>227.91600000000011</v>
      </c>
      <c r="AK43" s="13">
        <f t="shared" si="35"/>
        <v>55.831833576509553</v>
      </c>
      <c r="AL43" s="20">
        <f t="shared" si="4"/>
        <v>494.19414347908759</v>
      </c>
      <c r="AM43" s="59">
        <f t="shared" si="5"/>
        <v>787.5274768124209</v>
      </c>
      <c r="AN43" s="59">
        <f ca="1">AVERAGE(OFFSET($AM$3,0,0,'Données projet'!$E$10+1,1))-AVERAGE(OFFSET($H$3,0,0,'Données projet'!$E$10+1,1))</f>
        <v>379.12827535040157</v>
      </c>
      <c r="AO43" s="59">
        <f t="shared" si="36"/>
        <v>317.29813413796956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45.550680123193146</v>
      </c>
      <c r="AV43" s="21">
        <f>EXP(-LN(2)/25)*AV42+(1-EXP(-LN(2)/25))/(LN(2)/25)*Calculateur!AQ43*Calculateur!AS43*VLOOKUP('Données projet'!$B$10,Paramètres!$A$1:$I$89,3,0)*0.475*44/12</f>
        <v>33.750408586562756</v>
      </c>
      <c r="AW43" s="21">
        <f>EXP(-LN(2)/2)*AW42+(1-EXP(-LN(2)/2))/(LN(2)/2)*AQ43*AT43*VLOOKUP('Données projet'!$B$10,Paramètres!$A$1:$I$89,3,0)*0.475*44/12</f>
        <v>1.3454104097951209E-2</v>
      </c>
      <c r="AX43" s="21">
        <f t="shared" si="6"/>
        <v>79.314542813853848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143.19240000000005</v>
      </c>
      <c r="BF43" s="13">
        <f t="shared" si="37"/>
        <v>37.027377071278821</v>
      </c>
      <c r="BG43" s="20">
        <f t="shared" si="7"/>
        <v>313.882778399144</v>
      </c>
      <c r="BH43" s="59">
        <f t="shared" si="8"/>
        <v>607.21611173247732</v>
      </c>
      <c r="BI43" s="59">
        <f ca="1">AVERAGE(OFFSET($BH$3,0,0,'Données projet'!$E$11+1,1))-AVERAGE(OFFSET($H$3,0,0,'Données projet'!$E$11+1,1))</f>
        <v>319.97102066931524</v>
      </c>
      <c r="BJ43" s="59">
        <f t="shared" si="38"/>
        <v>190.48958701476397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19.883562035593851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19.883562035593851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152.40696942350093</v>
      </c>
      <c r="T44" s="59">
        <f t="shared" si="34"/>
        <v>368.99390365472789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26.2</v>
      </c>
      <c r="AI44" s="13">
        <f>IF('Données projet'!$A$62&gt;35,AI43+AH44-AQ43,IF(A44&lt;'Données projet'!$A$62,$AF$205^A44,IF(A44='Données projet'!$A$62,'Données projet'!$B$62,AI43+AH44-AQ43)))</f>
        <v>443.20000000000027</v>
      </c>
      <c r="AJ44" s="13">
        <f>AI44*VLOOKUP('Données projet'!$B$10,Paramètres!$A$1:$I$89,3,0)*VLOOKUP('Données projet'!$B$10,Paramètres!$A$1:$I$89,5,0)</f>
        <v>207.41760000000014</v>
      </c>
      <c r="AK44" s="13">
        <f t="shared" si="35"/>
        <v>51.370860585892309</v>
      </c>
      <c r="AL44" s="20">
        <f t="shared" si="4"/>
        <v>450.72323552042934</v>
      </c>
      <c r="AM44" s="59">
        <f t="shared" si="5"/>
        <v>744.05656885376266</v>
      </c>
      <c r="AN44" s="59">
        <f ca="1">AVERAGE(OFFSET($AM$3,0,0,'Données projet'!$E$10+1,1))-AVERAGE(OFFSET($H$3,0,0,'Données projet'!$E$10+1,1))</f>
        <v>379.12827535040157</v>
      </c>
      <c r="AO44" s="59">
        <f t="shared" si="36"/>
        <v>317.29813413796956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44.657459069148842</v>
      </c>
      <c r="AV44" s="21">
        <f>EXP(-LN(2)/25)*AV43+(1-EXP(-LN(2)/25))/(LN(2)/25)*Calculateur!AQ44*Calculateur!AS44*VLOOKUP('Données projet'!$B$10,Paramètres!$A$1:$I$89,3,0)*0.475*44/12</f>
        <v>32.827501888906347</v>
      </c>
      <c r="AW44" s="21">
        <f>EXP(-LN(2)/2)*AW43+(1-EXP(-LN(2)/2))/(LN(2)/2)*AQ44*AT44*VLOOKUP('Données projet'!$B$10,Paramètres!$A$1:$I$89,3,0)*0.475*44/12</f>
        <v>9.5134882424510181E-3</v>
      </c>
      <c r="AX44" s="21">
        <f t="shared" si="6"/>
        <v>77.49447444629763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130.02288000000004</v>
      </c>
      <c r="BF44" s="13">
        <f t="shared" si="37"/>
        <v>34.00164617442524</v>
      </c>
      <c r="BG44" s="20">
        <f t="shared" si="7"/>
        <v>285.67604975379072</v>
      </c>
      <c r="BH44" s="59">
        <f t="shared" si="8"/>
        <v>579.00938308712398</v>
      </c>
      <c r="BI44" s="59">
        <f ca="1">AVERAGE(OFFSET($BH$3,0,0,'Données projet'!$E$11+1,1))-AVERAGE(OFFSET($H$3,0,0,'Données projet'!$E$11+1,1))</f>
        <v>319.97102066931524</v>
      </c>
      <c r="BJ44" s="59">
        <f t="shared" si="38"/>
        <v>190.48958701476397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19.493657511851179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19.493657511851179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152.40696942350093</v>
      </c>
      <c r="T45" s="59">
        <f t="shared" si="34"/>
        <v>368.99390365472789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26.2</v>
      </c>
      <c r="AI45" s="13">
        <f>IF('Données projet'!$A$62&gt;35,AI44+AH45-AQ44,IF(A45&lt;'Données projet'!$A$62,$AF$205^A45,IF(A45='Données projet'!$A$62,'Données projet'!$B$62,AI44+AH45-AQ44)))</f>
        <v>469.40000000000026</v>
      </c>
      <c r="AJ45" s="13">
        <f>AI45*VLOOKUP('Données projet'!$B$10,Paramètres!$A$1:$I$89,3,0)*VLOOKUP('Données projet'!$B$10,Paramètres!$A$1:$I$89,5,0)</f>
        <v>219.67920000000012</v>
      </c>
      <c r="AK45" s="13">
        <f t="shared" si="35"/>
        <v>54.045155505158426</v>
      </c>
      <c r="AL45" s="20">
        <f t="shared" si="4"/>
        <v>476.73658583815109</v>
      </c>
      <c r="AM45" s="59">
        <f t="shared" si="5"/>
        <v>770.06991917148434</v>
      </c>
      <c r="AN45" s="59">
        <f ca="1">AVERAGE(OFFSET($AM$3,0,0,'Données projet'!$E$10+1,1))-AVERAGE(OFFSET($H$3,0,0,'Données projet'!$E$10+1,1))</f>
        <v>379.12827535040157</v>
      </c>
      <c r="AO45" s="59">
        <f t="shared" si="36"/>
        <v>317.29813413796956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43.781753535163304</v>
      </c>
      <c r="AV45" s="21">
        <f>EXP(-LN(2)/25)*AV44+(1-EXP(-LN(2)/25))/(LN(2)/25)*Calculateur!AQ45*Calculateur!AS45*VLOOKUP('Données projet'!$B$10,Paramètres!$A$1:$I$89,3,0)*0.475*44/12</f>
        <v>31.929832123430906</v>
      </c>
      <c r="AW45" s="21">
        <f>EXP(-LN(2)/2)*AW44+(1-EXP(-LN(2)/2))/(LN(2)/2)*AQ45*AT45*VLOOKUP('Données projet'!$B$10,Paramètres!$A$1:$I$89,3,0)*0.475*44/12</f>
        <v>6.7270520489756047E-3</v>
      </c>
      <c r="AX45" s="21">
        <f t="shared" si="6"/>
        <v>75.718312710643175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138.80256000000006</v>
      </c>
      <c r="BF45" s="13">
        <f t="shared" si="37"/>
        <v>36.022551816496033</v>
      </c>
      <c r="BG45" s="20">
        <f t="shared" si="7"/>
        <v>304.48706974706403</v>
      </c>
      <c r="BH45" s="59">
        <f t="shared" si="8"/>
        <v>597.82040308039734</v>
      </c>
      <c r="BI45" s="59">
        <f ca="1">AVERAGE(OFFSET($BH$3,0,0,'Données projet'!$E$11+1,1))-AVERAGE(OFFSET($H$3,0,0,'Données projet'!$E$11+1,1))</f>
        <v>319.97102066931524</v>
      </c>
      <c r="BJ45" s="59">
        <f t="shared" si="38"/>
        <v>190.48958701476397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19.111398778000822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19.111398778000822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152.40696942350093</v>
      </c>
      <c r="T46" s="59">
        <f t="shared" si="34"/>
        <v>368.99390365472789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26.2</v>
      </c>
      <c r="AI46" s="13">
        <f>IF('Données projet'!$A$62&gt;35,AI45+AH46-AQ45,IF(A46&lt;'Données projet'!$A$62,$AF$205^A46,IF(A46='Données projet'!$A$62,'Données projet'!$B$62,AI45+AH46-AQ45)))</f>
        <v>495.60000000000025</v>
      </c>
      <c r="AJ46" s="13">
        <f>AI46*VLOOKUP('Données projet'!$B$10,Paramètres!$A$1:$I$89,3,0)*VLOOKUP('Données projet'!$B$10,Paramètres!$A$1:$I$89,5,0)</f>
        <v>231.94080000000011</v>
      </c>
      <c r="AK46" s="13">
        <f t="shared" si="35"/>
        <v>56.702122420175506</v>
      </c>
      <c r="AL46" s="20">
        <f t="shared" si="4"/>
        <v>502.71975654847256</v>
      </c>
      <c r="AM46" s="59">
        <f t="shared" si="5"/>
        <v>796.05308988180582</v>
      </c>
      <c r="AN46" s="59">
        <f ca="1">AVERAGE(OFFSET($AM$3,0,0,'Données projet'!$E$10+1,1))-AVERAGE(OFFSET($H$3,0,0,'Données projet'!$E$10+1,1))</f>
        <v>379.12827535040157</v>
      </c>
      <c r="AO46" s="59">
        <f t="shared" si="36"/>
        <v>317.29813413796956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42.923220052571587</v>
      </c>
      <c r="AV46" s="21">
        <f>EXP(-LN(2)/25)*AV45+(1-EXP(-LN(2)/25))/(LN(2)/25)*Calculateur!AQ46*Calculateur!AS46*VLOOKUP('Données projet'!$B$10,Paramètres!$A$1:$I$89,3,0)*0.475*44/12</f>
        <v>31.056709184898793</v>
      </c>
      <c r="AW46" s="21">
        <f>EXP(-LN(2)/2)*AW45+(1-EXP(-LN(2)/2))/(LN(2)/2)*AQ46*AT46*VLOOKUP('Données projet'!$B$10,Paramètres!$A$1:$I$89,3,0)*0.475*44/12</f>
        <v>4.756744121225509E-3</v>
      </c>
      <c r="AX46" s="21">
        <f t="shared" si="6"/>
        <v>73.984685981591596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147.58224000000007</v>
      </c>
      <c r="BF46" s="13">
        <f t="shared" si="37"/>
        <v>38.028622437771823</v>
      </c>
      <c r="BG46" s="20">
        <f t="shared" si="7"/>
        <v>323.27225207911937</v>
      </c>
      <c r="BH46" s="59">
        <f t="shared" si="8"/>
        <v>616.60558541245268</v>
      </c>
      <c r="BI46" s="59">
        <f ca="1">AVERAGE(OFFSET($BH$3,0,0,'Données projet'!$E$11+1,1))-AVERAGE(OFFSET($H$3,0,0,'Données projet'!$E$11+1,1))</f>
        <v>319.97102066931524</v>
      </c>
      <c r="BJ46" s="59">
        <f t="shared" si="38"/>
        <v>190.48958701476397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18.736635904766466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18.736635904766466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152.40696942350093</v>
      </c>
      <c r="T47" s="59">
        <f t="shared" si="34"/>
        <v>368.99390365472789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26.2</v>
      </c>
      <c r="AI47" s="13">
        <f>IF('Données projet'!$A$62&gt;35,AI46+AH47-AQ46,IF(A47&lt;'Données projet'!$A$62,$AF$205^A47,IF(A47='Données projet'!$A$62,'Données projet'!$B$62,AI46+AH47-AQ46)))</f>
        <v>521.8000000000003</v>
      </c>
      <c r="AJ47" s="13">
        <f>AI47*VLOOKUP('Données projet'!$B$10,Paramètres!$A$1:$I$89,3,0)*VLOOKUP('Données projet'!$B$10,Paramètres!$A$1:$I$89,5,0)</f>
        <v>244.20240000000013</v>
      </c>
      <c r="AK47" s="13">
        <f t="shared" si="35"/>
        <v>59.342781842608709</v>
      </c>
      <c r="AL47" s="20">
        <f t="shared" si="4"/>
        <v>528.67452504254368</v>
      </c>
      <c r="AM47" s="59">
        <f t="shared" si="5"/>
        <v>822.00785837587705</v>
      </c>
      <c r="AN47" s="59">
        <f ca="1">AVERAGE(OFFSET($AM$3,0,0,'Données projet'!$E$10+1,1))-AVERAGE(OFFSET($H$3,0,0,'Données projet'!$E$10+1,1))</f>
        <v>379.12827535040157</v>
      </c>
      <c r="AO47" s="59">
        <f t="shared" si="36"/>
        <v>317.29813413796956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42.08152188791977</v>
      </c>
      <c r="AV47" s="21">
        <f>EXP(-LN(2)/25)*AV46+(1-EXP(-LN(2)/25))/(LN(2)/25)*Calculateur!AQ47*Calculateur!AS47*VLOOKUP('Données projet'!$B$10,Paramètres!$A$1:$I$89,3,0)*0.475*44/12</f>
        <v>30.20746183903638</v>
      </c>
      <c r="AW47" s="21">
        <f>EXP(-LN(2)/2)*AW46+(1-EXP(-LN(2)/2))/(LN(2)/2)*AQ47*AT47*VLOOKUP('Données projet'!$B$10,Paramètres!$A$1:$I$89,3,0)*0.475*44/12</f>
        <v>3.3635260244878023E-3</v>
      </c>
      <c r="AX47" s="21">
        <f t="shared" si="6"/>
        <v>72.292347252980633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156.36192000000008</v>
      </c>
      <c r="BF47" s="13">
        <f t="shared" si="37"/>
        <v>40.020841092261328</v>
      </c>
      <c r="BG47" s="20">
        <f t="shared" si="7"/>
        <v>342.0333089023552</v>
      </c>
      <c r="BH47" s="59">
        <f t="shared" si="8"/>
        <v>635.36664223568846</v>
      </c>
      <c r="BI47" s="59">
        <f ca="1">AVERAGE(OFFSET($BH$3,0,0,'Données projet'!$E$11+1,1))-AVERAGE(OFFSET($H$3,0,0,'Données projet'!$E$11+1,1))</f>
        <v>319.97102066931524</v>
      </c>
      <c r="BJ47" s="59">
        <f t="shared" si="38"/>
        <v>190.48958701476397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18.369221902893454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18.369221902893454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152.40696942350093</v>
      </c>
      <c r="T48" s="59">
        <f t="shared" si="34"/>
        <v>368.99390365472789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548</v>
      </c>
      <c r="AG48" s="12">
        <f>VLOOKUP(A48,'Données projet'!$A$61:$I$81,9,0)</f>
        <v>26.2</v>
      </c>
      <c r="AH48" s="12">
        <f t="array" ref="AH48">INDEX(AG:AG,MIN(IF(ISNUMBER(AG48:AG244),ROW(AG48:AG244),"")))</f>
        <v>26.2</v>
      </c>
      <c r="AI48" s="13">
        <f>IF('Données projet'!$A$62&gt;35,AI47+AH48-AQ47,IF(A48&lt;'Données projet'!$A$62,$AF$205^A48,IF(A48='Données projet'!$A$62,'Données projet'!$B$62,AI47+AH48-AQ47)))</f>
        <v>548.00000000000034</v>
      </c>
      <c r="AJ48" s="13">
        <f>AI48*VLOOKUP('Données projet'!$B$10,Paramètres!$A$1:$I$89,3,0)*VLOOKUP('Données projet'!$B$10,Paramètres!$A$1:$I$89,5,0)</f>
        <v>256.46400000000017</v>
      </c>
      <c r="AK48" s="13">
        <f t="shared" si="35"/>
        <v>61.968046013679235</v>
      </c>
      <c r="AL48" s="20">
        <f t="shared" si="4"/>
        <v>554.60248014049159</v>
      </c>
      <c r="AM48" s="59">
        <f t="shared" si="5"/>
        <v>847.93581347382496</v>
      </c>
      <c r="AN48" s="59">
        <f ca="1">AVERAGE(OFFSET($AM$3,0,0,'Données projet'!$E$10+1,1))-AVERAGE(OFFSET($H$3,0,0,'Données projet'!$E$10+1,1))</f>
        <v>379.12827535040157</v>
      </c>
      <c r="AO48" s="59">
        <f t="shared" si="36"/>
        <v>317.29813413796956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70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65.158367269001218</v>
      </c>
      <c r="AV48" s="21">
        <f>EXP(-LN(2)/25)*AV47+(1-EXP(-LN(2)/25))/(LN(2)/25)*Calculateur!AQ48*Calculateur!AS48*VLOOKUP('Données projet'!$B$10,Paramètres!$A$1:$I$89,3,0)*0.475*44/12</f>
        <v>29.381437206506554</v>
      </c>
      <c r="AW48" s="21">
        <f>EXP(-LN(2)/2)*AW47+(1-EXP(-LN(2)/2))/(LN(2)/2)*AQ48*AT48*VLOOKUP('Données projet'!$B$10,Paramètres!$A$1:$I$89,3,0)*0.475*44/12</f>
        <v>2.3783720606127545E-3</v>
      </c>
      <c r="AX48" s="21">
        <f t="shared" si="6"/>
        <v>94.542182847568384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165.14160000000007</v>
      </c>
      <c r="BF48" s="13">
        <f t="shared" si="37"/>
        <v>42.00007420233301</v>
      </c>
      <c r="BG48" s="20">
        <f t="shared" si="7"/>
        <v>360.77174923573011</v>
      </c>
      <c r="BH48" s="59">
        <f t="shared" si="8"/>
        <v>654.10508256906337</v>
      </c>
      <c r="BI48" s="59">
        <f ca="1">AVERAGE(OFFSET($BH$3,0,0,'Données projet'!$E$11+1,1))-AVERAGE(OFFSET($H$3,0,0,'Données projet'!$E$11+1,1))</f>
        <v>319.97102066931524</v>
      </c>
      <c r="BJ48" s="59">
        <f t="shared" si="38"/>
        <v>190.48958701476397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28.442614560907948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28.442614560907948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152.40696942350093</v>
      </c>
      <c r="T49" s="59">
        <f t="shared" si="34"/>
        <v>368.99390365472789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24.6</v>
      </c>
      <c r="AI49" s="13">
        <f>IF('Données projet'!$A$62&gt;35,AI48+AH49-AQ48,IF(A49&lt;'Données projet'!$A$62,$AF$205^A49,IF(A49='Données projet'!$A$62,'Données projet'!$B$62,AI48+AH49-AQ48)))</f>
        <v>502.60000000000036</v>
      </c>
      <c r="AJ49" s="13">
        <f>AI49*VLOOKUP('Données projet'!$B$10,Paramètres!$A$1:$I$89,3,0)*VLOOKUP('Données projet'!$B$10,Paramètres!$A$1:$I$89,5,0)</f>
        <v>235.21680000000018</v>
      </c>
      <c r="AK49" s="13">
        <f t="shared" si="35"/>
        <v>57.409199040294112</v>
      </c>
      <c r="AL49" s="20">
        <f t="shared" si="4"/>
        <v>509.6569483285125</v>
      </c>
      <c r="AM49" s="59">
        <f t="shared" si="5"/>
        <v>802.99028166184576</v>
      </c>
      <c r="AN49" s="59">
        <f ca="1">AVERAGE(OFFSET($AM$3,0,0,'Données projet'!$E$10+1,1))-AVERAGE(OFFSET($H$3,0,0,'Données projet'!$E$10+1,1))</f>
        <v>379.12827535040157</v>
      </c>
      <c r="AO49" s="59">
        <f t="shared" si="36"/>
        <v>317.29813413796956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63.880651429535874</v>
      </c>
      <c r="AV49" s="21">
        <f>EXP(-LN(2)/25)*AV48+(1-EXP(-LN(2)/25))/(LN(2)/25)*Calculateur!AQ49*Calculateur!AS49*VLOOKUP('Données projet'!$B$10,Paramètres!$A$1:$I$89,3,0)*0.475*44/12</f>
        <v>28.578000260992003</v>
      </c>
      <c r="AW49" s="21">
        <f>EXP(-LN(2)/2)*AW48+(1-EXP(-LN(2)/2))/(LN(2)/2)*AQ49*AT49*VLOOKUP('Données projet'!$B$10,Paramètres!$A$1:$I$89,3,0)*0.475*44/12</f>
        <v>1.6817630122439012E-3</v>
      </c>
      <c r="AX49" s="21">
        <f t="shared" si="6"/>
        <v>92.460333453540116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151.76304000000005</v>
      </c>
      <c r="BF49" s="13">
        <f t="shared" si="37"/>
        <v>38.978969905304233</v>
      </c>
      <c r="BG49" s="20">
        <f t="shared" si="7"/>
        <v>332.20900058507158</v>
      </c>
      <c r="BH49" s="59">
        <f t="shared" si="8"/>
        <v>625.54233391840489</v>
      </c>
      <c r="BI49" s="59">
        <f ca="1">AVERAGE(OFFSET($BH$3,0,0,'Données projet'!$E$11+1,1))-AVERAGE(OFFSET($H$3,0,0,'Données projet'!$E$11+1,1))</f>
        <v>319.97102066931524</v>
      </c>
      <c r="BJ49" s="59">
        <f t="shared" si="38"/>
        <v>190.48958701476397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27.884872237650423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27.884872237650423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152.40696942350093</v>
      </c>
      <c r="T50" s="59">
        <f t="shared" si="34"/>
        <v>368.99390365472789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24.6</v>
      </c>
      <c r="AI50" s="13">
        <f>IF('Données projet'!$A$62&gt;35,AI49+AH50-AQ49,IF(A50&lt;'Données projet'!$A$62,$AF$205^A50,IF(A50='Données projet'!$A$62,'Données projet'!$B$62,AI49+AH50-AQ49)))</f>
        <v>527.20000000000039</v>
      </c>
      <c r="AJ50" s="13">
        <f>AI50*VLOOKUP('Données projet'!$B$10,Paramètres!$A$1:$I$89,3,0)*VLOOKUP('Données projet'!$B$10,Paramètres!$A$1:$I$89,5,0)</f>
        <v>246.7296000000002</v>
      </c>
      <c r="AK50" s="13">
        <f t="shared" si="35"/>
        <v>59.885098122247328</v>
      </c>
      <c r="AL50" s="20">
        <f t="shared" si="4"/>
        <v>534.02059922958108</v>
      </c>
      <c r="AM50" s="59">
        <f t="shared" si="5"/>
        <v>827.35393256291445</v>
      </c>
      <c r="AN50" s="59">
        <f ca="1">AVERAGE(OFFSET($AM$3,0,0,'Données projet'!$E$10+1,1))-AVERAGE(OFFSET($H$3,0,0,'Données projet'!$E$10+1,1))</f>
        <v>379.12827535040157</v>
      </c>
      <c r="AO50" s="59">
        <f t="shared" si="36"/>
        <v>317.29813413796956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62.627990818352735</v>
      </c>
      <c r="AV50" s="21">
        <f>EXP(-LN(2)/25)*AV49+(1-EXP(-LN(2)/25))/(LN(2)/25)*Calculateur!AQ50*Calculateur!AS50*VLOOKUP('Données projet'!$B$10,Paramètres!$A$1:$I$89,3,0)*0.475*44/12</f>
        <v>27.796533341003457</v>
      </c>
      <c r="AW50" s="21">
        <f>EXP(-LN(2)/2)*AW49+(1-EXP(-LN(2)/2))/(LN(2)/2)*AQ50*AT50*VLOOKUP('Données projet'!$B$10,Paramètres!$A$1:$I$89,3,0)*0.475*44/12</f>
        <v>1.1891860303063773E-3</v>
      </c>
      <c r="AX50" s="21">
        <f t="shared" si="6"/>
        <v>90.425713345386498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160.33368000000007</v>
      </c>
      <c r="BF50" s="13">
        <f t="shared" si="37"/>
        <v>40.917768734126462</v>
      </c>
      <c r="BG50" s="20">
        <f t="shared" si="7"/>
        <v>350.51293987860367</v>
      </c>
      <c r="BH50" s="59">
        <f t="shared" si="8"/>
        <v>643.84627321193693</v>
      </c>
      <c r="BI50" s="59">
        <f ca="1">AVERAGE(OFFSET($BH$3,0,0,'Données projet'!$E$11+1,1))-AVERAGE(OFFSET($H$3,0,0,'Données projet'!$E$11+1,1))</f>
        <v>319.97102066931524</v>
      </c>
      <c r="BJ50" s="59">
        <f t="shared" si="38"/>
        <v>190.48958701476397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27.338066901162755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27.338066901162755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152.40696942350093</v>
      </c>
      <c r="T51" s="59">
        <f t="shared" si="34"/>
        <v>368.99390365472789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24.6</v>
      </c>
      <c r="AI51" s="13">
        <f>IF('Données projet'!$A$62&gt;35,AI50+AH51-AQ50,IF(A51&lt;'Données projet'!$A$62,$AF$205^A51,IF(A51='Données projet'!$A$62,'Données projet'!$B$62,AI50+AH51-AQ50)))</f>
        <v>551.80000000000041</v>
      </c>
      <c r="AJ51" s="13">
        <f>AI51*VLOOKUP('Données projet'!$B$10,Paramètres!$A$1:$I$89,3,0)*VLOOKUP('Données projet'!$B$10,Paramètres!$A$1:$I$89,5,0)</f>
        <v>258.2424000000002</v>
      </c>
      <c r="AK51" s="13">
        <f t="shared" si="35"/>
        <v>62.347580891234266</v>
      </c>
      <c r="AL51" s="20">
        <f t="shared" si="4"/>
        <v>558.36088338556658</v>
      </c>
      <c r="AM51" s="59">
        <f t="shared" si="5"/>
        <v>851.69421671889995</v>
      </c>
      <c r="AN51" s="59">
        <f ca="1">AVERAGE(OFFSET($AM$3,0,0,'Données projet'!$E$10+1,1))-AVERAGE(OFFSET($H$3,0,0,'Données projet'!$E$10+1,1))</f>
        <v>379.12827535040157</v>
      </c>
      <c r="AO51" s="59">
        <f t="shared" si="36"/>
        <v>317.29813413796956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61.399894117707369</v>
      </c>
      <c r="AV51" s="21">
        <f>EXP(-LN(2)/25)*AV50+(1-EXP(-LN(2)/25))/(LN(2)/25)*Calculateur!AQ51*Calculateur!AS51*VLOOKUP('Données projet'!$B$10,Paramètres!$A$1:$I$89,3,0)*0.475*44/12</f>
        <v>27.036435675037559</v>
      </c>
      <c r="AW51" s="21">
        <f>EXP(-LN(2)/2)*AW50+(1-EXP(-LN(2)/2))/(LN(2)/2)*AQ51*AT51*VLOOKUP('Données projet'!$B$10,Paramètres!$A$1:$I$89,3,0)*0.475*44/12</f>
        <v>8.4088150612195058E-4</v>
      </c>
      <c r="AX51" s="21">
        <f t="shared" si="6"/>
        <v>88.43717067425105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168.90432000000004</v>
      </c>
      <c r="BF51" s="13">
        <f t="shared" si="37"/>
        <v>42.844535442014788</v>
      </c>
      <c r="BG51" s="20">
        <f t="shared" si="7"/>
        <v>368.79592322817575</v>
      </c>
      <c r="BH51" s="59">
        <f t="shared" si="8"/>
        <v>662.12925656150901</v>
      </c>
      <c r="BI51" s="59">
        <f ca="1">AVERAGE(OFFSET($BH$3,0,0,'Données projet'!$E$11+1,1))-AVERAGE(OFFSET($H$3,0,0,'Données projet'!$E$11+1,1))</f>
        <v>319.97102066931524</v>
      </c>
      <c r="BJ51" s="59">
        <f t="shared" si="38"/>
        <v>190.48958701476397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26.801984083805284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26.801984083805284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152.40696942350093</v>
      </c>
      <c r="T52" s="59">
        <f t="shared" si="34"/>
        <v>368.99390365472789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24.6</v>
      </c>
      <c r="AI52" s="13">
        <f>IF('Données projet'!$A$62&gt;35,AI51+AH52-AQ51,IF(A52&lt;'Données projet'!$A$62,$AF$205^A52,IF(A52='Données projet'!$A$62,'Données projet'!$B$62,AI51+AH52-AQ51)))</f>
        <v>576.40000000000043</v>
      </c>
      <c r="AJ52" s="13">
        <f>AI52*VLOOKUP('Données projet'!$B$10,Paramètres!$A$1:$I$89,3,0)*VLOOKUP('Données projet'!$B$10,Paramètres!$A$1:$I$89,5,0)</f>
        <v>269.75520000000023</v>
      </c>
      <c r="AK52" s="13">
        <f t="shared" si="35"/>
        <v>64.797313807133861</v>
      </c>
      <c r="AL52" s="20">
        <f t="shared" si="4"/>
        <v>582.67896154742527</v>
      </c>
      <c r="AM52" s="59">
        <f t="shared" si="5"/>
        <v>876.01229488075865</v>
      </c>
      <c r="AN52" s="59">
        <f ca="1">AVERAGE(OFFSET($AM$3,0,0,'Données projet'!$E$10+1,1))-AVERAGE(OFFSET($H$3,0,0,'Données projet'!$E$10+1,1))</f>
        <v>379.12827535040157</v>
      </c>
      <c r="AO52" s="59">
        <f t="shared" si="36"/>
        <v>317.29813413796956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60.195879644296639</v>
      </c>
      <c r="AV52" s="21">
        <f>EXP(-LN(2)/25)*AV51+(1-EXP(-LN(2)/25))/(LN(2)/25)*Calculateur!AQ52*Calculateur!AS52*VLOOKUP('Données projet'!$B$10,Paramètres!$A$1:$I$89,3,0)*0.475*44/12</f>
        <v>26.297122919719296</v>
      </c>
      <c r="AW52" s="21">
        <f>EXP(-LN(2)/2)*AW51+(1-EXP(-LN(2)/2))/(LN(2)/2)*AQ52*AT52*VLOOKUP('Données projet'!$B$10,Paramètres!$A$1:$I$89,3,0)*0.475*44/12</f>
        <v>5.9459301515318863E-4</v>
      </c>
      <c r="AX52" s="21">
        <f t="shared" si="6"/>
        <v>86.49359715703109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177.47496000000004</v>
      </c>
      <c r="BF52" s="13">
        <f t="shared" si="37"/>
        <v>44.759950225815722</v>
      </c>
      <c r="BG52" s="20">
        <f t="shared" si="7"/>
        <v>387.05913530996241</v>
      </c>
      <c r="BH52" s="59">
        <f t="shared" si="8"/>
        <v>680.39246864329573</v>
      </c>
      <c r="BI52" s="59">
        <f ca="1">AVERAGE(OFFSET($BH$3,0,0,'Données projet'!$E$11+1,1))-AVERAGE(OFFSET($H$3,0,0,'Données projet'!$E$11+1,1))</f>
        <v>319.97102066931524</v>
      </c>
      <c r="BJ52" s="59">
        <f t="shared" si="38"/>
        <v>190.48958701476397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26.276413523517963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26.276413523517963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152.40696942350093</v>
      </c>
      <c r="T53" s="59">
        <f t="shared" si="34"/>
        <v>368.99390365472789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601</v>
      </c>
      <c r="AG53" s="12">
        <f>VLOOKUP(A53,'Données projet'!$A$61:$I$81,9,0)</f>
        <v>24.6</v>
      </c>
      <c r="AH53" s="12">
        <f t="array" ref="AH53">INDEX(AG:AG,MIN(IF(ISNUMBER(AG53:AG249),ROW(AG53:AG249),"")))</f>
        <v>24.6</v>
      </c>
      <c r="AI53" s="13">
        <f>IF('Données projet'!$A$62&gt;35,AI52+AH53-AQ52,IF(A53&lt;'Données projet'!$A$62,$AF$205^A53,IF(A53='Données projet'!$A$62,'Données projet'!$B$62,AI52+AH53-AQ52)))</f>
        <v>601.00000000000045</v>
      </c>
      <c r="AJ53" s="13">
        <f>AI53*VLOOKUP('Données projet'!$B$10,Paramètres!$A$1:$I$89,3,0)*VLOOKUP('Données projet'!$B$10,Paramètres!$A$1:$I$89,5,0)</f>
        <v>281.2680000000002</v>
      </c>
      <c r="AK53" s="13">
        <f t="shared" si="35"/>
        <v>67.23490322494834</v>
      </c>
      <c r="AL53" s="20">
        <f t="shared" si="4"/>
        <v>606.97588978345209</v>
      </c>
      <c r="AM53" s="59">
        <f t="shared" si="5"/>
        <v>900.30922311678546</v>
      </c>
      <c r="AN53" s="59">
        <f ca="1">AVERAGE(OFFSET($AM$3,0,0,'Données projet'!$E$10+1,1))-AVERAGE(OFFSET($H$3,0,0,'Données projet'!$E$10+1,1))</f>
        <v>379.12827535040157</v>
      </c>
      <c r="AO53" s="59">
        <f t="shared" si="36"/>
        <v>317.29813413796956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70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82.917513518442803</v>
      </c>
      <c r="AV53" s="21">
        <f>EXP(-LN(2)/25)*AV52+(1-EXP(-LN(2)/25))/(LN(2)/25)*Calculateur!AQ53*Calculateur!AS53*VLOOKUP('Données projet'!$B$10,Paramètres!$A$1:$I$89,3,0)*0.475*44/12</f>
        <v>25.57802671057398</v>
      </c>
      <c r="AW53" s="21">
        <f>EXP(-LN(2)/2)*AW52+(1-EXP(-LN(2)/2))/(LN(2)/2)*AQ53*AT53*VLOOKUP('Données projet'!$B$10,Paramètres!$A$1:$I$89,3,0)*0.475*44/12</f>
        <v>4.2044075306097529E-4</v>
      </c>
      <c r="AX53" s="21">
        <f t="shared" si="6"/>
        <v>108.49596066976984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186.04560000000001</v>
      </c>
      <c r="BF53" s="13">
        <f t="shared" si="37"/>
        <v>46.664623874231999</v>
      </c>
      <c r="BG53" s="20">
        <f t="shared" si="7"/>
        <v>405.30363991428743</v>
      </c>
      <c r="BH53" s="59">
        <f t="shared" si="8"/>
        <v>698.63697324762074</v>
      </c>
      <c r="BI53" s="59">
        <f ca="1">AVERAGE(OFFSET($BH$3,0,0,'Données projet'!$E$11+1,1))-AVERAGE(OFFSET($H$3,0,0,'Données projet'!$E$11+1,1))</f>
        <v>319.97102066931524</v>
      </c>
      <c r="BJ53" s="59">
        <f t="shared" si="38"/>
        <v>190.48958701476397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36.194750976762677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36.194750976762677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152.40696942350093</v>
      </c>
      <c r="T54" s="59">
        <f t="shared" si="34"/>
        <v>368.99390365472789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23</v>
      </c>
      <c r="AI54" s="13">
        <f>IF('Données projet'!$A$62&gt;35,AI53+AH54-AQ53,IF(A54&lt;'Données projet'!$A$62,$AF$205^A54,IF(A54='Données projet'!$A$62,'Données projet'!$B$62,AI53+AH54-AQ53)))</f>
        <v>554.00000000000045</v>
      </c>
      <c r="AJ54" s="13">
        <f>AI54*VLOOKUP('Données projet'!$B$10,Paramètres!$A$1:$I$89,3,0)*VLOOKUP('Données projet'!$B$10,Paramètres!$A$1:$I$89,5,0)</f>
        <v>259.27200000000022</v>
      </c>
      <c r="AK54" s="13">
        <f t="shared" si="35"/>
        <v>62.567172460757995</v>
      </c>
      <c r="AL54" s="20">
        <f t="shared" si="4"/>
        <v>560.53655870248713</v>
      </c>
      <c r="AM54" s="59">
        <f t="shared" si="5"/>
        <v>853.86989203582038</v>
      </c>
      <c r="AN54" s="59">
        <f ca="1">AVERAGE(OFFSET($AM$3,0,0,'Données projet'!$E$10+1,1))-AVERAGE(OFFSET($H$3,0,0,'Données projet'!$E$10+1,1))</f>
        <v>379.12827535040157</v>
      </c>
      <c r="AO54" s="59">
        <f t="shared" si="36"/>
        <v>317.29813413796956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81.291551653035555</v>
      </c>
      <c r="AV54" s="21">
        <f>EXP(-LN(2)/25)*AV53+(1-EXP(-LN(2)/25))/(LN(2)/25)*Calculateur!AQ54*Calculateur!AS54*VLOOKUP('Données projet'!$B$10,Paramètres!$A$1:$I$89,3,0)*0.475*44/12</f>
        <v>24.878594225083368</v>
      </c>
      <c r="AW54" s="21">
        <f>EXP(-LN(2)/2)*AW53+(1-EXP(-LN(2)/2))/(LN(2)/2)*AQ54*AT54*VLOOKUP('Données projet'!$B$10,Paramètres!$A$1:$I$89,3,0)*0.475*44/12</f>
        <v>2.9729650757659432E-4</v>
      </c>
      <c r="AX54" s="21">
        <f t="shared" si="6"/>
        <v>106.1704431746265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172.45800000000003</v>
      </c>
      <c r="BF54" s="13">
        <f t="shared" si="37"/>
        <v>43.640073035750284</v>
      </c>
      <c r="BG54" s="20">
        <f t="shared" si="7"/>
        <v>376.37081053726507</v>
      </c>
      <c r="BH54" s="59">
        <f t="shared" si="8"/>
        <v>669.70414387059839</v>
      </c>
      <c r="BI54" s="59">
        <f ca="1">AVERAGE(OFFSET($BH$3,0,0,'Données projet'!$E$11+1,1))-AVERAGE(OFFSET($H$3,0,0,'Données projet'!$E$11+1,1))</f>
        <v>319.97102066931524</v>
      </c>
      <c r="BJ54" s="59">
        <f t="shared" si="38"/>
        <v>190.48958701476397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35.484993986726572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35.484993986726572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152.40696942350093</v>
      </c>
      <c r="T55" s="59">
        <f t="shared" si="34"/>
        <v>368.99390365472789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23</v>
      </c>
      <c r="AI55" s="13">
        <f>IF('Données projet'!$A$62&gt;35,AI54+AH55-AQ54,IF(A55&lt;'Données projet'!$A$62,$AF$205^A55,IF(A55='Données projet'!$A$62,'Données projet'!$B$62,AI54+AH55-AQ54)))</f>
        <v>577.00000000000045</v>
      </c>
      <c r="AJ55" s="13">
        <f>AI55*VLOOKUP('Données projet'!$B$10,Paramètres!$A$1:$I$89,3,0)*VLOOKUP('Données projet'!$B$10,Paramètres!$A$1:$I$89,5,0)</f>
        <v>270.03600000000023</v>
      </c>
      <c r="AK55" s="13">
        <f t="shared" si="35"/>
        <v>64.856909337133487</v>
      </c>
      <c r="AL55" s="20">
        <f t="shared" si="4"/>
        <v>583.2718170955078</v>
      </c>
      <c r="AM55" s="59">
        <f t="shared" si="5"/>
        <v>876.60515042884117</v>
      </c>
      <c r="AN55" s="59">
        <f ca="1">AVERAGE(OFFSET($AM$3,0,0,'Données projet'!$E$10+1,1))-AVERAGE(OFFSET($H$3,0,0,'Données projet'!$E$10+1,1))</f>
        <v>379.12827535040157</v>
      </c>
      <c r="AO55" s="59">
        <f t="shared" si="36"/>
        <v>317.29813413796956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79.697473908070123</v>
      </c>
      <c r="AV55" s="21">
        <f>EXP(-LN(2)/25)*AV54+(1-EXP(-LN(2)/25))/(LN(2)/25)*Calculateur!AQ55*Calculateur!AS55*VLOOKUP('Données projet'!$B$10,Paramètres!$A$1:$I$89,3,0)*0.475*44/12</f>
        <v>24.198287757690053</v>
      </c>
      <c r="AW55" s="21">
        <f>EXP(-LN(2)/2)*AW54+(1-EXP(-LN(2)/2))/(LN(2)/2)*AQ55*AT55*VLOOKUP('Données projet'!$B$10,Paramètres!$A$1:$I$89,3,0)*0.475*44/12</f>
        <v>2.1022037653048765E-4</v>
      </c>
      <c r="AX55" s="21">
        <f t="shared" si="6"/>
        <v>103.89597188613671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180.81960000000004</v>
      </c>
      <c r="BF55" s="13">
        <f t="shared" si="37"/>
        <v>45.504483825620213</v>
      </c>
      <c r="BG55" s="20">
        <f t="shared" si="7"/>
        <v>394.18111266295523</v>
      </c>
      <c r="BH55" s="59">
        <f t="shared" si="8"/>
        <v>687.51444599628849</v>
      </c>
      <c r="BI55" s="59">
        <f ca="1">AVERAGE(OFFSET($BH$3,0,0,'Données projet'!$E$11+1,1))-AVERAGE(OFFSET($H$3,0,0,'Données projet'!$E$11+1,1))</f>
        <v>319.97102066931524</v>
      </c>
      <c r="BJ55" s="59">
        <f t="shared" si="38"/>
        <v>190.48958701476397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34.78915489835606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34.78915489835606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152.40696942350093</v>
      </c>
      <c r="T56" s="59">
        <f t="shared" si="34"/>
        <v>368.99390365472789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23</v>
      </c>
      <c r="AI56" s="13">
        <f>IF('Données projet'!$A$62&gt;35,AI55+AH56-AQ55,IF(A56&lt;'Données projet'!$A$62,$AF$205^A56,IF(A56='Données projet'!$A$62,'Données projet'!$B$62,AI55+AH56-AQ55)))</f>
        <v>600.00000000000045</v>
      </c>
      <c r="AJ56" s="13">
        <f>AI56*VLOOKUP('Données projet'!$B$10,Paramètres!$A$1:$I$89,3,0)*VLOOKUP('Données projet'!$B$10,Paramètres!$A$1:$I$89,5,0)</f>
        <v>280.80000000000018</v>
      </c>
      <c r="AK56" s="13">
        <f t="shared" si="35"/>
        <v>67.136043795470343</v>
      </c>
      <c r="AL56" s="20">
        <f t="shared" si="4"/>
        <v>605.98860961044454</v>
      </c>
      <c r="AM56" s="59">
        <f t="shared" si="5"/>
        <v>899.32194294377791</v>
      </c>
      <c r="AN56" s="59">
        <f ca="1">AVERAGE(OFFSET($AM$3,0,0,'Données projet'!$E$10+1,1))-AVERAGE(OFFSET($H$3,0,0,'Données projet'!$E$10+1,1))</f>
        <v>379.12827535040157</v>
      </c>
      <c r="AO56" s="59">
        <f t="shared" si="36"/>
        <v>317.29813413796956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78.134655055392045</v>
      </c>
      <c r="AV56" s="21">
        <f>EXP(-LN(2)/25)*AV55+(1-EXP(-LN(2)/25))/(LN(2)/25)*Calculateur!AQ56*Calculateur!AS56*VLOOKUP('Données projet'!$B$10,Paramètres!$A$1:$I$89,3,0)*0.475*44/12</f>
        <v>23.536584306423372</v>
      </c>
      <c r="AW56" s="21">
        <f>EXP(-LN(2)/2)*AW55+(1-EXP(-LN(2)/2))/(LN(2)/2)*AQ56*AT56*VLOOKUP('Données projet'!$B$10,Paramètres!$A$1:$I$89,3,0)*0.475*44/12</f>
        <v>1.4864825378829716E-4</v>
      </c>
      <c r="AX56" s="21">
        <f t="shared" si="6"/>
        <v>101.67138801006921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189.18120000000002</v>
      </c>
      <c r="BF56" s="13">
        <f t="shared" si="37"/>
        <v>47.358882320604579</v>
      </c>
      <c r="BG56" s="20">
        <f t="shared" si="7"/>
        <v>411.97397670838632</v>
      </c>
      <c r="BH56" s="59">
        <f t="shared" si="8"/>
        <v>705.30731004171957</v>
      </c>
      <c r="BI56" s="59">
        <f ca="1">AVERAGE(OFFSET($BH$3,0,0,'Données projet'!$E$11+1,1))-AVERAGE(OFFSET($H$3,0,0,'Données projet'!$E$11+1,1))</f>
        <v>319.97102066931524</v>
      </c>
      <c r="BJ56" s="59">
        <f t="shared" si="38"/>
        <v>190.48958701476397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34.106960790088557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34.106960790088557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152.40696942350093</v>
      </c>
      <c r="T57" s="59">
        <f t="shared" si="34"/>
        <v>368.99390365472789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23</v>
      </c>
      <c r="AI57" s="13">
        <f>IF('Données projet'!$A$62&gt;35,AI56+AH57-AQ56,IF(A57&lt;'Données projet'!$A$62,$AF$205^A57,IF(A57='Données projet'!$A$62,'Données projet'!$B$62,AI56+AH57-AQ56)))</f>
        <v>623.00000000000045</v>
      </c>
      <c r="AJ57" s="13">
        <f>AI57*VLOOKUP('Données projet'!$B$10,Paramètres!$A$1:$I$89,3,0)*VLOOKUP('Données projet'!$B$10,Paramètres!$A$1:$I$89,5,0)</f>
        <v>291.56400000000019</v>
      </c>
      <c r="AK57" s="13">
        <f t="shared" si="35"/>
        <v>69.405028784878667</v>
      </c>
      <c r="AL57" s="20">
        <f t="shared" si="4"/>
        <v>628.687725133664</v>
      </c>
      <c r="AM57" s="59">
        <f t="shared" si="5"/>
        <v>922.02105846699737</v>
      </c>
      <c r="AN57" s="59">
        <f ca="1">AVERAGE(OFFSET($AM$3,0,0,'Données projet'!$E$10+1,1))-AVERAGE(OFFSET($H$3,0,0,'Données projet'!$E$10+1,1))</f>
        <v>379.12827535040157</v>
      </c>
      <c r="AO57" s="59">
        <f t="shared" si="36"/>
        <v>317.29813413796956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76.602482127189617</v>
      </c>
      <c r="AV57" s="21">
        <f>EXP(-LN(2)/25)*AV56+(1-EXP(-LN(2)/25))/(LN(2)/25)*Calculateur!AQ57*Calculateur!AS57*VLOOKUP('Données projet'!$B$10,Paramètres!$A$1:$I$89,3,0)*0.475*44/12</f>
        <v>22.89297517082905</v>
      </c>
      <c r="AW57" s="21">
        <f>EXP(-LN(2)/2)*AW56+(1-EXP(-LN(2)/2))/(LN(2)/2)*AQ57*AT57*VLOOKUP('Données projet'!$B$10,Paramètres!$A$1:$I$89,3,0)*0.475*44/12</f>
        <v>1.0511018826524382E-4</v>
      </c>
      <c r="AX57" s="21">
        <f t="shared" si="6"/>
        <v>99.495562408206936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197.54280000000003</v>
      </c>
      <c r="BF57" s="13">
        <f t="shared" si="37"/>
        <v>49.203761623019211</v>
      </c>
      <c r="BG57" s="20">
        <f t="shared" si="7"/>
        <v>429.75026149342511</v>
      </c>
      <c r="BH57" s="59">
        <f t="shared" si="8"/>
        <v>723.08359482675837</v>
      </c>
      <c r="BI57" s="59">
        <f ca="1">AVERAGE(OFFSET($BH$3,0,0,'Données projet'!$E$11+1,1))-AVERAGE(OFFSET($H$3,0,0,'Données projet'!$E$11+1,1))</f>
        <v>319.97102066931524</v>
      </c>
      <c r="BJ57" s="59">
        <f t="shared" si="38"/>
        <v>190.48958701476397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33.43814409218686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33.43814409218686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152.40696942350093</v>
      </c>
      <c r="T58" s="59">
        <f t="shared" si="34"/>
        <v>368.99390365472789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646</v>
      </c>
      <c r="AG58" s="12">
        <f>VLOOKUP(A58,'Données projet'!$A$61:$I$81,9,0)</f>
        <v>23</v>
      </c>
      <c r="AH58" s="12">
        <f t="array" ref="AH58">INDEX(AG:AG,MIN(IF(ISNUMBER(AG58:AG254),ROW(AG58:AG254),"")))</f>
        <v>23</v>
      </c>
      <c r="AI58" s="13">
        <f>IF('Données projet'!$A$62&gt;35,AI57+AH58-AQ57,IF(A58&lt;'Données projet'!$A$62,$AF$205^A58,IF(A58='Données projet'!$A$62,'Données projet'!$B$62,AI57+AH58-AQ57)))</f>
        <v>646.00000000000045</v>
      </c>
      <c r="AJ58" s="13">
        <f>AI58*VLOOKUP('Données projet'!$B$10,Paramètres!$A$1:$I$89,3,0)*VLOOKUP('Données projet'!$B$10,Paramètres!$A$1:$I$89,5,0)</f>
        <v>302.3280000000002</v>
      </c>
      <c r="AK58" s="13">
        <f t="shared" si="35"/>
        <v>71.664281915377458</v>
      </c>
      <c r="AL58" s="20">
        <f t="shared" si="4"/>
        <v>651.3698910026161</v>
      </c>
      <c r="AM58" s="59">
        <f t="shared" si="5"/>
        <v>944.70322433594947</v>
      </c>
      <c r="AN58" s="59">
        <f ca="1">AVERAGE(OFFSET($AM$3,0,0,'Données projet'!$E$10+1,1))-AVERAGE(OFFSET($H$3,0,0,'Données projet'!$E$10+1,1))</f>
        <v>379.12827535040157</v>
      </c>
      <c r="AO58" s="59">
        <f t="shared" si="36"/>
        <v>317.29813413796956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63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96.6121886978747</v>
      </c>
      <c r="AV58" s="21">
        <f>EXP(-LN(2)/25)*AV57+(1-EXP(-LN(2)/25))/(LN(2)/25)*Calculateur!AQ58*Calculateur!AS58*VLOOKUP('Données projet'!$B$10,Paramètres!$A$1:$I$89,3,0)*0.475*44/12</f>
        <v>22.266965560893489</v>
      </c>
      <c r="AW58" s="21">
        <f>EXP(-LN(2)/2)*AW57+(1-EXP(-LN(2)/2))/(LN(2)/2)*AQ58*AT58*VLOOKUP('Données projet'!$B$10,Paramètres!$A$1:$I$89,3,0)*0.475*44/12</f>
        <v>7.4324126894148579E-5</v>
      </c>
      <c r="AX58" s="21">
        <f t="shared" si="6"/>
        <v>118.87922858289508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205.90440000000001</v>
      </c>
      <c r="BF58" s="13">
        <f t="shared" si="37"/>
        <v>51.039570729770148</v>
      </c>
      <c r="BG58" s="20">
        <f t="shared" si="7"/>
        <v>447.51074902101635</v>
      </c>
      <c r="BH58" s="59">
        <f t="shared" si="8"/>
        <v>740.84408235434967</v>
      </c>
      <c r="BI58" s="59">
        <f ca="1">AVERAGE(OFFSET($BH$3,0,0,'Données projet'!$E$11+1,1))-AVERAGE(OFFSET($H$3,0,0,'Données projet'!$E$11+1,1))</f>
        <v>319.97102066931524</v>
      </c>
      <c r="BJ58" s="59">
        <f t="shared" si="38"/>
        <v>190.48958701476397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43.216044377204298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43.216044377204298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152.40696942350093</v>
      </c>
      <c r="T59" s="59">
        <f t="shared" si="34"/>
        <v>368.99390365472789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21.4</v>
      </c>
      <c r="AI59" s="13">
        <f>IF('Données projet'!$A$62&gt;35,AI58+AH59-AQ58,IF(A59&lt;'Données projet'!$A$62,$AF$205^A59,IF(A59='Données projet'!$A$62,'Données projet'!$B$62,AI58+AH59-AQ58)))</f>
        <v>604.40000000000043</v>
      </c>
      <c r="AJ59" s="13">
        <f>AI59*VLOOKUP('Données projet'!$B$10,Paramètres!$A$1:$I$89,3,0)*VLOOKUP('Données projet'!$B$10,Paramètres!$A$1:$I$89,5,0)</f>
        <v>282.85920000000021</v>
      </c>
      <c r="AK59" s="13">
        <f t="shared" si="35"/>
        <v>67.570882292948653</v>
      </c>
      <c r="AL59" s="20">
        <f t="shared" si="4"/>
        <v>610.33239332688595</v>
      </c>
      <c r="AM59" s="59">
        <f t="shared" si="5"/>
        <v>903.66572666021921</v>
      </c>
      <c r="AN59" s="59">
        <f ca="1">AVERAGE(OFFSET($AM$3,0,0,'Données projet'!$E$10+1,1))-AVERAGE(OFFSET($H$3,0,0,'Données projet'!$E$10+1,1))</f>
        <v>379.12827535040157</v>
      </c>
      <c r="AO59" s="59">
        <f t="shared" si="36"/>
        <v>317.29813413796956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94.717682605125859</v>
      </c>
      <c r="AV59" s="21">
        <f>EXP(-LN(2)/25)*AV58+(1-EXP(-LN(2)/25))/(LN(2)/25)*Calculateur!AQ59*Calculateur!AS59*VLOOKUP('Données projet'!$B$10,Paramètres!$A$1:$I$89,3,0)*0.475*44/12</f>
        <v>21.65807421666203</v>
      </c>
      <c r="AW59" s="21">
        <f>EXP(-LN(2)/2)*AW58+(1-EXP(-LN(2)/2))/(LN(2)/2)*AQ59*AT59*VLOOKUP('Données projet'!$B$10,Paramètres!$A$1:$I$89,3,0)*0.475*44/12</f>
        <v>5.2555094132621912E-5</v>
      </c>
      <c r="AX59" s="21">
        <f t="shared" si="6"/>
        <v>116.37580937688202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191.89872</v>
      </c>
      <c r="BF59" s="13">
        <f t="shared" si="37"/>
        <v>47.959489640575555</v>
      </c>
      <c r="BG59" s="20">
        <f t="shared" si="7"/>
        <v>417.75304845733575</v>
      </c>
      <c r="BH59" s="59">
        <f t="shared" si="8"/>
        <v>711.08638179066907</v>
      </c>
      <c r="BI59" s="59">
        <f ca="1">AVERAGE(OFFSET($BH$3,0,0,'Données projet'!$E$11+1,1))-AVERAGE(OFFSET($H$3,0,0,'Données projet'!$E$11+1,1))</f>
        <v>319.97102066931524</v>
      </c>
      <c r="BJ59" s="59">
        <f t="shared" si="38"/>
        <v>190.48958701476397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42.368604106151636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42.368604106151636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152.40696942350093</v>
      </c>
      <c r="T60" s="59">
        <f t="shared" si="34"/>
        <v>368.99390365472789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21.4</v>
      </c>
      <c r="AI60" s="13">
        <f>IF('Données projet'!$A$62&gt;35,AI59+AH60-AQ59,IF(A60&lt;'Données projet'!$A$62,$AF$205^A60,IF(A60='Données projet'!$A$62,'Données projet'!$B$62,AI59+AH60-AQ59)))</f>
        <v>625.80000000000041</v>
      </c>
      <c r="AJ60" s="13">
        <f>AI60*VLOOKUP('Données projet'!$B$10,Paramètres!$A$1:$I$89,3,0)*VLOOKUP('Données projet'!$B$10,Paramètres!$A$1:$I$89,5,0)</f>
        <v>292.87440000000021</v>
      </c>
      <c r="AK60" s="13">
        <f t="shared" si="35"/>
        <v>69.680580555206433</v>
      </c>
      <c r="AL60" s="20">
        <f t="shared" si="4"/>
        <v>631.44992446698484</v>
      </c>
      <c r="AM60" s="59">
        <f t="shared" si="5"/>
        <v>924.7832578003181</v>
      </c>
      <c r="AN60" s="59">
        <f ca="1">AVERAGE(OFFSET($AM$3,0,0,'Données projet'!$E$10+1,1))-AVERAGE(OFFSET($H$3,0,0,'Données projet'!$E$10+1,1))</f>
        <v>379.12827535040157</v>
      </c>
      <c r="AO60" s="59">
        <f t="shared" si="36"/>
        <v>317.29813413796956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92.860326621321207</v>
      </c>
      <c r="AV60" s="21">
        <f>EXP(-LN(2)/25)*AV59+(1-EXP(-LN(2)/25))/(LN(2)/25)*Calculateur!AQ60*Calculateur!AS60*VLOOKUP('Données projet'!$B$10,Paramètres!$A$1:$I$89,3,0)*0.475*44/12</f>
        <v>21.065833038258784</v>
      </c>
      <c r="AW60" s="21">
        <f>EXP(-LN(2)/2)*AW59+(1-EXP(-LN(2)/2))/(LN(2)/2)*AQ60*AT60*VLOOKUP('Données projet'!$B$10,Paramètres!$A$1:$I$89,3,0)*0.475*44/12</f>
        <v>3.7162063447074289E-5</v>
      </c>
      <c r="AX60" s="21">
        <f t="shared" si="6"/>
        <v>113.92619682164344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199.84224000000003</v>
      </c>
      <c r="BF60" s="13">
        <f t="shared" si="37"/>
        <v>49.709495260160018</v>
      </c>
      <c r="BG60" s="20">
        <f t="shared" si="7"/>
        <v>434.63593891144541</v>
      </c>
      <c r="BH60" s="59">
        <f t="shared" si="8"/>
        <v>727.96927224477872</v>
      </c>
      <c r="BI60" s="59">
        <f ca="1">AVERAGE(OFFSET($BH$3,0,0,'Données projet'!$E$11+1,1))-AVERAGE(OFFSET($H$3,0,0,'Données projet'!$E$11+1,1))</f>
        <v>319.97102066931524</v>
      </c>
      <c r="BJ60" s="59">
        <f t="shared" si="38"/>
        <v>190.48958701476397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41.53778162192679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41.53778162192679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152.40696942350093</v>
      </c>
      <c r="T61" s="59">
        <f t="shared" si="34"/>
        <v>368.99390365472789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21.4</v>
      </c>
      <c r="AI61" s="13">
        <f>IF('Données projet'!$A$62&gt;35,AI60+AH61-AQ60,IF(A61&lt;'Données projet'!$A$62,$AF$205^A61,IF(A61='Données projet'!$A$62,'Données projet'!$B$62,AI60+AH61-AQ60)))</f>
        <v>647.20000000000039</v>
      </c>
      <c r="AJ61" s="13">
        <f>AI61*VLOOKUP('Données projet'!$B$10,Paramètres!$A$1:$I$89,3,0)*VLOOKUP('Données projet'!$B$10,Paramètres!$A$1:$I$89,5,0)</f>
        <v>302.8896000000002</v>
      </c>
      <c r="AK61" s="13">
        <f t="shared" si="35"/>
        <v>71.781896252840141</v>
      </c>
      <c r="AL61" s="20">
        <f t="shared" si="4"/>
        <v>652.55285597369698</v>
      </c>
      <c r="AM61" s="59">
        <f t="shared" si="5"/>
        <v>945.88618930703024</v>
      </c>
      <c r="AN61" s="59">
        <f ca="1">AVERAGE(OFFSET($AM$3,0,0,'Données projet'!$E$10+1,1))-AVERAGE(OFFSET($H$3,0,0,'Données projet'!$E$10+1,1))</f>
        <v>379.12827535040157</v>
      </c>
      <c r="AO61" s="59">
        <f t="shared" si="36"/>
        <v>317.29813413796956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91.039392255483676</v>
      </c>
      <c r="AV61" s="21">
        <f>EXP(-LN(2)/25)*AV60+(1-EXP(-LN(2)/25))/(LN(2)/25)*Calculateur!AQ61*Calculateur!AS61*VLOOKUP('Données projet'!$B$10,Paramètres!$A$1:$I$89,3,0)*0.475*44/12</f>
        <v>20.489786726023585</v>
      </c>
      <c r="AW61" s="21">
        <f>EXP(-LN(2)/2)*AW60+(1-EXP(-LN(2)/2))/(LN(2)/2)*AQ61*AT61*VLOOKUP('Données projet'!$B$10,Paramètres!$A$1:$I$89,3,0)*0.475*44/12</f>
        <v>2.6277547066310956E-5</v>
      </c>
      <c r="AX61" s="21">
        <f t="shared" si="6"/>
        <v>111.52920525905432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207.78576000000001</v>
      </c>
      <c r="BF61" s="13">
        <f t="shared" si="37"/>
        <v>51.451420446901984</v>
      </c>
      <c r="BG61" s="20">
        <f t="shared" si="7"/>
        <v>451.50475594502092</v>
      </c>
      <c r="BH61" s="59">
        <f t="shared" si="8"/>
        <v>744.83808927835423</v>
      </c>
      <c r="BI61" s="59">
        <f ca="1">AVERAGE(OFFSET($BH$3,0,0,'Données projet'!$E$11+1,1))-AVERAGE(OFFSET($H$3,0,0,'Données projet'!$E$11+1,1))</f>
        <v>319.97102066931524</v>
      </c>
      <c r="BJ61" s="59">
        <f t="shared" si="38"/>
        <v>190.48958701476397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40.723251059865916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40.723251059865916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152.40696942350093</v>
      </c>
      <c r="T62" s="59">
        <f t="shared" si="34"/>
        <v>368.99390365472789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21.4</v>
      </c>
      <c r="AI62" s="13">
        <f>IF('Données projet'!$A$62&gt;35,AI61+AH62-AQ61,IF(A62&lt;'Données projet'!$A$62,$AF$205^A62,IF(A62='Données projet'!$A$62,'Données projet'!$B$62,AI61+AH62-AQ61)))</f>
        <v>668.60000000000036</v>
      </c>
      <c r="AJ62" s="13">
        <f>AI62*VLOOKUP('Données projet'!$B$10,Paramètres!$A$1:$I$89,3,0)*VLOOKUP('Données projet'!$B$10,Paramètres!$A$1:$I$89,5,0)</f>
        <v>312.90480000000014</v>
      </c>
      <c r="AK62" s="13">
        <f t="shared" si="35"/>
        <v>73.875138342294761</v>
      </c>
      <c r="AL62" s="20">
        <f t="shared" si="4"/>
        <v>673.64172594616355</v>
      </c>
      <c r="AM62" s="59">
        <f t="shared" si="5"/>
        <v>966.97505927949692</v>
      </c>
      <c r="AN62" s="59">
        <f ca="1">AVERAGE(OFFSET($AM$3,0,0,'Données projet'!$E$10+1,1))-AVERAGE(OFFSET($H$3,0,0,'Données projet'!$E$10+1,1))</f>
        <v>379.12827535040157</v>
      </c>
      <c r="AO62" s="59">
        <f t="shared" si="36"/>
        <v>317.29813413796956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89.254165301899931</v>
      </c>
      <c r="AV62" s="21">
        <f>EXP(-LN(2)/25)*AV61+(1-EXP(-LN(2)/25))/(LN(2)/25)*Calculateur!AQ62*Calculateur!AS62*VLOOKUP('Données projet'!$B$10,Paramètres!$A$1:$I$89,3,0)*0.475*44/12</f>
        <v>19.929492430489415</v>
      </c>
      <c r="AW62" s="21">
        <f>EXP(-LN(2)/2)*AW61+(1-EXP(-LN(2)/2))/(LN(2)/2)*AQ62*AT62*VLOOKUP('Données projet'!$B$10,Paramètres!$A$1:$I$89,3,0)*0.475*44/12</f>
        <v>1.8581031723537145E-5</v>
      </c>
      <c r="AX62" s="21">
        <f t="shared" si="6"/>
        <v>109.18367631342107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215.72927999999999</v>
      </c>
      <c r="BF62" s="13">
        <f t="shared" si="37"/>
        <v>53.185609472386865</v>
      </c>
      <c r="BG62" s="20">
        <f t="shared" si="7"/>
        <v>468.36009916440707</v>
      </c>
      <c r="BH62" s="59">
        <f t="shared" si="8"/>
        <v>761.69343249774033</v>
      </c>
      <c r="BI62" s="59">
        <f ca="1">AVERAGE(OFFSET($BH$3,0,0,'Données projet'!$E$11+1,1))-AVERAGE(OFFSET($H$3,0,0,'Données projet'!$E$11+1,1))</f>
        <v>319.97102066931524</v>
      </c>
      <c r="BJ62" s="59">
        <f t="shared" si="38"/>
        <v>190.48958701476397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39.924692945312472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39.924692945312472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152.40696942350093</v>
      </c>
      <c r="T63" s="59">
        <f t="shared" si="34"/>
        <v>368.99390365472789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690</v>
      </c>
      <c r="AG63" s="12">
        <f>VLOOKUP(A63,'Données projet'!$A$61:$I$81,9,0)</f>
        <v>21.4</v>
      </c>
      <c r="AH63" s="12">
        <f t="array" ref="AH63">INDEX(AG:AG,MIN(IF(ISNUMBER(AG63:AG259),ROW(AG63:AG259),"")))</f>
        <v>21.4</v>
      </c>
      <c r="AI63" s="13">
        <f>IF('Données projet'!$A$62&gt;35,AI62+AH63-AQ62,IF(A63&lt;'Données projet'!$A$62,$AF$205^A63,IF(A63='Données projet'!$A$62,'Données projet'!$B$62,AI62+AH63-AQ62)))</f>
        <v>690.00000000000034</v>
      </c>
      <c r="AJ63" s="13">
        <f>AI63*VLOOKUP('Données projet'!$B$10,Paramètres!$A$1:$I$89,3,0)*VLOOKUP('Données projet'!$B$10,Paramètres!$A$1:$I$89,5,0)</f>
        <v>322.92000000000019</v>
      </c>
      <c r="AK63" s="13">
        <f t="shared" si="35"/>
        <v>75.960594879408745</v>
      </c>
      <c r="AL63" s="20">
        <f t="shared" si="4"/>
        <v>694.71703608163716</v>
      </c>
      <c r="AM63" s="59">
        <f t="shared" si="5"/>
        <v>988.05036941497042</v>
      </c>
      <c r="AN63" s="59">
        <f ca="1">AVERAGE(OFFSET($AM$3,0,0,'Données projet'!$E$10+1,1))-AVERAGE(OFFSET($H$3,0,0,'Données projet'!$E$10+1,1))</f>
        <v>379.12827535040157</v>
      </c>
      <c r="AO63" s="59">
        <f t="shared" si="36"/>
        <v>317.29813413796956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106.62557624648274</v>
      </c>
      <c r="AV63" s="21">
        <f>EXP(-LN(2)/25)*AV62+(1-EXP(-LN(2)/25))/(LN(2)/25)*Calculateur!AQ63*Calculateur!AS63*VLOOKUP('Données projet'!$B$10,Paramètres!$A$1:$I$89,3,0)*0.475*44/12</f>
        <v>19.384519411931223</v>
      </c>
      <c r="AW63" s="21">
        <f>EXP(-LN(2)/2)*AW62+(1-EXP(-LN(2)/2))/(LN(2)/2)*AQ63*AT63*VLOOKUP('Données projet'!$B$10,Paramètres!$A$1:$I$89,3,0)*0.475*44/12</f>
        <v>1.3138773533155478E-5</v>
      </c>
      <c r="AX63" s="21">
        <f t="shared" si="6"/>
        <v>126.0101087971875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223.6728</v>
      </c>
      <c r="BF63" s="13">
        <f t="shared" si="37"/>
        <v>54.91237981823884</v>
      </c>
      <c r="BG63" s="20">
        <f t="shared" si="7"/>
        <v>485.20252151676596</v>
      </c>
      <c r="BH63" s="59">
        <f t="shared" si="8"/>
        <v>778.53585485009921</v>
      </c>
      <c r="BI63" s="59">
        <f ca="1">AVERAGE(OFFSET($BH$3,0,0,'Données projet'!$E$11+1,1))-AVERAGE(OFFSET($H$3,0,0,'Données projet'!$E$11+1,1))</f>
        <v>319.97102066931524</v>
      </c>
      <c r="BJ63" s="59">
        <f t="shared" si="38"/>
        <v>190.48958701476397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49.575395963724262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49.575395963724262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152.40696942350093</v>
      </c>
      <c r="T64" s="59">
        <f t="shared" si="34"/>
        <v>368.99390365472789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20</v>
      </c>
      <c r="AI64" s="13">
        <f>IF('Données projet'!$A$62&gt;35,AI63+AH64-AQ63,IF(A64&lt;'Données projet'!$A$62,$AF$205^A64,IF(A64='Données projet'!$A$62,'Données projet'!$B$62,AI63+AH64-AQ63)))</f>
        <v>654.00000000000034</v>
      </c>
      <c r="AJ64" s="13">
        <f>AI64*VLOOKUP('Données projet'!$B$10,Paramètres!$A$1:$I$89,3,0)*VLOOKUP('Données projet'!$B$10,Paramètres!$A$1:$I$89,5,0)</f>
        <v>306.07200000000017</v>
      </c>
      <c r="AK64" s="13">
        <f t="shared" si="35"/>
        <v>72.447899614029552</v>
      </c>
      <c r="AL64" s="20">
        <f t="shared" si="4"/>
        <v>659.25549182776842</v>
      </c>
      <c r="AM64" s="59">
        <f t="shared" si="5"/>
        <v>952.58882516110179</v>
      </c>
      <c r="AN64" s="59">
        <f ca="1">AVERAGE(OFFSET($AM$3,0,0,'Données projet'!$E$10+1,1))-AVERAGE(OFFSET($H$3,0,0,'Données projet'!$E$10+1,1))</f>
        <v>379.12827535040157</v>
      </c>
      <c r="AO64" s="59">
        <f t="shared" si="36"/>
        <v>317.29813413796956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104.53471373146903</v>
      </c>
      <c r="AV64" s="21">
        <f>EXP(-LN(2)/25)*AV63+(1-EXP(-LN(2)/25))/(LN(2)/25)*Calculateur!AQ64*Calculateur!AS64*VLOOKUP('Données projet'!$B$10,Paramètres!$A$1:$I$89,3,0)*0.475*44/12</f>
        <v>18.854448709224393</v>
      </c>
      <c r="AW64" s="21">
        <f>EXP(-LN(2)/2)*AW63+(1-EXP(-LN(2)/2))/(LN(2)/2)*AQ64*AT64*VLOOKUP('Données projet'!$B$10,Paramètres!$A$1:$I$89,3,0)*0.475*44/12</f>
        <v>9.2905158617685724E-6</v>
      </c>
      <c r="AX64" s="21">
        <f t="shared" si="6"/>
        <v>123.38917173120927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209.24903999999998</v>
      </c>
      <c r="BF64" s="13">
        <f t="shared" si="37"/>
        <v>51.771447845108803</v>
      </c>
      <c r="BG64" s="20">
        <f t="shared" si="7"/>
        <v>454.61068299689782</v>
      </c>
      <c r="BH64" s="59">
        <f t="shared" si="8"/>
        <v>747.94401633023108</v>
      </c>
      <c r="BI64" s="59">
        <f ca="1">AVERAGE(OFFSET($BH$3,0,0,'Données projet'!$E$11+1,1))-AVERAGE(OFFSET($H$3,0,0,'Données projet'!$E$11+1,1))</f>
        <v>319.97102066931524</v>
      </c>
      <c r="BJ64" s="59">
        <f t="shared" si="38"/>
        <v>190.48958701476397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48.603252686881412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48.603252686881412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152.40696942350093</v>
      </c>
      <c r="T65" s="59">
        <f t="shared" si="34"/>
        <v>368.99390365472789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20</v>
      </c>
      <c r="AI65" s="13">
        <f>IF('Données projet'!$A$62&gt;35,AI64+AH65-AQ64,IF(A65&lt;'Données projet'!$A$62,$AF$205^A65,IF(A65='Données projet'!$A$62,'Données projet'!$B$62,AI64+AH65-AQ64)))</f>
        <v>674.00000000000034</v>
      </c>
      <c r="AJ65" s="13">
        <f>AI65*VLOOKUP('Données projet'!$B$10,Paramètres!$A$1:$I$89,3,0)*VLOOKUP('Données projet'!$B$10,Paramètres!$A$1:$I$89,5,0)</f>
        <v>315.43200000000013</v>
      </c>
      <c r="AK65" s="13">
        <f t="shared" si="35"/>
        <v>74.402098550585634</v>
      </c>
      <c r="AL65" s="20">
        <f t="shared" si="4"/>
        <v>678.96105497560336</v>
      </c>
      <c r="AM65" s="59">
        <f t="shared" si="5"/>
        <v>972.29438830893673</v>
      </c>
      <c r="AN65" s="59">
        <f ca="1">AVERAGE(OFFSET($AM$3,0,0,'Données projet'!$E$10+1,1))-AVERAGE(OFFSET($H$3,0,0,'Données projet'!$E$10+1,1))</f>
        <v>379.12827535040157</v>
      </c>
      <c r="AO65" s="59">
        <f t="shared" si="36"/>
        <v>317.29813413796956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102.48485175507453</v>
      </c>
      <c r="AV65" s="21">
        <f>EXP(-LN(2)/25)*AV64+(1-EXP(-LN(2)/25))/(LN(2)/25)*Calculateur!AQ65*Calculateur!AS65*VLOOKUP('Données projet'!$B$10,Paramètres!$A$1:$I$89,3,0)*0.475*44/12</f>
        <v>18.338872817758286</v>
      </c>
      <c r="AW65" s="21">
        <f>EXP(-LN(2)/2)*AW64+(1-EXP(-LN(2)/2))/(LN(2)/2)*AQ65*AT65*VLOOKUP('Données projet'!$B$10,Paramètres!$A$1:$I$89,3,0)*0.475*44/12</f>
        <v>6.5693867665777389E-6</v>
      </c>
      <c r="AX65" s="21">
        <f t="shared" si="6"/>
        <v>120.82373114221959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216.77447999999995</v>
      </c>
      <c r="BF65" s="13">
        <f t="shared" si="37"/>
        <v>53.41323339156682</v>
      </c>
      <c r="BG65" s="20">
        <f t="shared" si="7"/>
        <v>470.57693415697872</v>
      </c>
      <c r="BH65" s="59">
        <f t="shared" si="8"/>
        <v>763.91026749031198</v>
      </c>
      <c r="BI65" s="59">
        <f ca="1">AVERAGE(OFFSET($BH$3,0,0,'Données projet'!$E$11+1,1))-AVERAGE(OFFSET($H$3,0,0,'Données projet'!$E$11+1,1))</f>
        <v>319.97102066931524</v>
      </c>
      <c r="BJ65" s="59">
        <f t="shared" si="38"/>
        <v>190.48958701476397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47.6501725467486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47.6501725467486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152.40696942350093</v>
      </c>
      <c r="T66" s="59">
        <f t="shared" si="34"/>
        <v>368.99390365472789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20</v>
      </c>
      <c r="AI66" s="13">
        <f>IF('Données projet'!$A$62&gt;35,AI65+AH66-AQ65,IF(A66&lt;'Données projet'!$A$62,$AF$205^A66,IF(A66='Données projet'!$A$62,'Données projet'!$B$62,AI65+AH66-AQ65)))</f>
        <v>694.00000000000034</v>
      </c>
      <c r="AJ66" s="13">
        <f>AI66*VLOOKUP('Données projet'!$B$10,Paramètres!$A$1:$I$89,3,0)*VLOOKUP('Données projet'!$B$10,Paramètres!$A$1:$I$89,5,0)</f>
        <v>324.79200000000014</v>
      </c>
      <c r="AK66" s="13">
        <f t="shared" si="35"/>
        <v>76.349558270976516</v>
      </c>
      <c r="AL66" s="20">
        <f t="shared" si="4"/>
        <v>698.65488065528427</v>
      </c>
      <c r="AM66" s="59">
        <f t="shared" si="5"/>
        <v>991.98821398861764</v>
      </c>
      <c r="AN66" s="59">
        <f ca="1">AVERAGE(OFFSET($AM$3,0,0,'Données projet'!$E$10+1,1))-AVERAGE(OFFSET($H$3,0,0,'Données projet'!$E$10+1,1))</f>
        <v>379.12827535040157</v>
      </c>
      <c r="AO66" s="59">
        <f t="shared" si="36"/>
        <v>317.29813413796956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100.47518632174479</v>
      </c>
      <c r="AV66" s="21">
        <f>EXP(-LN(2)/25)*AV65+(1-EXP(-LN(2)/25))/(LN(2)/25)*Calculateur!AQ66*Calculateur!AS66*VLOOKUP('Données projet'!$B$10,Paramètres!$A$1:$I$89,3,0)*0.475*44/12</f>
        <v>17.837395376157279</v>
      </c>
      <c r="AW66" s="21">
        <f>EXP(-LN(2)/2)*AW65+(1-EXP(-LN(2)/2))/(LN(2)/2)*AQ66*AT66*VLOOKUP('Données projet'!$B$10,Paramètres!$A$1:$I$89,3,0)*0.475*44/12</f>
        <v>4.6452579308842862E-6</v>
      </c>
      <c r="AX66" s="21">
        <f t="shared" si="6"/>
        <v>118.31258634315999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224.29991999999993</v>
      </c>
      <c r="BF66" s="13">
        <f t="shared" si="37"/>
        <v>55.048396648853249</v>
      </c>
      <c r="BG66" s="20">
        <f t="shared" si="7"/>
        <v>486.5316514967526</v>
      </c>
      <c r="BH66" s="59">
        <f t="shared" si="8"/>
        <v>779.86498483008586</v>
      </c>
      <c r="BI66" s="59">
        <f ca="1">AVERAGE(OFFSET($BH$3,0,0,'Données projet'!$E$11+1,1))-AVERAGE(OFFSET($H$3,0,0,'Données projet'!$E$11+1,1))</f>
        <v>319.97102066931524</v>
      </c>
      <c r="BJ66" s="59">
        <f t="shared" si="38"/>
        <v>190.48958701476397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46.715781726842309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46.715781726842309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152.40696942350093</v>
      </c>
      <c r="T67" s="59">
        <f t="shared" si="34"/>
        <v>368.99390365472789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20</v>
      </c>
      <c r="AI67" s="13">
        <f>IF('Données projet'!$A$62&gt;35,AI66+AH67-AQ66,IF(A67&lt;'Données projet'!$A$62,$AF$205^A67,IF(A67='Données projet'!$A$62,'Données projet'!$B$62,AI66+AH67-AQ66)))</f>
        <v>714.00000000000034</v>
      </c>
      <c r="AJ67" s="13">
        <f>AI67*VLOOKUP('Données projet'!$B$10,Paramètres!$A$1:$I$89,3,0)*VLOOKUP('Données projet'!$B$10,Paramètres!$A$1:$I$89,5,0)</f>
        <v>334.15200000000021</v>
      </c>
      <c r="AK67" s="13">
        <f t="shared" si="35"/>
        <v>78.2904952928901</v>
      </c>
      <c r="AL67" s="20">
        <f t="shared" si="4"/>
        <v>718.33734596845068</v>
      </c>
      <c r="AM67" s="59">
        <f t="shared" si="5"/>
        <v>1011.670679301784</v>
      </c>
      <c r="AN67" s="59">
        <f ca="1">AVERAGE(OFFSET($AM$3,0,0,'Données projet'!$E$10+1,1))-AVERAGE(OFFSET($H$3,0,0,'Données projet'!$E$10+1,1))</f>
        <v>379.12827535040157</v>
      </c>
      <c r="AO67" s="59">
        <f t="shared" si="36"/>
        <v>317.29813413796956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98.50492920178776</v>
      </c>
      <c r="AV67" s="21">
        <f>EXP(-LN(2)/25)*AV66+(1-EXP(-LN(2)/25))/(LN(2)/25)*Calculateur!AQ67*Calculateur!AS67*VLOOKUP('Données projet'!$B$10,Paramètres!$A$1:$I$89,3,0)*0.475*44/12</f>
        <v>17.349630861568404</v>
      </c>
      <c r="AW67" s="21">
        <f>EXP(-LN(2)/2)*AW66+(1-EXP(-LN(2)/2))/(LN(2)/2)*AQ67*AT67*VLOOKUP('Données projet'!$B$10,Paramètres!$A$1:$I$89,3,0)*0.475*44/12</f>
        <v>3.2846933832888695E-6</v>
      </c>
      <c r="AX67" s="21">
        <f t="shared" si="6"/>
        <v>115.85456334804954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231.82535999999996</v>
      </c>
      <c r="BF67" s="13">
        <f t="shared" si="37"/>
        <v>56.677185272788428</v>
      </c>
      <c r="BG67" s="20">
        <f t="shared" si="7"/>
        <v>502.47526635010644</v>
      </c>
      <c r="BH67" s="59">
        <f t="shared" si="8"/>
        <v>795.80859968343975</v>
      </c>
      <c r="BI67" s="59">
        <f ca="1">AVERAGE(OFFSET($BH$3,0,0,'Données projet'!$E$11+1,1))-AVERAGE(OFFSET($H$3,0,0,'Données projet'!$E$11+1,1))</f>
        <v>319.97102066931524</v>
      </c>
      <c r="BJ67" s="59">
        <f t="shared" si="38"/>
        <v>190.48958701476397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45.799713740992253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45.799713740992253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152.40696942350093</v>
      </c>
      <c r="T68" s="59">
        <f t="shared" si="34"/>
        <v>368.99390365472789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734</v>
      </c>
      <c r="AG68" s="12">
        <f>VLOOKUP(A68,'Données projet'!$A$61:$I$81,9,0)</f>
        <v>20</v>
      </c>
      <c r="AH68" s="12">
        <f t="array" ref="AH68">INDEX(AG:AG,MIN(IF(ISNUMBER(AG68:AG264),ROW(AG68:AG264),"")))</f>
        <v>20</v>
      </c>
      <c r="AI68" s="13">
        <f>IF('Données projet'!$A$62&gt;35,AI67+AH68-AQ67,IF(A68&lt;'Données projet'!$A$62,$AF$205^A68,IF(A68='Données projet'!$A$62,'Données projet'!$B$62,AI67+AH68-AQ67)))</f>
        <v>734.00000000000034</v>
      </c>
      <c r="AJ68" s="13">
        <f>AI68*VLOOKUP('Données projet'!$B$10,Paramètres!$A$1:$I$89,3,0)*VLOOKUP('Données projet'!$B$10,Paramètres!$A$1:$I$89,5,0)</f>
        <v>343.51200000000017</v>
      </c>
      <c r="AK68" s="13">
        <f t="shared" si="35"/>
        <v>80.225113314048286</v>
      </c>
      <c r="AL68" s="20">
        <f t="shared" ref="AL68:AL131" si="58">(AJ68+AK68)*0.475*44/12</f>
        <v>738.00880568863431</v>
      </c>
      <c r="AM68" s="59">
        <f t="shared" ref="AM68:AM131" si="59">AL68+(AD68+AE68)*44/12</f>
        <v>1031.3421390219676</v>
      </c>
      <c r="AN68" s="59">
        <f ca="1">AVERAGE(OFFSET($AM$3,0,0,'Données projet'!$E$10+1,1))-AVERAGE(OFFSET($H$3,0,0,'Données projet'!$E$10+1,1))</f>
        <v>379.12827535040157</v>
      </c>
      <c r="AO68" s="59">
        <f t="shared" si="36"/>
        <v>317.29813413796956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52</v>
      </c>
      <c r="AR68" s="16">
        <f>IF(ISNA(VLOOKUP(A68,'Données projet'!$A$61:$I$81,5,0)),0%,VLOOKUP(A68,'Données projet'!$A$61:$I$81,5,0)*VLOOKUP('Données projet'!$B$10,Paramètres!$A$1:$I$89,7,0))</f>
        <v>0.55000000000000004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114.32910754538206</v>
      </c>
      <c r="AV68" s="21">
        <f>EXP(-LN(2)/25)*AV67+(1-EXP(-LN(2)/25))/(LN(2)/25)*Calculateur!AQ68*Calculateur!AS68*VLOOKUP('Données projet'!$B$10,Paramètres!$A$1:$I$89,3,0)*0.475*44/12</f>
        <v>16.875204293281381</v>
      </c>
      <c r="AW68" s="21">
        <f>EXP(-LN(2)/2)*AW67+(1-EXP(-LN(2)/2))/(LN(2)/2)*AQ68*AT68*VLOOKUP('Données projet'!$B$10,Paramètres!$A$1:$I$89,3,0)*0.475*44/12</f>
        <v>2.3226289654421431E-6</v>
      </c>
      <c r="AX68" s="21">
        <f t="shared" ref="AX68:AX131" si="60">SUM(AU68:AW68)</f>
        <v>131.20431416129242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239.35079999999994</v>
      </c>
      <c r="BF68" s="13">
        <f t="shared" si="37"/>
        <v>58.299829927807131</v>
      </c>
      <c r="BG68" s="20">
        <f t="shared" ref="BG68:BG131" si="61">(BE68+BF68)*0.475*44/12</f>
        <v>518.40818045759727</v>
      </c>
      <c r="BH68" s="59">
        <f t="shared" ref="BH68:BH131" si="62">BG68+(AY68+AZ68)*44/12</f>
        <v>811.74151379093064</v>
      </c>
      <c r="BI68" s="59">
        <f ca="1">AVERAGE(OFFSET($BH$3,0,0,'Données projet'!$E$11+1,1))-AVERAGE(OFFSET($H$3,0,0,'Données projet'!$E$11+1,1))</f>
        <v>319.97102066931524</v>
      </c>
      <c r="BJ68" s="59">
        <f t="shared" si="38"/>
        <v>190.48958701476397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55.335211185009612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55.335211185009612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152.40696942350093</v>
      </c>
      <c r="T69" s="59">
        <f t="shared" ref="T69:T132" si="88">$T$3</f>
        <v>368.99390365472789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18.2</v>
      </c>
      <c r="AI69" s="13">
        <f>IF('Données projet'!$A$62&gt;35,AI68+AH69-AQ68,IF(A69&lt;'Données projet'!$A$62,$AF$205^A69,IF(A69='Données projet'!$A$62,'Données projet'!$B$62,AI68+AH69-AQ68)))</f>
        <v>700.20000000000039</v>
      </c>
      <c r="AJ69" s="13">
        <f>AI69*VLOOKUP('Données projet'!$B$10,Paramètres!$A$1:$I$89,3,0)*VLOOKUP('Données projet'!$B$10,Paramètres!$A$1:$I$89,5,0)</f>
        <v>327.69360000000017</v>
      </c>
      <c r="AK69" s="13">
        <f t="shared" ref="AK69:AK132" si="89">EXP(-1.0587+0.8836*LN(AJ69)+0.284)</f>
        <v>76.951936594861991</v>
      </c>
      <c r="AL69" s="20">
        <f t="shared" si="58"/>
        <v>704.7576429027182</v>
      </c>
      <c r="AM69" s="59">
        <f t="shared" si="59"/>
        <v>998.09097623605157</v>
      </c>
      <c r="AN69" s="59">
        <f ca="1">AVERAGE(OFFSET($AM$3,0,0,'Données projet'!$E$10+1,1))-AVERAGE(OFFSET($H$3,0,0,'Données projet'!$E$10+1,1))</f>
        <v>379.12827535040157</v>
      </c>
      <c r="AO69" s="59">
        <f t="shared" ref="AO69:AO132" si="90">$AO$3</f>
        <v>317.29813413796956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112.08718348028707</v>
      </c>
      <c r="AV69" s="21">
        <f>EXP(-LN(2)/25)*AV68+(1-EXP(-LN(2)/25))/(LN(2)/25)*Calculateur!AQ69*Calculateur!AS69*VLOOKUP('Données projet'!$B$10,Paramètres!$A$1:$I$89,3,0)*0.475*44/12</f>
        <v>16.413750944453177</v>
      </c>
      <c r="AW69" s="21">
        <f>EXP(-LN(2)/2)*AW68+(1-EXP(-LN(2)/2))/(LN(2)/2)*AQ69*AT69*VLOOKUP('Données projet'!$B$10,Paramètres!$A$1:$I$89,3,0)*0.475*44/12</f>
        <v>1.6423466916444347E-6</v>
      </c>
      <c r="AX69" s="21">
        <f t="shared" si="60"/>
        <v>128.50093606708694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224.50895999999995</v>
      </c>
      <c r="BF69" s="13">
        <f t="shared" ref="BF69:BF132" si="91">EXP(-1.0587+0.8836*LN(BE69)+0.284)</f>
        <v>55.093725750341399</v>
      </c>
      <c r="BG69" s="20">
        <f t="shared" si="61"/>
        <v>486.97467768184441</v>
      </c>
      <c r="BH69" s="59">
        <f t="shared" si="62"/>
        <v>780.30801101517773</v>
      </c>
      <c r="BI69" s="59">
        <f ca="1">AVERAGE(OFFSET($BH$3,0,0,'Données projet'!$E$11+1,1))-AVERAGE(OFFSET($H$3,0,0,'Données projet'!$E$11+1,1))</f>
        <v>319.97102066931524</v>
      </c>
      <c r="BJ69" s="59">
        <f t="shared" ref="BJ69:BJ132" si="92">$BJ$3</f>
        <v>190.48958701476397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54.250121444817751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54.250121444817751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152.40696942350093</v>
      </c>
      <c r="T70" s="59">
        <f t="shared" si="88"/>
        <v>368.99390365472789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18.2</v>
      </c>
      <c r="AI70" s="13">
        <f>IF('Données projet'!$A$62&gt;35,AI69+AH70-AQ69,IF(A70&lt;'Données projet'!$A$62,$AF$205^A70,IF(A70='Données projet'!$A$62,'Données projet'!$B$62,AI69+AH70-AQ69)))</f>
        <v>718.40000000000043</v>
      </c>
      <c r="AJ70" s="13">
        <f>AI70*VLOOKUP('Données projet'!$B$10,Paramètres!$A$1:$I$89,3,0)*VLOOKUP('Données projet'!$B$10,Paramètres!$A$1:$I$89,5,0)</f>
        <v>336.21120000000019</v>
      </c>
      <c r="AK70" s="13">
        <f t="shared" si="89"/>
        <v>78.716646554623011</v>
      </c>
      <c r="AL70" s="20">
        <f t="shared" si="58"/>
        <v>722.66599941596871</v>
      </c>
      <c r="AM70" s="59">
        <f t="shared" si="59"/>
        <v>1015.9993327493021</v>
      </c>
      <c r="AN70" s="59">
        <f ca="1">AVERAGE(OFFSET($AM$3,0,0,'Données projet'!$E$10+1,1))-AVERAGE(OFFSET($H$3,0,0,'Données projet'!$E$10+1,1))</f>
        <v>379.12827535040157</v>
      </c>
      <c r="AO70" s="59">
        <f t="shared" si="90"/>
        <v>317.29813413796956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109.88922217866994</v>
      </c>
      <c r="AV70" s="21">
        <f>EXP(-LN(2)/25)*AV69+(1-EXP(-LN(2)/25))/(LN(2)/25)*Calculateur!AQ70*Calculateur!AS70*VLOOKUP('Données projet'!$B$10,Paramètres!$A$1:$I$89,3,0)*0.475*44/12</f>
        <v>15.964916061715456</v>
      </c>
      <c r="AW70" s="21">
        <f>EXP(-LN(2)/2)*AW69+(1-EXP(-LN(2)/2))/(LN(2)/2)*AQ70*AT70*VLOOKUP('Données projet'!$B$10,Paramètres!$A$1:$I$89,3,0)*0.475*44/12</f>
        <v>1.1613144827210715E-6</v>
      </c>
      <c r="AX70" s="21">
        <f t="shared" si="60"/>
        <v>125.85413940169988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231.61631999999997</v>
      </c>
      <c r="BF70" s="13">
        <f t="shared" si="91"/>
        <v>56.632025137557321</v>
      </c>
      <c r="BG70" s="20">
        <f t="shared" si="61"/>
        <v>502.03253444791227</v>
      </c>
      <c r="BH70" s="59">
        <f t="shared" si="62"/>
        <v>795.36586778124558</v>
      </c>
      <c r="BI70" s="59">
        <f ca="1">AVERAGE(OFFSET($BH$3,0,0,'Données projet'!$E$11+1,1))-AVERAGE(OFFSET($H$3,0,0,'Données projet'!$E$11+1,1))</f>
        <v>319.97102066931524</v>
      </c>
      <c r="BJ70" s="59">
        <f t="shared" si="92"/>
        <v>190.48958701476397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53.18630965259166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53.18630965259166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152.40696942350093</v>
      </c>
      <c r="T71" s="59">
        <f t="shared" si="88"/>
        <v>368.99390365472789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18.2</v>
      </c>
      <c r="AI71" s="13">
        <f>IF('Données projet'!$A$62&gt;35,AI70+AH71-AQ70,IF(A71&lt;'Données projet'!$A$62,$AF$205^A71,IF(A71='Données projet'!$A$62,'Données projet'!$B$62,AI70+AH71-AQ70)))</f>
        <v>736.60000000000048</v>
      </c>
      <c r="AJ71" s="13">
        <f>AI71*VLOOKUP('Données projet'!$B$10,Paramètres!$A$1:$I$89,3,0)*VLOOKUP('Données projet'!$B$10,Paramètres!$A$1:$I$89,5,0)</f>
        <v>344.72880000000021</v>
      </c>
      <c r="AK71" s="13">
        <f t="shared" si="89"/>
        <v>80.476159663038771</v>
      </c>
      <c r="AL71" s="20">
        <f t="shared" si="58"/>
        <v>740.56530474645945</v>
      </c>
      <c r="AM71" s="59">
        <f t="shared" si="59"/>
        <v>1033.8986380797928</v>
      </c>
      <c r="AN71" s="59">
        <f ca="1">AVERAGE(OFFSET($AM$3,0,0,'Données projet'!$E$10+1,1))-AVERAGE(OFFSET($H$3,0,0,'Données projet'!$E$10+1,1))</f>
        <v>379.12827535040157</v>
      </c>
      <c r="AO71" s="59">
        <f t="shared" si="90"/>
        <v>317.29813413796956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107.7343615575535</v>
      </c>
      <c r="AV71" s="21">
        <f>EXP(-LN(2)/25)*AV70+(1-EXP(-LN(2)/25))/(LN(2)/25)*Calculateur!AQ71*Calculateur!AS71*VLOOKUP('Données projet'!$B$10,Paramètres!$A$1:$I$89,3,0)*0.475*44/12</f>
        <v>15.5283545924494</v>
      </c>
      <c r="AW71" s="21">
        <f>EXP(-LN(2)/2)*AW70+(1-EXP(-LN(2)/2))/(LN(2)/2)*AQ71*AT71*VLOOKUP('Données projet'!$B$10,Paramètres!$A$1:$I$89,3,0)*0.475*44/12</f>
        <v>8.2117334582221737E-7</v>
      </c>
      <c r="AX71" s="21">
        <f t="shared" si="60"/>
        <v>123.26271697117625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238.72367999999994</v>
      </c>
      <c r="BF71" s="13">
        <f t="shared" si="91"/>
        <v>58.164838855295393</v>
      </c>
      <c r="BG71" s="20">
        <f t="shared" si="61"/>
        <v>517.08083700630607</v>
      </c>
      <c r="BH71" s="59">
        <f t="shared" si="62"/>
        <v>810.41417033963944</v>
      </c>
      <c r="BI71" s="59">
        <f ca="1">AVERAGE(OFFSET($BH$3,0,0,'Données projet'!$E$11+1,1))-AVERAGE(OFFSET($H$3,0,0,'Données projet'!$E$11+1,1))</f>
        <v>319.97102066931524</v>
      </c>
      <c r="BJ71" s="59">
        <f t="shared" si="92"/>
        <v>190.48958701476397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52.143358560749995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52.143358560749995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152.40696942350093</v>
      </c>
      <c r="T72" s="59">
        <f t="shared" si="88"/>
        <v>368.99390365472789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18.2</v>
      </c>
      <c r="AI72" s="13">
        <f>IF('Données projet'!$A$62&gt;35,AI71+AH72-AQ71,IF(A72&lt;'Données projet'!$A$62,$AF$205^A72,IF(A72='Données projet'!$A$62,'Données projet'!$B$62,AI71+AH72-AQ71)))</f>
        <v>754.80000000000052</v>
      </c>
      <c r="AJ72" s="13">
        <f>AI72*VLOOKUP('Données projet'!$B$10,Paramètres!$A$1:$I$89,3,0)*VLOOKUP('Données projet'!$B$10,Paramètres!$A$1:$I$89,5,0)</f>
        <v>353.24640000000022</v>
      </c>
      <c r="AK72" s="13">
        <f t="shared" si="89"/>
        <v>82.230619094326016</v>
      </c>
      <c r="AL72" s="20">
        <f t="shared" si="58"/>
        <v>758.45580825595152</v>
      </c>
      <c r="AM72" s="59">
        <f t="shared" si="59"/>
        <v>1051.7891415892848</v>
      </c>
      <c r="AN72" s="59">
        <f ca="1">AVERAGE(OFFSET($AM$3,0,0,'Données projet'!$E$10+1,1))-AVERAGE(OFFSET($H$3,0,0,'Données projet'!$E$10+1,1))</f>
        <v>379.12827535040157</v>
      </c>
      <c r="AO72" s="59">
        <f t="shared" si="90"/>
        <v>317.29813413796956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105.62175643888196</v>
      </c>
      <c r="AV72" s="21">
        <f>EXP(-LN(2)/25)*AV71+(1-EXP(-LN(2)/25))/(LN(2)/25)*Calculateur!AQ72*Calculateur!AS72*VLOOKUP('Données projet'!$B$10,Paramètres!$A$1:$I$89,3,0)*0.475*44/12</f>
        <v>15.103730919518194</v>
      </c>
      <c r="AW72" s="21">
        <f>EXP(-LN(2)/2)*AW71+(1-EXP(-LN(2)/2))/(LN(2)/2)*AQ72*AT72*VLOOKUP('Données projet'!$B$10,Paramètres!$A$1:$I$89,3,0)*0.475*44/12</f>
        <v>5.8065724136053577E-7</v>
      </c>
      <c r="AX72" s="21">
        <f t="shared" si="60"/>
        <v>120.7254879390574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245.83103999999997</v>
      </c>
      <c r="BF72" s="13">
        <f t="shared" si="91"/>
        <v>59.692348974264512</v>
      </c>
      <c r="BG72" s="20">
        <f t="shared" si="61"/>
        <v>532.11990246351058</v>
      </c>
      <c r="BH72" s="59">
        <f t="shared" si="62"/>
        <v>825.45323579684396</v>
      </c>
      <c r="BI72" s="59">
        <f ca="1">AVERAGE(OFFSET($BH$3,0,0,'Données projet'!$E$11+1,1))-AVERAGE(OFFSET($H$3,0,0,'Données projet'!$E$11+1,1))</f>
        <v>319.97102066931524</v>
      </c>
      <c r="BJ72" s="59">
        <f t="shared" si="92"/>
        <v>190.48958701476397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51.120859103681994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51.120859103681994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152.40696942350093</v>
      </c>
      <c r="T73" s="59">
        <f t="shared" si="88"/>
        <v>368.99390365472789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773</v>
      </c>
      <c r="AG73" s="12">
        <f>VLOOKUP(A73,'Données projet'!$A$61:$I$81,9,0)</f>
        <v>18.2</v>
      </c>
      <c r="AH73" s="12">
        <f t="array" ref="AH73">INDEX(AG:AG,MIN(IF(ISNUMBER(AG73:AG269),ROW(AG73:AG269),"")))</f>
        <v>18.2</v>
      </c>
      <c r="AI73" s="13">
        <f>IF('Données projet'!$A$62&gt;35,AI72+AH73-AQ72,IF(A73&lt;'Données projet'!$A$62,$AF$205^A73,IF(A73='Données projet'!$A$62,'Données projet'!$B$62,AI72+AH73-AQ72)))</f>
        <v>773.00000000000057</v>
      </c>
      <c r="AJ73" s="13">
        <f>AI73*VLOOKUP('Données projet'!$B$10,Paramètres!$A$1:$I$89,3,0)*VLOOKUP('Données projet'!$B$10,Paramètres!$A$1:$I$89,5,0)</f>
        <v>361.76400000000029</v>
      </c>
      <c r="AK73" s="13">
        <f t="shared" si="89"/>
        <v>83.980160724438363</v>
      </c>
      <c r="AL73" s="20">
        <f t="shared" si="58"/>
        <v>776.33774659506389</v>
      </c>
      <c r="AM73" s="59">
        <f t="shared" si="59"/>
        <v>1069.6710799283971</v>
      </c>
      <c r="AN73" s="59">
        <f ca="1">AVERAGE(OFFSET($AM$3,0,0,'Données projet'!$E$10+1,1))-AVERAGE(OFFSET($H$3,0,0,'Données projet'!$E$10+1,1))</f>
        <v>379.12827535040157</v>
      </c>
      <c r="AO73" s="59">
        <f t="shared" si="90"/>
        <v>317.29813413796956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49</v>
      </c>
      <c r="AR73" s="16">
        <f>IF(ISNA(VLOOKUP(A73,'Données projet'!$A$61:$I$81,5,0)),0%,VLOOKUP(A73,'Données projet'!$A$61:$I$81,5,0)*VLOOKUP('Données projet'!$B$10,Paramètres!$A$1:$I$89,7,0))</f>
        <v>0.55000000000000004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120.28200506870242</v>
      </c>
      <c r="AV73" s="21">
        <f>EXP(-LN(2)/25)*AV72+(1-EXP(-LN(2)/25))/(LN(2)/25)*Calculateur!AQ73*Calculateur!AS73*VLOOKUP('Données projet'!$B$10,Paramètres!$A$1:$I$89,3,0)*0.475*44/12</f>
        <v>14.690718603253279</v>
      </c>
      <c r="AW73" s="21">
        <f>EXP(-LN(2)/2)*AW72+(1-EXP(-LN(2)/2))/(LN(2)/2)*AQ73*AT73*VLOOKUP('Données projet'!$B$10,Paramètres!$A$1:$I$89,3,0)*0.475*44/12</f>
        <v>4.1058667291110868E-7</v>
      </c>
      <c r="AX73" s="21">
        <f t="shared" si="60"/>
        <v>134.97272408254236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252.9384</v>
      </c>
      <c r="BF73" s="13">
        <f t="shared" si="91"/>
        <v>61.214726438585039</v>
      </c>
      <c r="BG73" s="20">
        <f t="shared" si="61"/>
        <v>547.15002854720217</v>
      </c>
      <c r="BH73" s="59">
        <f t="shared" si="62"/>
        <v>840.48336188053554</v>
      </c>
      <c r="BI73" s="59">
        <f ca="1">AVERAGE(OFFSET($BH$3,0,0,'Données projet'!$E$11+1,1))-AVERAGE(OFFSET($H$3,0,0,'Données projet'!$E$11+1,1))</f>
        <v>319.97102066931524</v>
      </c>
      <c r="BJ73" s="59">
        <f t="shared" si="92"/>
        <v>190.48958701476397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60.552012132715205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60.552012132715205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152.40696942350093</v>
      </c>
      <c r="T74" s="59">
        <f t="shared" si="88"/>
        <v>368.99390365472789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</v>
      </c>
      <c r="AI74" s="13">
        <f>IF('Données projet'!$A$62&gt;35,AI73+AH74-AQ73,IF(A74&lt;'Données projet'!$A$62,$AF$205^A74,IF(A74='Données projet'!$A$62,'Données projet'!$B$62,AI73+AH74-AQ73)))</f>
        <v>741.00000000000057</v>
      </c>
      <c r="AJ74" s="13">
        <f>AI74*VLOOKUP('Données projet'!$B$10,Paramètres!$A$1:$I$89,3,0)*VLOOKUP('Données projet'!$B$10,Paramètres!$A$1:$I$89,5,0)</f>
        <v>346.7880000000003</v>
      </c>
      <c r="AK74" s="13">
        <f t="shared" si="89"/>
        <v>80.900772615791055</v>
      </c>
      <c r="AL74" s="20">
        <f t="shared" si="58"/>
        <v>744.89127897250319</v>
      </c>
      <c r="AM74" s="59">
        <f t="shared" si="59"/>
        <v>1038.2246123058364</v>
      </c>
      <c r="AN74" s="59">
        <f ca="1">AVERAGE(OFFSET($AM$3,0,0,'Données projet'!$E$10+1,1))-AVERAGE(OFFSET($H$3,0,0,'Données projet'!$E$10+1,1))</f>
        <v>379.12827535040157</v>
      </c>
      <c r="AO74" s="59">
        <f t="shared" si="90"/>
        <v>317.29813413796956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117.92334831408408</v>
      </c>
      <c r="AV74" s="21">
        <f>EXP(-LN(2)/25)*AV73+(1-EXP(-LN(2)/25))/(LN(2)/25)*Calculateur!AQ74*Calculateur!AS74*VLOOKUP('Données projet'!$B$10,Paramètres!$A$1:$I$89,3,0)*0.475*44/12</f>
        <v>14.289000130496003</v>
      </c>
      <c r="AW74" s="21">
        <f>EXP(-LN(2)/2)*AW73+(1-EXP(-LN(2)/2))/(LN(2)/2)*AQ74*AT74*VLOOKUP('Données projet'!$B$10,Paramètres!$A$1:$I$89,3,0)*0.475*44/12</f>
        <v>2.9032862068026789E-7</v>
      </c>
      <c r="AX74" s="21">
        <f t="shared" si="60"/>
        <v>132.21234873490869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237.46943999999999</v>
      </c>
      <c r="BF74" s="13">
        <f t="shared" si="91"/>
        <v>57.894732737332582</v>
      </c>
      <c r="BG74" s="20">
        <f t="shared" si="61"/>
        <v>514.42593418418755</v>
      </c>
      <c r="BH74" s="59">
        <f t="shared" si="62"/>
        <v>807.75926751752081</v>
      </c>
      <c r="BI74" s="59">
        <f ca="1">AVERAGE(OFFSET($BH$3,0,0,'Données projet'!$E$11+1,1))-AVERAGE(OFFSET($H$3,0,0,'Données projet'!$E$11+1,1))</f>
        <v>319.97102066931524</v>
      </c>
      <c r="BJ74" s="59">
        <f t="shared" si="92"/>
        <v>190.48958701476397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59.364624107873226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59.364624107873226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152.40696942350093</v>
      </c>
      <c r="T75" s="59">
        <f t="shared" si="88"/>
        <v>368.99390365472789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</v>
      </c>
      <c r="AI75" s="13">
        <f>IF('Données projet'!$A$62&gt;35,AI74+AH75-AQ74,IF(A75&lt;'Données projet'!$A$62,$AF$205^A75,IF(A75='Données projet'!$A$62,'Données projet'!$B$62,AI74+AH75-AQ74)))</f>
        <v>758.00000000000057</v>
      </c>
      <c r="AJ75" s="13">
        <f>AI75*VLOOKUP('Données projet'!$B$10,Paramètres!$A$1:$I$89,3,0)*VLOOKUP('Données projet'!$B$10,Paramètres!$A$1:$I$89,5,0)</f>
        <v>354.74400000000031</v>
      </c>
      <c r="AK75" s="13">
        <f t="shared" si="89"/>
        <v>82.538583377590484</v>
      </c>
      <c r="AL75" s="20">
        <f t="shared" si="58"/>
        <v>761.60049938263728</v>
      </c>
      <c r="AM75" s="59">
        <f t="shared" si="59"/>
        <v>1054.9338327159705</v>
      </c>
      <c r="AN75" s="59">
        <f ca="1">AVERAGE(OFFSET($AM$3,0,0,'Données projet'!$E$10+1,1))-AVERAGE(OFFSET($H$3,0,0,'Données projet'!$E$10+1,1))</f>
        <v>379.12827535040157</v>
      </c>
      <c r="AO75" s="59">
        <f t="shared" si="90"/>
        <v>317.29813413796956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115.61094337978524</v>
      </c>
      <c r="AV75" s="21">
        <f>EXP(-LN(2)/25)*AV74+(1-EXP(-LN(2)/25))/(LN(2)/25)*Calculateur!AQ75*Calculateur!AS75*VLOOKUP('Données projet'!$B$10,Paramètres!$A$1:$I$89,3,0)*0.475*44/12</f>
        <v>13.89826667050173</v>
      </c>
      <c r="AW75" s="21">
        <f>EXP(-LN(2)/2)*AW74+(1-EXP(-LN(2)/2))/(LN(2)/2)*AQ75*AT75*VLOOKUP('Données projet'!$B$10,Paramètres!$A$1:$I$89,3,0)*0.475*44/12</f>
        <v>2.0529333645555434E-7</v>
      </c>
      <c r="AX75" s="21">
        <f t="shared" si="60"/>
        <v>129.50921025558031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243.94967999999997</v>
      </c>
      <c r="BF75" s="13">
        <f t="shared" si="91"/>
        <v>59.288514386933123</v>
      </c>
      <c r="BG75" s="20">
        <f t="shared" si="61"/>
        <v>528.13985522390851</v>
      </c>
      <c r="BH75" s="59">
        <f t="shared" si="62"/>
        <v>821.47318855724188</v>
      </c>
      <c r="BI75" s="59">
        <f ca="1">AVERAGE(OFFSET($BH$3,0,0,'Données projet'!$E$11+1,1))-AVERAGE(OFFSET($H$3,0,0,'Données projet'!$E$11+1,1))</f>
        <v>319.97102066931524</v>
      </c>
      <c r="BJ75" s="59">
        <f t="shared" si="92"/>
        <v>190.48958701476397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58.200520037963209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58.200520037963209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152.40696942350093</v>
      </c>
      <c r="T76" s="59">
        <f t="shared" si="88"/>
        <v>368.99390365472789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</v>
      </c>
      <c r="AI76" s="13">
        <f>IF('Données projet'!$A$62&gt;35,AI75+AH76-AQ75,IF(A76&lt;'Données projet'!$A$62,$AF$205^A76,IF(A76='Données projet'!$A$62,'Données projet'!$B$62,AI75+AH76-AQ75)))</f>
        <v>775.00000000000057</v>
      </c>
      <c r="AJ76" s="13">
        <f>AI76*VLOOKUP('Données projet'!$B$10,Paramètres!$A$1:$I$89,3,0)*VLOOKUP('Données projet'!$B$10,Paramètres!$A$1:$I$89,5,0)</f>
        <v>362.70000000000022</v>
      </c>
      <c r="AK76" s="13">
        <f t="shared" si="89"/>
        <v>84.172123743406843</v>
      </c>
      <c r="AL76" s="20">
        <f t="shared" si="58"/>
        <v>778.3022821864339</v>
      </c>
      <c r="AM76" s="59">
        <f t="shared" si="59"/>
        <v>1071.6356155197673</v>
      </c>
      <c r="AN76" s="59">
        <f ca="1">AVERAGE(OFFSET($AM$3,0,0,'Données projet'!$E$10+1,1))-AVERAGE(OFFSET($H$3,0,0,'Données projet'!$E$10+1,1))</f>
        <v>379.12827535040157</v>
      </c>
      <c r="AO76" s="59">
        <f t="shared" si="90"/>
        <v>317.29813413796956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113.34388329582026</v>
      </c>
      <c r="AV76" s="21">
        <f>EXP(-LN(2)/25)*AV75+(1-EXP(-LN(2)/25))/(LN(2)/25)*Calculateur!AQ76*Calculateur!AS76*VLOOKUP('Données projet'!$B$10,Paramètres!$A$1:$I$89,3,0)*0.475*44/12</f>
        <v>13.518217837518781</v>
      </c>
      <c r="AW76" s="21">
        <f>EXP(-LN(2)/2)*AW75+(1-EXP(-LN(2)/2))/(LN(2)/2)*AQ76*AT76*VLOOKUP('Données projet'!$B$10,Paramètres!$A$1:$I$89,3,0)*0.475*44/12</f>
        <v>1.4516431034013394E-7</v>
      </c>
      <c r="AX76" s="21">
        <f t="shared" si="60"/>
        <v>126.86210127850335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250.42991999999992</v>
      </c>
      <c r="BF76" s="13">
        <f t="shared" si="91"/>
        <v>60.677992541710218</v>
      </c>
      <c r="BG76" s="20">
        <f t="shared" si="61"/>
        <v>541.84628101014516</v>
      </c>
      <c r="BH76" s="59">
        <f t="shared" si="62"/>
        <v>835.17961434347853</v>
      </c>
      <c r="BI76" s="59">
        <f ca="1">AVERAGE(OFFSET($BH$3,0,0,'Données projet'!$E$11+1,1))-AVERAGE(OFFSET($H$3,0,0,'Données projet'!$E$11+1,1))</f>
        <v>319.97102066931524</v>
      </c>
      <c r="BJ76" s="59">
        <f t="shared" si="92"/>
        <v>190.48958701476397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57.059243338830754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57.059243338830754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152.40696942350093</v>
      </c>
      <c r="T77" s="59">
        <f t="shared" si="88"/>
        <v>368.99390365472789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</v>
      </c>
      <c r="AI77" s="13">
        <f>IF('Données projet'!$A$62&gt;35,AI76+AH77-AQ76,IF(A77&lt;'Données projet'!$A$62,$AF$205^A77,IF(A77='Données projet'!$A$62,'Données projet'!$B$62,AI76+AH77-AQ76)))</f>
        <v>792.00000000000057</v>
      </c>
      <c r="AJ77" s="13">
        <f>AI77*VLOOKUP('Données projet'!$B$10,Paramètres!$A$1:$I$89,3,0)*VLOOKUP('Données projet'!$B$10,Paramètres!$A$1:$I$89,5,0)</f>
        <v>370.65600000000023</v>
      </c>
      <c r="AK77" s="13">
        <f t="shared" si="89"/>
        <v>85.801498173531627</v>
      </c>
      <c r="AL77" s="20">
        <f t="shared" si="58"/>
        <v>794.99680931890123</v>
      </c>
      <c r="AM77" s="59">
        <f t="shared" si="59"/>
        <v>1088.3301426522346</v>
      </c>
      <c r="AN77" s="59">
        <f ca="1">AVERAGE(OFFSET($AM$3,0,0,'Données projet'!$E$10+1,1))-AVERAGE(OFFSET($H$3,0,0,'Données projet'!$E$10+1,1))</f>
        <v>379.12827535040157</v>
      </c>
      <c r="AO77" s="59">
        <f t="shared" si="90"/>
        <v>317.29813413796956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111.12127887733173</v>
      </c>
      <c r="AV77" s="21">
        <f>EXP(-LN(2)/25)*AV76+(1-EXP(-LN(2)/25))/(LN(2)/25)*Calculateur!AQ77*Calculateur!AS77*VLOOKUP('Données projet'!$B$10,Paramètres!$A$1:$I$89,3,0)*0.475*44/12</f>
        <v>13.14856145985965</v>
      </c>
      <c r="AW77" s="21">
        <f>EXP(-LN(2)/2)*AW76+(1-EXP(-LN(2)/2))/(LN(2)/2)*AQ77*AT77*VLOOKUP('Données projet'!$B$10,Paramètres!$A$1:$I$89,3,0)*0.475*44/12</f>
        <v>1.0264666822777717E-7</v>
      </c>
      <c r="AX77" s="21">
        <f t="shared" si="60"/>
        <v>124.26984043983805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256.91015999999991</v>
      </c>
      <c r="BF77" s="13">
        <f t="shared" si="91"/>
        <v>62.063291364093232</v>
      </c>
      <c r="BG77" s="20">
        <f t="shared" si="61"/>
        <v>555.54542779246219</v>
      </c>
      <c r="BH77" s="59">
        <f t="shared" si="62"/>
        <v>848.87876112579556</v>
      </c>
      <c r="BI77" s="59">
        <f ca="1">AVERAGE(OFFSET($BH$3,0,0,'Données projet'!$E$11+1,1))-AVERAGE(OFFSET($H$3,0,0,'Données projet'!$E$11+1,1))</f>
        <v>319.97102066931524</v>
      </c>
      <c r="BJ77" s="59">
        <f t="shared" si="92"/>
        <v>190.48958701476397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55.940346379658237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55.940346379658237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152.40696942350093</v>
      </c>
      <c r="T78" s="59">
        <f t="shared" si="88"/>
        <v>368.99390365472789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809</v>
      </c>
      <c r="AG78" s="12">
        <f>VLOOKUP(A78,'Données projet'!$A$61:$I$81,9,0)</f>
        <v>17</v>
      </c>
      <c r="AH78" s="12">
        <f t="array" ref="AH78">INDEX(AG:AG,MIN(IF(ISNUMBER(AG78:AG274),ROW(AG78:AG274),"")))</f>
        <v>17</v>
      </c>
      <c r="AI78" s="13">
        <f>IF('Données projet'!$A$62&gt;35,AI77+AH78-AQ77,IF(A78&lt;'Données projet'!$A$62,$AF$205^A78,IF(A78='Données projet'!$A$62,'Données projet'!$B$62,AI77+AH78-AQ77)))</f>
        <v>809.00000000000057</v>
      </c>
      <c r="AJ78" s="13">
        <f>AI78*VLOOKUP('Données projet'!$B$10,Paramètres!$A$1:$I$89,3,0)*VLOOKUP('Données projet'!$B$10,Paramètres!$A$1:$I$89,5,0)</f>
        <v>378.61200000000025</v>
      </c>
      <c r="AK78" s="13">
        <f t="shared" si="89"/>
        <v>87.426806387687449</v>
      </c>
      <c r="AL78" s="20">
        <f t="shared" si="58"/>
        <v>811.6842544585561</v>
      </c>
      <c r="AM78" s="59">
        <f t="shared" si="59"/>
        <v>1105.0175877918894</v>
      </c>
      <c r="AN78" s="59">
        <f ca="1">AVERAGE(OFFSET($AM$3,0,0,'Données projet'!$E$10+1,1))-AVERAGE(OFFSET($H$3,0,0,'Données projet'!$E$10+1,1))</f>
        <v>379.12827535040157</v>
      </c>
      <c r="AO78" s="59">
        <f t="shared" si="90"/>
        <v>317.29813413796956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47</v>
      </c>
      <c r="AR78" s="16">
        <f>IF(ISNA(VLOOKUP(A78,'Données projet'!$A$61:$I$81,5,0)),0%,VLOOKUP(A78,'Données projet'!$A$61:$I$81,5,0)*VLOOKUP('Données projet'!$B$10,Paramètres!$A$1:$I$89,7,0))</f>
        <v>0.55000000000000004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124.9907698448514</v>
      </c>
      <c r="AV78" s="21">
        <f>EXP(-LN(2)/25)*AV77+(1-EXP(-LN(2)/25))/(LN(2)/25)*Calculateur!AQ78*Calculateur!AS78*VLOOKUP('Données projet'!$B$10,Paramètres!$A$1:$I$89,3,0)*0.475*44/12</f>
        <v>12.789013355286992</v>
      </c>
      <c r="AW78" s="21">
        <f>EXP(-LN(2)/2)*AW77+(1-EXP(-LN(2)/2))/(LN(2)/2)*AQ78*AT78*VLOOKUP('Données projet'!$B$10,Paramètres!$A$1:$I$89,3,0)*0.475*44/12</f>
        <v>7.2582155170066972E-8</v>
      </c>
      <c r="AX78" s="21">
        <f t="shared" si="60"/>
        <v>137.77978327272055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263.39039999999994</v>
      </c>
      <c r="BF78" s="13">
        <f t="shared" si="91"/>
        <v>63.444528395882578</v>
      </c>
      <c r="BG78" s="20">
        <f t="shared" si="61"/>
        <v>569.2375002894953</v>
      </c>
      <c r="BH78" s="59">
        <f t="shared" si="62"/>
        <v>862.57083362282856</v>
      </c>
      <c r="BI78" s="59">
        <f ca="1">AVERAGE(OFFSET($BH$3,0,0,'Données projet'!$E$11+1,1))-AVERAGE(OFFSET($H$3,0,0,'Données projet'!$E$11+1,1))</f>
        <v>319.97102066931524</v>
      </c>
      <c r="BJ78" s="59">
        <f t="shared" si="92"/>
        <v>190.48958701476397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65.276992202806525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65.276992202806525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152.40696942350093</v>
      </c>
      <c r="T79" s="59">
        <f t="shared" si="88"/>
        <v>368.99390365472789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15.6</v>
      </c>
      <c r="AI79" s="13">
        <f>IF('Données projet'!$A$62&gt;35,AI78+AH79-AQ78,IF(A79&lt;'Données projet'!$A$62,$AF$205^A79,IF(A79='Données projet'!$A$62,'Données projet'!$B$62,AI78+AH79-AQ78)))</f>
        <v>777.60000000000059</v>
      </c>
      <c r="AJ79" s="13">
        <f>AI79*VLOOKUP('Données projet'!$B$10,Paramètres!$A$1:$I$89,3,0)*VLOOKUP('Données projet'!$B$10,Paramètres!$A$1:$I$89,5,0)</f>
        <v>363.91680000000031</v>
      </c>
      <c r="AK79" s="13">
        <f t="shared" si="89"/>
        <v>84.421589499194738</v>
      </c>
      <c r="AL79" s="20">
        <f t="shared" si="58"/>
        <v>780.85602837776469</v>
      </c>
      <c r="AM79" s="59">
        <f t="shared" si="59"/>
        <v>1074.1893617110979</v>
      </c>
      <c r="AN79" s="59">
        <f ca="1">AVERAGE(OFFSET($AM$3,0,0,'Données projet'!$E$10+1,1))-AVERAGE(OFFSET($H$3,0,0,'Données projet'!$E$10+1,1))</f>
        <v>379.12827535040157</v>
      </c>
      <c r="AO79" s="59">
        <f t="shared" si="90"/>
        <v>317.29813413796956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122.53977708503571</v>
      </c>
      <c r="AV79" s="21">
        <f>EXP(-LN(2)/25)*AV78+(1-EXP(-LN(2)/25))/(LN(2)/25)*Calculateur!AQ79*Calculateur!AS79*VLOOKUP('Données projet'!$B$10,Paramètres!$A$1:$I$89,3,0)*0.475*44/12</f>
        <v>12.439297112541686</v>
      </c>
      <c r="AW79" s="21">
        <f>EXP(-LN(2)/2)*AW78+(1-EXP(-LN(2)/2))/(LN(2)/2)*AQ79*AT79*VLOOKUP('Données projet'!$B$10,Paramètres!$A$1:$I$89,3,0)*0.475*44/12</f>
        <v>5.1323334113888586E-8</v>
      </c>
      <c r="AX79" s="21">
        <f t="shared" si="60"/>
        <v>134.97907424890073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247.71239999999992</v>
      </c>
      <c r="BF79" s="13">
        <f t="shared" si="91"/>
        <v>60.095823975624157</v>
      </c>
      <c r="BG79" s="20">
        <f t="shared" si="61"/>
        <v>536.09932342421178</v>
      </c>
      <c r="BH79" s="59">
        <f t="shared" si="62"/>
        <v>829.43265675754515</v>
      </c>
      <c r="BI79" s="59">
        <f ca="1">AVERAGE(OFFSET($BH$3,0,0,'Données projet'!$E$11+1,1))-AVERAGE(OFFSET($H$3,0,0,'Données projet'!$E$11+1,1))</f>
        <v>319.97102066931524</v>
      </c>
      <c r="BJ79" s="59">
        <f t="shared" si="92"/>
        <v>190.48958701476397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63.996950200743328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63.996950200743328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152.40696942350093</v>
      </c>
      <c r="T80" s="59">
        <f t="shared" si="88"/>
        <v>368.99390365472789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15.6</v>
      </c>
      <c r="AI80" s="13">
        <f>IF('Données projet'!$A$62&gt;35,AI79+AH80-AQ79,IF(A80&lt;'Données projet'!$A$62,$AF$205^A80,IF(A80='Données projet'!$A$62,'Données projet'!$B$62,AI79+AH80-AQ79)))</f>
        <v>793.20000000000061</v>
      </c>
      <c r="AJ80" s="13">
        <f>AI80*VLOOKUP('Données projet'!$B$10,Paramètres!$A$1:$I$89,3,0)*VLOOKUP('Données projet'!$B$10,Paramètres!$A$1:$I$89,5,0)</f>
        <v>371.21760000000029</v>
      </c>
      <c r="AK80" s="13">
        <f t="shared" si="89"/>
        <v>85.916358055529045</v>
      </c>
      <c r="AL80" s="20">
        <f t="shared" si="58"/>
        <v>796.17497694671363</v>
      </c>
      <c r="AM80" s="59">
        <f t="shared" si="59"/>
        <v>1089.508310280047</v>
      </c>
      <c r="AN80" s="59">
        <f ca="1">AVERAGE(OFFSET($AM$3,0,0,'Données projet'!$E$10+1,1))-AVERAGE(OFFSET($H$3,0,0,'Données projet'!$E$10+1,1))</f>
        <v>379.12827535040157</v>
      </c>
      <c r="AO80" s="59">
        <f t="shared" si="90"/>
        <v>317.29813413796956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120.13684679828204</v>
      </c>
      <c r="AV80" s="21">
        <f>EXP(-LN(2)/25)*AV79+(1-EXP(-LN(2)/25))/(LN(2)/25)*Calculateur!AQ80*Calculateur!AS80*VLOOKUP('Données projet'!$B$10,Paramètres!$A$1:$I$89,3,0)*0.475*44/12</f>
        <v>12.099143878845029</v>
      </c>
      <c r="AW80" s="21">
        <f>EXP(-LN(2)/2)*AW79+(1-EXP(-LN(2)/2))/(LN(2)/2)*AQ80*AT80*VLOOKUP('Données projet'!$B$10,Paramètres!$A$1:$I$89,3,0)*0.475*44/12</f>
        <v>3.6291077585033486E-8</v>
      </c>
      <c r="AX80" s="21">
        <f t="shared" si="60"/>
        <v>132.23599071341815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253.98359999999991</v>
      </c>
      <c r="BF80" s="13">
        <f t="shared" si="91"/>
        <v>61.438182405444294</v>
      </c>
      <c r="BG80" s="20">
        <f t="shared" si="61"/>
        <v>549.35960435614868</v>
      </c>
      <c r="BH80" s="59">
        <f t="shared" si="62"/>
        <v>842.69293768948205</v>
      </c>
      <c r="BI80" s="59">
        <f ca="1">AVERAGE(OFFSET($BH$3,0,0,'Données projet'!$E$11+1,1))-AVERAGE(OFFSET($H$3,0,0,'Données projet'!$E$11+1,1))</f>
        <v>319.97102066931524</v>
      </c>
      <c r="BJ80" s="59">
        <f t="shared" si="92"/>
        <v>190.48958701476397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62.742009041592055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62.742009041592055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152.40696942350093</v>
      </c>
      <c r="T81" s="59">
        <f t="shared" si="88"/>
        <v>368.99390365472789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15.6</v>
      </c>
      <c r="AI81" s="13">
        <f>IF('Données projet'!$A$62&gt;35,AI80+AH81-AQ80,IF(A81&lt;'Données projet'!$A$62,$AF$205^A81,IF(A81='Données projet'!$A$62,'Données projet'!$B$62,AI80+AH81-AQ80)))</f>
        <v>808.80000000000064</v>
      </c>
      <c r="AJ81" s="13">
        <f>AI81*VLOOKUP('Données projet'!$B$10,Paramètres!$A$1:$I$89,3,0)*VLOOKUP('Données projet'!$B$10,Paramètres!$A$1:$I$89,5,0)</f>
        <v>378.51840000000033</v>
      </c>
      <c r="AK81" s="13">
        <f t="shared" si="89"/>
        <v>87.407708380835928</v>
      </c>
      <c r="AL81" s="20">
        <f t="shared" si="58"/>
        <v>811.48797209662314</v>
      </c>
      <c r="AM81" s="59">
        <f t="shared" si="59"/>
        <v>1104.8213054299565</v>
      </c>
      <c r="AN81" s="59">
        <f ca="1">AVERAGE(OFFSET($AM$3,0,0,'Données projet'!$E$10+1,1))-AVERAGE(OFFSET($H$3,0,0,'Données projet'!$E$10+1,1))</f>
        <v>379.12827535040157</v>
      </c>
      <c r="AO81" s="59">
        <f t="shared" si="90"/>
        <v>317.29813413796956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117.78103650880884</v>
      </c>
      <c r="AV81" s="21">
        <f>EXP(-LN(2)/25)*AV80+(1-EXP(-LN(2)/25))/(LN(2)/25)*Calculateur!AQ81*Calculateur!AS81*VLOOKUP('Données projet'!$B$10,Paramètres!$A$1:$I$89,3,0)*0.475*44/12</f>
        <v>11.768292153211688</v>
      </c>
      <c r="AW81" s="21">
        <f>EXP(-LN(2)/2)*AW80+(1-EXP(-LN(2)/2))/(LN(2)/2)*AQ81*AT81*VLOOKUP('Données projet'!$B$10,Paramètres!$A$1:$I$89,3,0)*0.475*44/12</f>
        <v>2.5661667056944293E-8</v>
      </c>
      <c r="AX81" s="21">
        <f t="shared" si="60"/>
        <v>129.54932868768219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260.25479999999988</v>
      </c>
      <c r="BF81" s="13">
        <f t="shared" si="91"/>
        <v>62.776687922790764</v>
      </c>
      <c r="BG81" s="20">
        <f t="shared" si="61"/>
        <v>562.61317479886031</v>
      </c>
      <c r="BH81" s="59">
        <f t="shared" si="62"/>
        <v>855.94650813219369</v>
      </c>
      <c r="BI81" s="59">
        <f ca="1">AVERAGE(OFFSET($BH$3,0,0,'Données projet'!$E$11+1,1))-AVERAGE(OFFSET($H$3,0,0,'Données projet'!$E$11+1,1))</f>
        <v>319.97102066931524</v>
      </c>
      <c r="BJ81" s="59">
        <f t="shared" si="92"/>
        <v>190.48958701476397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61.511676513133217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61.511676513133217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152.40696942350093</v>
      </c>
      <c r="T82" s="59">
        <f t="shared" si="88"/>
        <v>368.99390365472789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15.6</v>
      </c>
      <c r="AI82" s="13">
        <f>IF('Données projet'!$A$62&gt;35,AI81+AH82-AQ81,IF(A82&lt;'Données projet'!$A$62,$AF$205^A82,IF(A82='Données projet'!$A$62,'Données projet'!$B$62,AI81+AH82-AQ81)))</f>
        <v>824.40000000000066</v>
      </c>
      <c r="AJ82" s="13">
        <f>AI82*VLOOKUP('Données projet'!$B$10,Paramètres!$A$1:$I$89,3,0)*VLOOKUP('Données projet'!$B$10,Paramètres!$A$1:$I$89,5,0)</f>
        <v>385.81920000000031</v>
      </c>
      <c r="AK82" s="13">
        <f t="shared" si="89"/>
        <v>88.895714006306306</v>
      </c>
      <c r="AL82" s="20">
        <f t="shared" si="58"/>
        <v>826.79514189431723</v>
      </c>
      <c r="AM82" s="59">
        <f t="shared" si="59"/>
        <v>1120.1284752276506</v>
      </c>
      <c r="AN82" s="59">
        <f ca="1">AVERAGE(OFFSET($AM$3,0,0,'Données projet'!$E$10+1,1))-AVERAGE(OFFSET($H$3,0,0,'Données projet'!$E$10+1,1))</f>
        <v>379.12827535040157</v>
      </c>
      <c r="AO82" s="59">
        <f t="shared" si="90"/>
        <v>317.29813413796956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115.47142222220982</v>
      </c>
      <c r="AV82" s="21">
        <f>EXP(-LN(2)/25)*AV81+(1-EXP(-LN(2)/25))/(LN(2)/25)*Calculateur!AQ82*Calculateur!AS82*VLOOKUP('Données projet'!$B$10,Paramètres!$A$1:$I$89,3,0)*0.475*44/12</f>
        <v>11.446487585414527</v>
      </c>
      <c r="AW82" s="21">
        <f>EXP(-LN(2)/2)*AW81+(1-EXP(-LN(2)/2))/(LN(2)/2)*AQ82*AT82*VLOOKUP('Données projet'!$B$10,Paramètres!$A$1:$I$89,3,0)*0.475*44/12</f>
        <v>1.8145538792516743E-8</v>
      </c>
      <c r="AX82" s="21">
        <f t="shared" si="60"/>
        <v>126.9179098257699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266.5259999999999</v>
      </c>
      <c r="BF82" s="13">
        <f t="shared" si="91"/>
        <v>64.111444050688306</v>
      </c>
      <c r="BG82" s="20">
        <f t="shared" si="61"/>
        <v>575.86021505494853</v>
      </c>
      <c r="BH82" s="59">
        <f t="shared" si="62"/>
        <v>869.1935483882819</v>
      </c>
      <c r="BI82" s="59">
        <f ca="1">AVERAGE(OFFSET($BH$3,0,0,'Données projet'!$E$11+1,1))-AVERAGE(OFFSET($H$3,0,0,'Données projet'!$E$11+1,1))</f>
        <v>319.97102066931524</v>
      </c>
      <c r="BJ82" s="59">
        <f t="shared" si="92"/>
        <v>190.48958701476397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60.305470055128708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60.305470055128708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152.40696942350093</v>
      </c>
      <c r="T83" s="59">
        <f t="shared" si="88"/>
        <v>368.99390365472789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840</v>
      </c>
      <c r="AG83" s="12">
        <f>VLOOKUP(A83,'Données projet'!$A$61:$I$81,9,0)</f>
        <v>15.6</v>
      </c>
      <c r="AH83" s="12">
        <f t="array" ref="AH83">INDEX(AG:AG,MIN(IF(ISNUMBER(AG83:AG279),ROW(AG83:AG279),"")))</f>
        <v>15.6</v>
      </c>
      <c r="AI83" s="13">
        <f>IF('Données projet'!$A$62&gt;35,AI82+AH83-AQ82,IF(A83&lt;'Données projet'!$A$62,$AF$205^A83,IF(A83='Données projet'!$A$62,'Données projet'!$B$62,AI82+AH83-AQ82)))</f>
        <v>840.00000000000068</v>
      </c>
      <c r="AJ83" s="13">
        <f>AI83*VLOOKUP('Données projet'!$B$10,Paramètres!$A$1:$I$89,3,0)*VLOOKUP('Données projet'!$B$10,Paramètres!$A$1:$I$89,5,0)</f>
        <v>393.12000000000035</v>
      </c>
      <c r="AK83" s="13">
        <f t="shared" si="89"/>
        <v>90.380445521045004</v>
      </c>
      <c r="AL83" s="20">
        <f t="shared" si="58"/>
        <v>842.09660928248729</v>
      </c>
      <c r="AM83" s="59">
        <f t="shared" si="59"/>
        <v>1135.4299426158207</v>
      </c>
      <c r="AN83" s="59">
        <f ca="1">AVERAGE(OFFSET($AM$3,0,0,'Données projet'!$E$10+1,1))-AVERAGE(OFFSET($H$3,0,0,'Données projet'!$E$10+1,1))</f>
        <v>379.12827535040157</v>
      </c>
      <c r="AO83" s="59">
        <f t="shared" si="90"/>
        <v>317.29813413796956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45</v>
      </c>
      <c r="AR83" s="16">
        <f>IF(ISNA(VLOOKUP(A83,'Données projet'!$A$61:$I$81,5,0)),0%,VLOOKUP(A83,'Données projet'!$A$61:$I$81,5,0)*VLOOKUP('Données projet'!$B$10,Paramètres!$A$1:$I$89,7,0))</f>
        <v>0.55000000000000004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128.57269415040159</v>
      </c>
      <c r="AV83" s="21">
        <f>EXP(-LN(2)/25)*AV82+(1-EXP(-LN(2)/25))/(LN(2)/25)*Calculateur!AQ83*Calculateur!AS83*VLOOKUP('Données projet'!$B$10,Paramètres!$A$1:$I$89,3,0)*0.475*44/12</f>
        <v>11.133482780446746</v>
      </c>
      <c r="AW83" s="21">
        <f>EXP(-LN(2)/2)*AW82+(1-EXP(-LN(2)/2))/(LN(2)/2)*AQ83*AT83*VLOOKUP('Données projet'!$B$10,Paramètres!$A$1:$I$89,3,0)*0.475*44/12</f>
        <v>1.2830833528472146E-8</v>
      </c>
      <c r="AX83" s="21">
        <f t="shared" si="60"/>
        <v>139.70617694367917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272.79719999999992</v>
      </c>
      <c r="BF83" s="13">
        <f t="shared" si="91"/>
        <v>65.442549162581557</v>
      </c>
      <c r="BG83" s="20">
        <f t="shared" si="61"/>
        <v>589.10089645816265</v>
      </c>
      <c r="BH83" s="59">
        <f t="shared" si="62"/>
        <v>882.43422979149591</v>
      </c>
      <c r="BI83" s="59">
        <f ca="1">AVERAGE(OFFSET($BH$3,0,0,'Données projet'!$E$11+1,1))-AVERAGE(OFFSET($H$3,0,0,'Données projet'!$E$11+1,1))</f>
        <v>319.97102066931524</v>
      </c>
      <c r="BJ83" s="59">
        <f t="shared" si="92"/>
        <v>190.48958701476397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69.556518465463569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69.556518465463569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152.40696942350093</v>
      </c>
      <c r="T84" s="59">
        <f t="shared" si="88"/>
        <v>368.99390365472789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795.00000000000068</v>
      </c>
      <c r="AJ84" s="13">
        <f>AI84*VLOOKUP('Données projet'!$B$10,Paramètres!$A$1:$I$89,3,0)*VLOOKUP('Données projet'!$B$10,Paramètres!$A$1:$I$89,5,0)</f>
        <v>372.06000000000029</v>
      </c>
      <c r="AK84" s="13">
        <f t="shared" si="89"/>
        <v>86.088609967897526</v>
      </c>
      <c r="AL84" s="20">
        <f t="shared" si="58"/>
        <v>797.94216236075533</v>
      </c>
      <c r="AM84" s="59">
        <f t="shared" si="59"/>
        <v>1091.2754956940887</v>
      </c>
      <c r="AN84" s="59">
        <f ca="1">AVERAGE(OFFSET($AM$3,0,0,'Données projet'!$E$10+1,1))-AVERAGE(OFFSET($H$3,0,0,'Données projet'!$E$10+1,1))</f>
        <v>379.12827535040157</v>
      </c>
      <c r="AO84" s="59">
        <f t="shared" si="90"/>
        <v>317.29813413796956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126.05146203971215</v>
      </c>
      <c r="AV84" s="21">
        <f>EXP(-LN(2)/25)*AV83+(1-EXP(-LN(2)/25))/(LN(2)/25)*Calculateur!AQ84*Calculateur!AS84*VLOOKUP('Données projet'!$B$10,Paramètres!$A$1:$I$89,3,0)*0.475*44/12</f>
        <v>10.829037108331017</v>
      </c>
      <c r="AW84" s="21">
        <f>EXP(-LN(2)/2)*AW83+(1-EXP(-LN(2)/2))/(LN(2)/2)*AQ84*AT84*VLOOKUP('Données projet'!$B$10,Paramètres!$A$1:$I$89,3,0)*0.475*44/12</f>
        <v>9.0727693962583714E-9</v>
      </c>
      <c r="AX84" s="21">
        <f t="shared" si="60"/>
        <v>136.88049915711593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</v>
      </c>
      <c r="BE84" s="13">
        <f>BD84*VLOOKUP('Données projet'!$B$11,Paramètres!$A$1:$I$89,3,0)*VLOOKUP('Données projet'!$B$11,Paramètres!$A$1:$I$89,5,0)</f>
        <v>256.91015999999991</v>
      </c>
      <c r="BF84" s="13">
        <f t="shared" si="91"/>
        <v>62.063291364093232</v>
      </c>
      <c r="BG84" s="20">
        <f t="shared" si="61"/>
        <v>555.54542779246219</v>
      </c>
      <c r="BH84" s="59">
        <f t="shared" si="62"/>
        <v>848.87876112579556</v>
      </c>
      <c r="BI84" s="59">
        <f ca="1">AVERAGE(OFFSET($BH$3,0,0,'Données projet'!$E$11+1,1))-AVERAGE(OFFSET($H$3,0,0,'Données projet'!$E$11+1,1))</f>
        <v>319.97102066931524</v>
      </c>
      <c r="BJ84" s="59">
        <f t="shared" si="92"/>
        <v>190.48958701476397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68.192557563642936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68.192557563642936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152.40696942350093</v>
      </c>
      <c r="T85" s="59">
        <f t="shared" si="88"/>
        <v>368.99390365472789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795.00000000000068</v>
      </c>
      <c r="AJ85" s="13">
        <f>AI85*VLOOKUP('Données projet'!$B$10,Paramètres!$A$1:$I$89,3,0)*VLOOKUP('Données projet'!$B$10,Paramètres!$A$1:$I$89,5,0)</f>
        <v>372.06000000000029</v>
      </c>
      <c r="AK85" s="13">
        <f t="shared" si="89"/>
        <v>86.088609967897526</v>
      </c>
      <c r="AL85" s="20">
        <f t="shared" si="58"/>
        <v>797.94216236075533</v>
      </c>
      <c r="AM85" s="59">
        <f t="shared" si="59"/>
        <v>1091.2754956940887</v>
      </c>
      <c r="AN85" s="59">
        <f ca="1">AVERAGE(OFFSET($AM$3,0,0,'Données projet'!$E$10+1,1))-AVERAGE(OFFSET($H$3,0,0,'Données projet'!$E$10+1,1))</f>
        <v>379.12827535040157</v>
      </c>
      <c r="AO85" s="59">
        <f t="shared" si="90"/>
        <v>317.29813413796956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123.57966975291359</v>
      </c>
      <c r="AV85" s="21">
        <f>EXP(-LN(2)/25)*AV84+(1-EXP(-LN(2)/25))/(LN(2)/25)*Calculateur!AQ85*Calculateur!AS85*VLOOKUP('Données projet'!$B$10,Paramètres!$A$1:$I$89,3,0)*0.475*44/12</f>
        <v>10.532916519129394</v>
      </c>
      <c r="AW85" s="21">
        <f>EXP(-LN(2)/2)*AW84+(1-EXP(-LN(2)/2))/(LN(2)/2)*AQ85*AT85*VLOOKUP('Données projet'!$B$10,Paramètres!$A$1:$I$89,3,0)*0.475*44/12</f>
        <v>6.4154167642360732E-9</v>
      </c>
      <c r="AX85" s="21">
        <f t="shared" si="60"/>
        <v>134.11258627845839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251.59999999999991</v>
      </c>
      <c r="BE85" s="13">
        <f>BD85*VLOOKUP('Données projet'!$B$11,Paramètres!$A$1:$I$89,3,0)*VLOOKUP('Données projet'!$B$11,Paramètres!$A$1:$I$89,5,0)</f>
        <v>262.97231999999991</v>
      </c>
      <c r="BF85" s="13">
        <f t="shared" si="91"/>
        <v>63.355536701930014</v>
      </c>
      <c r="BG85" s="20">
        <f t="shared" si="61"/>
        <v>568.354350422528</v>
      </c>
      <c r="BH85" s="59">
        <f t="shared" si="62"/>
        <v>861.68768375586137</v>
      </c>
      <c r="BI85" s="59">
        <f ca="1">AVERAGE(OFFSET($BH$3,0,0,'Données projet'!$E$11+1,1))-AVERAGE(OFFSET($H$3,0,0,'Données projet'!$E$11+1,1))</f>
        <v>319.97102066931524</v>
      </c>
      <c r="BJ85" s="59">
        <f t="shared" si="92"/>
        <v>190.48958701476397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66.855343103173013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66.855343103173013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152.40696942350093</v>
      </c>
      <c r="T86" s="59">
        <f t="shared" si="88"/>
        <v>368.99390365472789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795.00000000000068</v>
      </c>
      <c r="AJ86" s="13">
        <f>AI86*VLOOKUP('Données projet'!$B$10,Paramètres!$A$1:$I$89,3,0)*VLOOKUP('Données projet'!$B$10,Paramètres!$A$1:$I$89,5,0)</f>
        <v>372.06000000000029</v>
      </c>
      <c r="AK86" s="13">
        <f t="shared" si="89"/>
        <v>86.088609967897526</v>
      </c>
      <c r="AL86" s="20">
        <f t="shared" si="58"/>
        <v>797.94216236075533</v>
      </c>
      <c r="AM86" s="59">
        <f t="shared" si="59"/>
        <v>1091.2754956940887</v>
      </c>
      <c r="AN86" s="59">
        <f ca="1">AVERAGE(OFFSET($AM$3,0,0,'Données projet'!$E$10+1,1))-AVERAGE(OFFSET($H$3,0,0,'Données projet'!$E$10+1,1))</f>
        <v>379.12827535040157</v>
      </c>
      <c r="AO86" s="59">
        <f t="shared" si="90"/>
        <v>317.29813413796956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121.15634780521472</v>
      </c>
      <c r="AV86" s="21">
        <f>EXP(-LN(2)/25)*AV85+(1-EXP(-LN(2)/25))/(LN(2)/25)*Calculateur!AQ86*Calculateur!AS86*VLOOKUP('Données projet'!$B$10,Paramètres!$A$1:$I$89,3,0)*0.475*44/12</f>
        <v>10.244893363011794</v>
      </c>
      <c r="AW86" s="21">
        <f>EXP(-LN(2)/2)*AW85+(1-EXP(-LN(2)/2))/(LN(2)/2)*AQ86*AT86*VLOOKUP('Données projet'!$B$10,Paramètres!$A$1:$I$89,3,0)*0.475*44/12</f>
        <v>4.5363846981291857E-9</v>
      </c>
      <c r="AX86" s="21">
        <f t="shared" si="60"/>
        <v>131.40124117276289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257.39999999999992</v>
      </c>
      <c r="BE86" s="13">
        <f>BD86*VLOOKUP('Données projet'!$B$11,Paramètres!$A$1:$I$89,3,0)*VLOOKUP('Données projet'!$B$11,Paramètres!$A$1:$I$89,5,0)</f>
        <v>269.03447999999997</v>
      </c>
      <c r="BF86" s="13">
        <f t="shared" si="91"/>
        <v>64.644318872841552</v>
      </c>
      <c r="BG86" s="20">
        <f t="shared" si="61"/>
        <v>581.1572413701989</v>
      </c>
      <c r="BH86" s="59">
        <f t="shared" si="62"/>
        <v>874.49057470353227</v>
      </c>
      <c r="BI86" s="59">
        <f ca="1">AVERAGE(OFFSET($BH$3,0,0,'Données projet'!$E$11+1,1))-AVERAGE(OFFSET($H$3,0,0,'Données projet'!$E$11+1,1))</f>
        <v>319.97102066931524</v>
      </c>
      <c r="BJ86" s="59">
        <f t="shared" si="92"/>
        <v>190.48958701476397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65.544350602652614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65.544350602652614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152.40696942350093</v>
      </c>
      <c r="T87" s="59">
        <f t="shared" si="88"/>
        <v>368.99390365472789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795.00000000000068</v>
      </c>
      <c r="AJ87" s="13">
        <f>AI87*VLOOKUP('Données projet'!$B$10,Paramètres!$A$1:$I$89,3,0)*VLOOKUP('Données projet'!$B$10,Paramètres!$A$1:$I$89,5,0)</f>
        <v>372.06000000000029</v>
      </c>
      <c r="AK87" s="13">
        <f t="shared" si="89"/>
        <v>86.088609967897526</v>
      </c>
      <c r="AL87" s="20">
        <f t="shared" si="58"/>
        <v>797.94216236075533</v>
      </c>
      <c r="AM87" s="59">
        <f t="shared" si="59"/>
        <v>1091.2754956940887</v>
      </c>
      <c r="AN87" s="59">
        <f ca="1">AVERAGE(OFFSET($AM$3,0,0,'Données projet'!$E$10+1,1))-AVERAGE(OFFSET($H$3,0,0,'Données projet'!$E$10+1,1))</f>
        <v>379.12827535040157</v>
      </c>
      <c r="AO87" s="59">
        <f t="shared" si="90"/>
        <v>317.29813413796956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118.7805457228298</v>
      </c>
      <c r="AV87" s="21">
        <f>EXP(-LN(2)/25)*AV86+(1-EXP(-LN(2)/25))/(LN(2)/25)*Calculateur!AQ87*Calculateur!AS87*VLOOKUP('Données projet'!$B$10,Paramètres!$A$1:$I$89,3,0)*0.475*44/12</f>
        <v>9.964746215244709</v>
      </c>
      <c r="AW87" s="21">
        <f>EXP(-LN(2)/2)*AW86+(1-EXP(-LN(2)/2))/(LN(2)/2)*AQ87*AT87*VLOOKUP('Données projet'!$B$10,Paramètres!$A$1:$I$89,3,0)*0.475*44/12</f>
        <v>3.2077083821180366E-9</v>
      </c>
      <c r="AX87" s="21">
        <f t="shared" si="60"/>
        <v>128.7452919412822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263.19999999999993</v>
      </c>
      <c r="BE87" s="13">
        <f>BD87*VLOOKUP('Données projet'!$B$11,Paramètres!$A$1:$I$89,3,0)*VLOOKUP('Données projet'!$B$11,Paramètres!$A$1:$I$89,5,0)</f>
        <v>275.09663999999998</v>
      </c>
      <c r="BF87" s="13">
        <f t="shared" si="91"/>
        <v>65.92972489652206</v>
      </c>
      <c r="BG87" s="20">
        <f t="shared" si="61"/>
        <v>593.9542521947759</v>
      </c>
      <c r="BH87" s="59">
        <f t="shared" si="62"/>
        <v>887.28758552810928</v>
      </c>
      <c r="BI87" s="59">
        <f ca="1">AVERAGE(OFFSET($BH$3,0,0,'Données projet'!$E$11+1,1))-AVERAGE(OFFSET($H$3,0,0,'Données projet'!$E$11+1,1))</f>
        <v>319.97102066931524</v>
      </c>
      <c r="BJ87" s="59">
        <f t="shared" si="92"/>
        <v>190.48958701476397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64.259065865440959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64.259065865440959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152.40696942350093</v>
      </c>
      <c r="T88" s="59">
        <f t="shared" si="88"/>
        <v>368.99390365472789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795.00000000000068</v>
      </c>
      <c r="AJ88" s="13">
        <f>AI88*VLOOKUP('Données projet'!$B$10,Paramètres!$A$1:$I$89,3,0)*VLOOKUP('Données projet'!$B$10,Paramètres!$A$1:$I$89,5,0)</f>
        <v>372.06000000000029</v>
      </c>
      <c r="AK88" s="13">
        <f t="shared" si="89"/>
        <v>86.088609967897526</v>
      </c>
      <c r="AL88" s="20">
        <f t="shared" si="58"/>
        <v>797.94216236075533</v>
      </c>
      <c r="AM88" s="59">
        <f t="shared" si="59"/>
        <v>1091.2754956940887</v>
      </c>
      <c r="AN88" s="59">
        <f ca="1">AVERAGE(OFFSET($AM$3,0,0,'Données projet'!$E$10+1,1))-AVERAGE(OFFSET($H$3,0,0,'Données projet'!$E$10+1,1))</f>
        <v>379.12827535040157</v>
      </c>
      <c r="AO88" s="59">
        <f t="shared" si="90"/>
        <v>317.29813413796956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116.45133167018426</v>
      </c>
      <c r="AV88" s="21">
        <f>EXP(-LN(2)/25)*AV87+(1-EXP(-LN(2)/25))/(LN(2)/25)*Calculateur!AQ88*Calculateur!AS88*VLOOKUP('Données projet'!$B$10,Paramètres!$A$1:$I$89,3,0)*0.475*44/12</f>
        <v>9.692259705965613</v>
      </c>
      <c r="AW88" s="21">
        <f>EXP(-LN(2)/2)*AW87+(1-EXP(-LN(2)/2))/(LN(2)/2)*AQ88*AT88*VLOOKUP('Données projet'!$B$10,Paramètres!$A$1:$I$89,3,0)*0.475*44/12</f>
        <v>2.2681923490645929E-9</v>
      </c>
      <c r="AX88" s="21">
        <f t="shared" si="60"/>
        <v>126.14359137841807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268.99999999999994</v>
      </c>
      <c r="BE88" s="13">
        <f>BD88*VLOOKUP('Données projet'!$B$11,Paramètres!$A$1:$I$89,3,0)*VLOOKUP('Données projet'!$B$11,Paramètres!$A$1:$I$89,5,0)</f>
        <v>281.15879999999993</v>
      </c>
      <c r="BF88" s="13">
        <f t="shared" si="91"/>
        <v>67.211837738456268</v>
      </c>
      <c r="BG88" s="20">
        <f t="shared" si="61"/>
        <v>606.74552739447779</v>
      </c>
      <c r="BH88" s="59">
        <f t="shared" si="62"/>
        <v>900.07886072781116</v>
      </c>
      <c r="BI88" s="59">
        <f ca="1">AVERAGE(OFFSET($BH$3,0,0,'Données projet'!$E$11+1,1))-AVERAGE(OFFSET($H$3,0,0,'Données projet'!$E$11+1,1))</f>
        <v>319.97102066931524</v>
      </c>
      <c r="BJ88" s="59">
        <f t="shared" si="92"/>
        <v>190.48958701476397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73.432586673390929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73.432586673390929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152.40696942350093</v>
      </c>
      <c r="T89" s="59">
        <f t="shared" si="88"/>
        <v>368.99390365472789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795.00000000000068</v>
      </c>
      <c r="AJ89" s="13">
        <f>AI89*VLOOKUP('Données projet'!$B$10,Paramètres!$A$1:$I$89,3,0)*VLOOKUP('Données projet'!$B$10,Paramètres!$A$1:$I$89,5,0)</f>
        <v>372.06000000000029</v>
      </c>
      <c r="AK89" s="13">
        <f t="shared" si="89"/>
        <v>86.088609967897526</v>
      </c>
      <c r="AL89" s="20">
        <f t="shared" si="58"/>
        <v>797.94216236075533</v>
      </c>
      <c r="AM89" s="59">
        <f t="shared" si="59"/>
        <v>1091.2754956940887</v>
      </c>
      <c r="AN89" s="59">
        <f ca="1">AVERAGE(OFFSET($AM$3,0,0,'Données projet'!$E$10+1,1))-AVERAGE(OFFSET($H$3,0,0,'Données projet'!$E$10+1,1))</f>
        <v>379.12827535040157</v>
      </c>
      <c r="AO89" s="59">
        <f t="shared" si="90"/>
        <v>317.29813413796956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114.1677920844308</v>
      </c>
      <c r="AV89" s="21">
        <f>EXP(-LN(2)/25)*AV88+(1-EXP(-LN(2)/25))/(LN(2)/25)*Calculateur!AQ89*Calculateur!AS89*VLOOKUP('Données projet'!$B$10,Paramètres!$A$1:$I$89,3,0)*0.475*44/12</f>
        <v>9.4272243546121981</v>
      </c>
      <c r="AW89" s="21">
        <f>EXP(-LN(2)/2)*AW88+(1-EXP(-LN(2)/2))/(LN(2)/2)*AQ89*AT89*VLOOKUP('Données projet'!$B$10,Paramètres!$A$1:$I$89,3,0)*0.475*44/12</f>
        <v>1.6038541910590183E-9</v>
      </c>
      <c r="AX89" s="21">
        <f t="shared" si="60"/>
        <v>123.59501644064684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253.39999999999992</v>
      </c>
      <c r="BE89" s="13">
        <f>BD89*VLOOKUP('Données projet'!$B$11,Paramètres!$A$1:$I$89,3,0)*VLOOKUP('Données projet'!$B$11,Paramètres!$A$1:$I$89,5,0)</f>
        <v>264.85367999999994</v>
      </c>
      <c r="BF89" s="13">
        <f t="shared" si="91"/>
        <v>63.755870044337819</v>
      </c>
      <c r="BG89" s="20">
        <f t="shared" si="61"/>
        <v>572.32829966055499</v>
      </c>
      <c r="BH89" s="59">
        <f t="shared" si="62"/>
        <v>865.66163299388836</v>
      </c>
      <c r="BI89" s="59">
        <f ca="1">AVERAGE(OFFSET($BH$3,0,0,'Données projet'!$E$11+1,1))-AVERAGE(OFFSET($H$3,0,0,'Données projet'!$E$11+1,1))</f>
        <v>319.97102066931524</v>
      </c>
      <c r="BJ89" s="59">
        <f t="shared" si="92"/>
        <v>190.48958701476397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71.992618438181012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71.992618438181012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152.40696942350093</v>
      </c>
      <c r="T90" s="59">
        <f t="shared" si="88"/>
        <v>368.99390365472789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795.00000000000068</v>
      </c>
      <c r="AJ90" s="13">
        <f>AI90*VLOOKUP('Données projet'!$B$10,Paramètres!$A$1:$I$89,3,0)*VLOOKUP('Données projet'!$B$10,Paramètres!$A$1:$I$89,5,0)</f>
        <v>372.06000000000029</v>
      </c>
      <c r="AK90" s="13">
        <f t="shared" si="89"/>
        <v>86.088609967897526</v>
      </c>
      <c r="AL90" s="20">
        <f t="shared" si="58"/>
        <v>797.94216236075533</v>
      </c>
      <c r="AM90" s="59">
        <f t="shared" si="59"/>
        <v>1091.2754956940887</v>
      </c>
      <c r="AN90" s="59">
        <f ca="1">AVERAGE(OFFSET($AM$3,0,0,'Données projet'!$E$10+1,1))-AVERAGE(OFFSET($H$3,0,0,'Données projet'!$E$10+1,1))</f>
        <v>379.12827535040157</v>
      </c>
      <c r="AO90" s="59">
        <f t="shared" si="90"/>
        <v>317.29813413796956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111.92903131713236</v>
      </c>
      <c r="AV90" s="21">
        <f>EXP(-LN(2)/25)*AV89+(1-EXP(-LN(2)/25))/(LN(2)/25)*Calculateur!AQ90*Calculateur!AS90*VLOOKUP('Données projet'!$B$10,Paramètres!$A$1:$I$89,3,0)*0.475*44/12</f>
        <v>9.1694364088791449</v>
      </c>
      <c r="AW90" s="21">
        <f>EXP(-LN(2)/2)*AW89+(1-EXP(-LN(2)/2))/(LN(2)/2)*AQ90*AT90*VLOOKUP('Données projet'!$B$10,Paramètres!$A$1:$I$89,3,0)*0.475*44/12</f>
        <v>1.1340961745322964E-9</v>
      </c>
      <c r="AX90" s="21">
        <f t="shared" si="60"/>
        <v>121.0984677271456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</v>
      </c>
      <c r="BE90" s="13">
        <f>BD90*VLOOKUP('Données projet'!$B$11,Paramètres!$A$1:$I$89,3,0)*VLOOKUP('Données projet'!$B$11,Paramètres!$A$1:$I$89,5,0)</f>
        <v>270.49775999999991</v>
      </c>
      <c r="BF90" s="13">
        <f t="shared" si="91"/>
        <v>64.954895195886436</v>
      </c>
      <c r="BG90" s="20">
        <f t="shared" si="61"/>
        <v>584.24670779950202</v>
      </c>
      <c r="BH90" s="59">
        <f t="shared" si="62"/>
        <v>877.58004113283528</v>
      </c>
      <c r="BI90" s="59">
        <f ca="1">AVERAGE(OFFSET($BH$3,0,0,'Données projet'!$E$11+1,1))-AVERAGE(OFFSET($H$3,0,0,'Données projet'!$E$11+1,1))</f>
        <v>319.97102066931524</v>
      </c>
      <c r="BJ90" s="59">
        <f t="shared" si="92"/>
        <v>190.48958701476397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70.580887101769662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70.580887101769662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152.40696942350093</v>
      </c>
      <c r="T91" s="59">
        <f t="shared" si="88"/>
        <v>368.99390365472789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795.00000000000068</v>
      </c>
      <c r="AJ91" s="13">
        <f>AI91*VLOOKUP('Données projet'!$B$10,Paramètres!$A$1:$I$89,3,0)*VLOOKUP('Données projet'!$B$10,Paramètres!$A$1:$I$89,5,0)</f>
        <v>372.06000000000029</v>
      </c>
      <c r="AK91" s="13">
        <f t="shared" si="89"/>
        <v>86.088609967897526</v>
      </c>
      <c r="AL91" s="20">
        <f t="shared" si="58"/>
        <v>797.94216236075533</v>
      </c>
      <c r="AM91" s="59">
        <f t="shared" si="59"/>
        <v>1091.2754956940887</v>
      </c>
      <c r="AN91" s="59">
        <f ca="1">AVERAGE(OFFSET($AM$3,0,0,'Données projet'!$E$10+1,1))-AVERAGE(OFFSET($H$3,0,0,'Données projet'!$E$10+1,1))</f>
        <v>379.12827535040157</v>
      </c>
      <c r="AO91" s="59">
        <f t="shared" si="90"/>
        <v>317.29813413796956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109.73417128297139</v>
      </c>
      <c r="AV91" s="21">
        <f>EXP(-LN(2)/25)*AV90+(1-EXP(-LN(2)/25))/(LN(2)/25)*Calculateur!AQ91*Calculateur!AS91*VLOOKUP('Données projet'!$B$10,Paramètres!$A$1:$I$89,3,0)*0.475*44/12</f>
        <v>8.9186976880786411</v>
      </c>
      <c r="AW91" s="21">
        <f>EXP(-LN(2)/2)*AW90+(1-EXP(-LN(2)/2))/(LN(2)/2)*AQ91*AT91*VLOOKUP('Données projet'!$B$10,Paramètres!$A$1:$I$89,3,0)*0.475*44/12</f>
        <v>8.0192709552950915E-10</v>
      </c>
      <c r="AX91" s="21">
        <f t="shared" si="60"/>
        <v>118.65286897185196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264.19999999999987</v>
      </c>
      <c r="BE91" s="13">
        <f>BD91*VLOOKUP('Données projet'!$B$11,Paramètres!$A$1:$I$89,3,0)*VLOOKUP('Données projet'!$B$11,Paramètres!$A$1:$I$89,5,0)</f>
        <v>276.14183999999989</v>
      </c>
      <c r="BF91" s="13">
        <f t="shared" si="91"/>
        <v>66.15101152786275</v>
      </c>
      <c r="BG91" s="20">
        <f t="shared" si="61"/>
        <v>596.16004974436078</v>
      </c>
      <c r="BH91" s="59">
        <f t="shared" si="62"/>
        <v>889.49338307769403</v>
      </c>
      <c r="BI91" s="59">
        <f ca="1">AVERAGE(OFFSET($BH$3,0,0,'Données projet'!$E$11+1,1))-AVERAGE(OFFSET($H$3,0,0,'Données projet'!$E$11+1,1))</f>
        <v>319.97102066931524</v>
      </c>
      <c r="BJ91" s="59">
        <f t="shared" si="92"/>
        <v>190.48958701476397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69.196838955794249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69.196838955794249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152.40696942350093</v>
      </c>
      <c r="T92" s="59">
        <f t="shared" si="88"/>
        <v>368.99390365472789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795.00000000000068</v>
      </c>
      <c r="AJ92" s="13">
        <f>AI92*VLOOKUP('Données projet'!$B$10,Paramètres!$A$1:$I$89,3,0)*VLOOKUP('Données projet'!$B$10,Paramètres!$A$1:$I$89,5,0)</f>
        <v>372.06000000000029</v>
      </c>
      <c r="AK92" s="13">
        <f t="shared" si="89"/>
        <v>86.088609967897526</v>
      </c>
      <c r="AL92" s="20">
        <f t="shared" si="58"/>
        <v>797.94216236075533</v>
      </c>
      <c r="AM92" s="59">
        <f t="shared" si="59"/>
        <v>1091.2754956940887</v>
      </c>
      <c r="AN92" s="59">
        <f ca="1">AVERAGE(OFFSET($AM$3,0,0,'Données projet'!$E$10+1,1))-AVERAGE(OFFSET($H$3,0,0,'Données projet'!$E$10+1,1))</f>
        <v>379.12827535040157</v>
      </c>
      <c r="AO92" s="59">
        <f t="shared" si="90"/>
        <v>317.29813413796956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107.58235111534789</v>
      </c>
      <c r="AV92" s="21">
        <f>EXP(-LN(2)/25)*AV91+(1-EXP(-LN(2)/25))/(LN(2)/25)*Calculateur!AQ92*Calculateur!AS92*VLOOKUP('Données projet'!$B$10,Paramètres!$A$1:$I$89,3,0)*0.475*44/12</f>
        <v>8.6748154307842036</v>
      </c>
      <c r="AW92" s="21">
        <f>EXP(-LN(2)/2)*AW91+(1-EXP(-LN(2)/2))/(LN(2)/2)*AQ92*AT92*VLOOKUP('Données projet'!$B$10,Paramètres!$A$1:$I$89,3,0)*0.475*44/12</f>
        <v>5.6704808726614822E-10</v>
      </c>
      <c r="AX92" s="21">
        <f t="shared" si="60"/>
        <v>116.25716654669914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269.59999999999985</v>
      </c>
      <c r="BE92" s="13">
        <f>BD92*VLOOKUP('Données projet'!$B$11,Paramètres!$A$1:$I$89,3,0)*VLOOKUP('Données projet'!$B$11,Paramètres!$A$1:$I$89,5,0)</f>
        <v>281.78591999999986</v>
      </c>
      <c r="BF92" s="13">
        <f t="shared" si="91"/>
        <v>67.344285344627195</v>
      </c>
      <c r="BG92" s="20">
        <f t="shared" si="61"/>
        <v>608.06844097522537</v>
      </c>
      <c r="BH92" s="59">
        <f t="shared" si="62"/>
        <v>901.40177430855874</v>
      </c>
      <c r="BI92" s="59">
        <f ca="1">AVERAGE(OFFSET($BH$3,0,0,'Données projet'!$E$11+1,1))-AVERAGE(OFFSET($H$3,0,0,'Données projet'!$E$11+1,1))</f>
        <v>319.97102066931524</v>
      </c>
      <c r="BJ92" s="59">
        <f t="shared" si="92"/>
        <v>190.48958701476397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67.839931149775396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67.839931149775396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152.40696942350093</v>
      </c>
      <c r="T93" s="59">
        <f t="shared" si="88"/>
        <v>368.99390365472789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795.00000000000068</v>
      </c>
      <c r="AJ93" s="13">
        <f>AI93*VLOOKUP('Données projet'!$B$10,Paramètres!$A$1:$I$89,3,0)*VLOOKUP('Données projet'!$B$10,Paramètres!$A$1:$I$89,5,0)</f>
        <v>372.06000000000029</v>
      </c>
      <c r="AK93" s="13">
        <f t="shared" si="89"/>
        <v>86.088609967897526</v>
      </c>
      <c r="AL93" s="20">
        <f t="shared" si="58"/>
        <v>797.94216236075533</v>
      </c>
      <c r="AM93" s="59">
        <f t="shared" si="59"/>
        <v>1091.2754956940887</v>
      </c>
      <c r="AN93" s="59">
        <f ca="1">AVERAGE(OFFSET($AM$3,0,0,'Données projet'!$E$10+1,1))-AVERAGE(OFFSET($H$3,0,0,'Données projet'!$E$10+1,1))</f>
        <v>379.12827535040157</v>
      </c>
      <c r="AO93" s="59">
        <f t="shared" si="90"/>
        <v>317.29813413796956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105.47272682873079</v>
      </c>
      <c r="AV93" s="21">
        <f>EXP(-LN(2)/25)*AV92+(1-EXP(-LN(2)/25))/(LN(2)/25)*Calculateur!AQ93*Calculateur!AS93*VLOOKUP('Données projet'!$B$10,Paramètres!$A$1:$I$89,3,0)*0.475*44/12</f>
        <v>8.4376021466406925</v>
      </c>
      <c r="AW93" s="21">
        <f>EXP(-LN(2)/2)*AW92+(1-EXP(-LN(2)/2))/(LN(2)/2)*AQ93*AT93*VLOOKUP('Données projet'!$B$10,Paramètres!$A$1:$I$89,3,0)*0.475*44/12</f>
        <v>4.0096354776475457E-10</v>
      </c>
      <c r="AX93" s="21">
        <f t="shared" si="60"/>
        <v>113.91032897577243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274.99999999999983</v>
      </c>
      <c r="BE93" s="13">
        <f>BD93*VLOOKUP('Données projet'!$B$11,Paramètres!$A$1:$I$89,3,0)*VLOOKUP('Données projet'!$B$11,Paramètres!$A$1:$I$89,5,0)</f>
        <v>287.42999999999984</v>
      </c>
      <c r="BF93" s="13">
        <f t="shared" si="91"/>
        <v>68.534780142555746</v>
      </c>
      <c r="BG93" s="20">
        <f t="shared" si="61"/>
        <v>619.9719920816176</v>
      </c>
      <c r="BH93" s="59">
        <f t="shared" si="62"/>
        <v>913.30532541495086</v>
      </c>
      <c r="BI93" s="59">
        <f ca="1">AVERAGE(OFFSET($BH$3,0,0,'Données projet'!$E$11+1,1))-AVERAGE(OFFSET($H$3,0,0,'Données projet'!$E$11+1,1))</f>
        <v>319.97102066931524</v>
      </c>
      <c r="BJ93" s="59">
        <f t="shared" si="92"/>
        <v>190.48958701476397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76.943233373611719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76.943233373611719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152.40696942350093</v>
      </c>
      <c r="T94" s="59">
        <f t="shared" si="88"/>
        <v>368.99390365472789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795.00000000000068</v>
      </c>
      <c r="AJ94" s="13">
        <f>AI94*VLOOKUP('Données projet'!$B$10,Paramètres!$A$1:$I$89,3,0)*VLOOKUP('Données projet'!$B$10,Paramètres!$A$1:$I$89,5,0)</f>
        <v>372.06000000000029</v>
      </c>
      <c r="AK94" s="13">
        <f t="shared" si="89"/>
        <v>86.088609967897526</v>
      </c>
      <c r="AL94" s="20">
        <f t="shared" si="58"/>
        <v>797.94216236075533</v>
      </c>
      <c r="AM94" s="59">
        <f t="shared" si="59"/>
        <v>1091.2754956940887</v>
      </c>
      <c r="AN94" s="59">
        <f ca="1">AVERAGE(OFFSET($AM$3,0,0,'Données projet'!$E$10+1,1))-AVERAGE(OFFSET($H$3,0,0,'Données projet'!$E$10+1,1))</f>
        <v>379.12827535040157</v>
      </c>
      <c r="AO94" s="59">
        <f t="shared" si="90"/>
        <v>317.29813413796956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103.40447098763048</v>
      </c>
      <c r="AV94" s="21">
        <f>EXP(-LN(2)/25)*AV93+(1-EXP(-LN(2)/25))/(LN(2)/25)*Calculateur!AQ94*Calculateur!AS94*VLOOKUP('Données projet'!$B$10,Paramètres!$A$1:$I$89,3,0)*0.475*44/12</f>
        <v>8.2068754722265904</v>
      </c>
      <c r="AW94" s="21">
        <f>EXP(-LN(2)/2)*AW93+(1-EXP(-LN(2)/2))/(LN(2)/2)*AQ94*AT94*VLOOKUP('Données projet'!$B$10,Paramètres!$A$1:$I$89,3,0)*0.475*44/12</f>
        <v>2.8352404363307411E-10</v>
      </c>
      <c r="AX94" s="21">
        <f t="shared" si="60"/>
        <v>111.61134646014058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</v>
      </c>
      <c r="BD94" s="12">
        <f>IF('Données projet'!$A$88&gt;35,BD93+BC94-BL93,IF(A94&lt;'Données projet'!$A$88,$BA$205^A94,IF(A94='Données projet'!$A$88,'Données projet'!$B$88,BD93+BC94-BL93)))</f>
        <v>258.99999999999983</v>
      </c>
      <c r="BE94" s="13">
        <f>BD94*VLOOKUP('Données projet'!$B$11,Paramètres!$A$1:$I$89,3,0)*VLOOKUP('Données projet'!$B$11,Paramètres!$A$1:$I$89,5,0)</f>
        <v>270.70679999999982</v>
      </c>
      <c r="BF94" s="13">
        <f t="shared" si="91"/>
        <v>64.999247255184059</v>
      </c>
      <c r="BG94" s="20">
        <f t="shared" si="61"/>
        <v>584.68803230277865</v>
      </c>
      <c r="BH94" s="59">
        <f t="shared" si="62"/>
        <v>878.02136563611202</v>
      </c>
      <c r="BI94" s="59">
        <f ca="1">AVERAGE(OFFSET($BH$3,0,0,'Données projet'!$E$11+1,1))-AVERAGE(OFFSET($H$3,0,0,'Données projet'!$E$11+1,1))</f>
        <v>319.97102066931524</v>
      </c>
      <c r="BJ94" s="59">
        <f t="shared" si="92"/>
        <v>190.48958701476397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75.434423497893519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75.434423497893519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152.40696942350093</v>
      </c>
      <c r="T95" s="59">
        <f t="shared" si="88"/>
        <v>368.99390365472789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795.00000000000068</v>
      </c>
      <c r="AJ95" s="13">
        <f>AI95*VLOOKUP('Données projet'!$B$10,Paramètres!$A$1:$I$89,3,0)*VLOOKUP('Données projet'!$B$10,Paramètres!$A$1:$I$89,5,0)</f>
        <v>372.06000000000029</v>
      </c>
      <c r="AK95" s="13">
        <f t="shared" si="89"/>
        <v>86.088609967897526</v>
      </c>
      <c r="AL95" s="20">
        <f t="shared" si="58"/>
        <v>797.94216236075533</v>
      </c>
      <c r="AM95" s="59">
        <f t="shared" si="59"/>
        <v>1091.2754956940887</v>
      </c>
      <c r="AN95" s="59">
        <f ca="1">AVERAGE(OFFSET($AM$3,0,0,'Données projet'!$E$10+1,1))-AVERAGE(OFFSET($H$3,0,0,'Données projet'!$E$10+1,1))</f>
        <v>379.12827535040157</v>
      </c>
      <c r="AO95" s="59">
        <f t="shared" si="90"/>
        <v>317.29813413796956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101.37677238206265</v>
      </c>
      <c r="AV95" s="21">
        <f>EXP(-LN(2)/25)*AV94+(1-EXP(-LN(2)/25))/(LN(2)/25)*Calculateur!AQ95*Calculateur!AS95*VLOOKUP('Données projet'!$B$10,Paramètres!$A$1:$I$89,3,0)*0.475*44/12</f>
        <v>7.98245803085773</v>
      </c>
      <c r="AW95" s="21">
        <f>EXP(-LN(2)/2)*AW94+(1-EXP(-LN(2)/2))/(LN(2)/2)*AQ95*AT95*VLOOKUP('Données projet'!$B$10,Paramètres!$A$1:$I$89,3,0)*0.475*44/12</f>
        <v>2.0048177388237729E-10</v>
      </c>
      <c r="AX95" s="21">
        <f t="shared" si="60"/>
        <v>109.35923041312087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</v>
      </c>
      <c r="BD95" s="12">
        <f>IF('Données projet'!$A$88&gt;35,BD94+BC95-BL94,IF(A95&lt;'Données projet'!$A$88,$BA$205^A95,IF(A95='Données projet'!$A$88,'Données projet'!$B$88,BD94+BC95-BL94)))</f>
        <v>263.99999999999983</v>
      </c>
      <c r="BE95" s="13">
        <f>BD95*VLOOKUP('Données projet'!$B$11,Paramètres!$A$1:$I$89,3,0)*VLOOKUP('Données projet'!$B$11,Paramètres!$A$1:$I$89,5,0)</f>
        <v>275.93279999999987</v>
      </c>
      <c r="BF95" s="13">
        <f t="shared" si="91"/>
        <v>66.106762012556132</v>
      </c>
      <c r="BG95" s="20">
        <f t="shared" si="61"/>
        <v>595.71890383853497</v>
      </c>
      <c r="BH95" s="59">
        <f t="shared" si="62"/>
        <v>889.05223717186823</v>
      </c>
      <c r="BI95" s="59">
        <f ca="1">AVERAGE(OFFSET($BH$3,0,0,'Données projet'!$E$11+1,1))-AVERAGE(OFFSET($H$3,0,0,'Données projet'!$E$11+1,1))</f>
        <v>319.97102066931524</v>
      </c>
      <c r="BJ95" s="59">
        <f t="shared" si="92"/>
        <v>190.48958701476397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73.955200463555002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73.955200463555002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152.40696942350093</v>
      </c>
      <c r="T96" s="59">
        <f t="shared" si="88"/>
        <v>368.99390365472789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795.00000000000068</v>
      </c>
      <c r="AJ96" s="13">
        <f>AI96*VLOOKUP('Données projet'!$B$10,Paramètres!$A$1:$I$89,3,0)*VLOOKUP('Données projet'!$B$10,Paramètres!$A$1:$I$89,5,0)</f>
        <v>372.06000000000029</v>
      </c>
      <c r="AK96" s="13">
        <f t="shared" si="89"/>
        <v>86.088609967897526</v>
      </c>
      <c r="AL96" s="20">
        <f t="shared" si="58"/>
        <v>797.94216236075533</v>
      </c>
      <c r="AM96" s="59">
        <f t="shared" si="59"/>
        <v>1091.2754956940887</v>
      </c>
      <c r="AN96" s="59">
        <f ca="1">AVERAGE(OFFSET($AM$3,0,0,'Données projet'!$E$10+1,1))-AVERAGE(OFFSET($H$3,0,0,'Données projet'!$E$10+1,1))</f>
        <v>379.12827535040157</v>
      </c>
      <c r="AO96" s="59">
        <f t="shared" si="90"/>
        <v>317.29813413796956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99.388835709375982</v>
      </c>
      <c r="AV96" s="21">
        <f>EXP(-LN(2)/25)*AV95+(1-EXP(-LN(2)/25))/(LN(2)/25)*Calculateur!AQ96*Calculateur!AS96*VLOOKUP('Données projet'!$B$10,Paramètres!$A$1:$I$89,3,0)*0.475*44/12</f>
        <v>7.7641772962247018</v>
      </c>
      <c r="AW96" s="21">
        <f>EXP(-LN(2)/2)*AW95+(1-EXP(-LN(2)/2))/(LN(2)/2)*AQ96*AT96*VLOOKUP('Données projet'!$B$10,Paramètres!$A$1:$I$89,3,0)*0.475*44/12</f>
        <v>1.4176202181653705E-10</v>
      </c>
      <c r="AX96" s="21">
        <f t="shared" si="60"/>
        <v>107.15301300574245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</v>
      </c>
      <c r="BD96" s="12">
        <f>IF('Données projet'!$A$88&gt;35,BD95+BC96-BL95,IF(A96&lt;'Données projet'!$A$88,$BA$205^A96,IF(A96='Données projet'!$A$88,'Données projet'!$B$88,BD95+BC96-BL95)))</f>
        <v>268.99999999999983</v>
      </c>
      <c r="BE96" s="13">
        <f>BD96*VLOOKUP('Données projet'!$B$11,Paramètres!$A$1:$I$89,3,0)*VLOOKUP('Données projet'!$B$11,Paramètres!$A$1:$I$89,5,0)</f>
        <v>281.15879999999987</v>
      </c>
      <c r="BF96" s="13">
        <f t="shared" si="91"/>
        <v>67.211837738456268</v>
      </c>
      <c r="BG96" s="20">
        <f t="shared" si="61"/>
        <v>606.74552739447779</v>
      </c>
      <c r="BH96" s="59">
        <f t="shared" si="62"/>
        <v>900.07886072781116</v>
      </c>
      <c r="BI96" s="59">
        <f ca="1">AVERAGE(OFFSET($BH$3,0,0,'Données projet'!$E$11+1,1))-AVERAGE(OFFSET($H$3,0,0,'Données projet'!$E$11+1,1))</f>
        <v>319.97102066931524</v>
      </c>
      <c r="BJ96" s="59">
        <f t="shared" si="92"/>
        <v>190.48958701476397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72.50498409068291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72.50498409068291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152.40696942350093</v>
      </c>
      <c r="T97" s="59">
        <f t="shared" si="88"/>
        <v>368.99390365472789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795.00000000000068</v>
      </c>
      <c r="AJ97" s="13">
        <f>AI97*VLOOKUP('Données projet'!$B$10,Paramètres!$A$1:$I$89,3,0)*VLOOKUP('Données projet'!$B$10,Paramètres!$A$1:$I$89,5,0)</f>
        <v>372.06000000000029</v>
      </c>
      <c r="AK97" s="13">
        <f t="shared" si="89"/>
        <v>86.088609967897526</v>
      </c>
      <c r="AL97" s="20">
        <f t="shared" si="58"/>
        <v>797.94216236075533</v>
      </c>
      <c r="AM97" s="59">
        <f t="shared" si="59"/>
        <v>1091.2754956940887</v>
      </c>
      <c r="AN97" s="59">
        <f ca="1">AVERAGE(OFFSET($AM$3,0,0,'Données projet'!$E$10+1,1))-AVERAGE(OFFSET($H$3,0,0,'Données projet'!$E$10+1,1))</f>
        <v>379.12827535040157</v>
      </c>
      <c r="AO97" s="59">
        <f t="shared" si="90"/>
        <v>317.29813413796956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97.439881262319062</v>
      </c>
      <c r="AV97" s="21">
        <f>EXP(-LN(2)/25)*AV96+(1-EXP(-LN(2)/25))/(LN(2)/25)*Calculateur!AQ97*Calculateur!AS97*VLOOKUP('Données projet'!$B$10,Paramètres!$A$1:$I$89,3,0)*0.475*44/12</f>
        <v>7.5518654597590986</v>
      </c>
      <c r="AW97" s="21">
        <f>EXP(-LN(2)/2)*AW96+(1-EXP(-LN(2)/2))/(LN(2)/2)*AQ97*AT97*VLOOKUP('Données projet'!$B$10,Paramètres!$A$1:$I$89,3,0)*0.475*44/12</f>
        <v>1.0024088694118864E-10</v>
      </c>
      <c r="AX97" s="21">
        <f t="shared" si="60"/>
        <v>104.99174672217841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</v>
      </c>
      <c r="BD97" s="12">
        <f>IF('Données projet'!$A$88&gt;35,BD96+BC97-BL96,IF(A97&lt;'Données projet'!$A$88,$BA$205^A97,IF(A97='Données projet'!$A$88,'Données projet'!$B$88,BD96+BC97-BL96)))</f>
        <v>273.99999999999983</v>
      </c>
      <c r="BE97" s="13">
        <f>BD97*VLOOKUP('Données projet'!$B$11,Paramètres!$A$1:$I$89,3,0)*VLOOKUP('Données projet'!$B$11,Paramètres!$A$1:$I$89,5,0)</f>
        <v>286.38479999999987</v>
      </c>
      <c r="BF97" s="13">
        <f t="shared" si="91"/>
        <v>68.314524996214573</v>
      </c>
      <c r="BG97" s="20">
        <f t="shared" si="61"/>
        <v>617.76799103507346</v>
      </c>
      <c r="BH97" s="59">
        <f t="shared" si="62"/>
        <v>911.10132436840672</v>
      </c>
      <c r="BI97" s="59">
        <f ca="1">AVERAGE(OFFSET($BH$3,0,0,'Données projet'!$E$11+1,1))-AVERAGE(OFFSET($H$3,0,0,'Données projet'!$E$11+1,1))</f>
        <v>319.97102066931524</v>
      </c>
      <c r="BJ97" s="59">
        <f t="shared" si="92"/>
        <v>190.48958701476397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71.083205576338187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71.083205576338187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152.40696942350093</v>
      </c>
      <c r="T98" s="59">
        <f t="shared" si="88"/>
        <v>368.99390365472789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795.00000000000068</v>
      </c>
      <c r="AJ98" s="13">
        <f>AI98*VLOOKUP('Données projet'!$B$10,Paramètres!$A$1:$I$89,3,0)*VLOOKUP('Données projet'!$B$10,Paramètres!$A$1:$I$89,5,0)</f>
        <v>372.06000000000029</v>
      </c>
      <c r="AK98" s="13">
        <f t="shared" si="89"/>
        <v>86.088609967897526</v>
      </c>
      <c r="AL98" s="20">
        <f t="shared" si="58"/>
        <v>797.94216236075533</v>
      </c>
      <c r="AM98" s="59">
        <f t="shared" si="59"/>
        <v>1091.2754956940887</v>
      </c>
      <c r="AN98" s="59">
        <f ca="1">AVERAGE(OFFSET($AM$3,0,0,'Données projet'!$E$10+1,1))-AVERAGE(OFFSET($H$3,0,0,'Données projet'!$E$10+1,1))</f>
        <v>379.12827535040157</v>
      </c>
      <c r="AO98" s="59">
        <f t="shared" si="90"/>
        <v>317.29813413796956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95.529144623224084</v>
      </c>
      <c r="AV98" s="21">
        <f>EXP(-LN(2)/25)*AV97+(1-EXP(-LN(2)/25))/(LN(2)/25)*Calculateur!AQ98*Calculateur!AS98*VLOOKUP('Données projet'!$B$10,Paramètres!$A$1:$I$89,3,0)*0.475*44/12</f>
        <v>7.3453593016266412</v>
      </c>
      <c r="AW98" s="21">
        <f>EXP(-LN(2)/2)*AW97+(1-EXP(-LN(2)/2))/(LN(2)/2)*AQ98*AT98*VLOOKUP('Données projet'!$B$10,Paramètres!$A$1:$I$89,3,0)*0.475*44/12</f>
        <v>7.0881010908268527E-11</v>
      </c>
      <c r="AX98" s="21">
        <f t="shared" si="60"/>
        <v>102.87450392492161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279</v>
      </c>
      <c r="BB98" s="12">
        <f>VLOOKUP(A98,'Données projet'!$A$87:$I$107,9,0)</f>
        <v>5</v>
      </c>
      <c r="BC98" s="12">
        <f t="array" ref="BC98">INDEX(BB:BB,MIN(IF(ISNUMBER(BB98:BB294),ROW(BB98:BB294),"")))</f>
        <v>5</v>
      </c>
      <c r="BD98" s="12">
        <f>IF('Données projet'!$A$88&gt;35,BD97+BC98-BL97,IF(A98&lt;'Données projet'!$A$88,$BA$205^A98,IF(A98='Données projet'!$A$88,'Données projet'!$B$88,BD97+BC98-BL97)))</f>
        <v>278.99999999999983</v>
      </c>
      <c r="BE98" s="13">
        <f>BD98*VLOOKUP('Données projet'!$B$11,Paramètres!$A$1:$I$89,3,0)*VLOOKUP('Données projet'!$B$11,Paramètres!$A$1:$I$89,5,0)</f>
        <v>291.61079999999987</v>
      </c>
      <c r="BF98" s="13">
        <f t="shared" si="91"/>
        <v>69.414872398131394</v>
      </c>
      <c r="BG98" s="20">
        <f t="shared" si="61"/>
        <v>628.78637942674527</v>
      </c>
      <c r="BH98" s="59">
        <f t="shared" si="62"/>
        <v>922.11971276007853</v>
      </c>
      <c r="BI98" s="59">
        <f ca="1">AVERAGE(OFFSET($BH$3,0,0,'Données projet'!$E$11+1,1))-AVERAGE(OFFSET($H$3,0,0,'Données projet'!$E$11+1,1))</f>
        <v>319.97102066931524</v>
      </c>
      <c r="BJ98" s="59">
        <f t="shared" si="92"/>
        <v>190.48958701476397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21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80.122909166871693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80.122909166871693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152.40696942350093</v>
      </c>
      <c r="T99" s="59">
        <f t="shared" si="88"/>
        <v>368.99390365472789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795.00000000000068</v>
      </c>
      <c r="AJ99" s="13">
        <f>AI99*VLOOKUP('Données projet'!$B$10,Paramètres!$A$1:$I$89,3,0)*VLOOKUP('Données projet'!$B$10,Paramètres!$A$1:$I$89,5,0)</f>
        <v>372.06000000000029</v>
      </c>
      <c r="AK99" s="13">
        <f t="shared" si="89"/>
        <v>86.088609967897526</v>
      </c>
      <c r="AL99" s="20">
        <f t="shared" si="58"/>
        <v>797.94216236075533</v>
      </c>
      <c r="AM99" s="59">
        <f t="shared" si="59"/>
        <v>1091.2754956940887</v>
      </c>
      <c r="AN99" s="59">
        <f ca="1">AVERAGE(OFFSET($AM$3,0,0,'Données projet'!$E$10+1,1))-AVERAGE(OFFSET($H$3,0,0,'Données projet'!$E$10+1,1))</f>
        <v>379.12827535040157</v>
      </c>
      <c r="AO99" s="59">
        <f t="shared" si="90"/>
        <v>317.29813413796956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93.655876364187492</v>
      </c>
      <c r="AV99" s="21">
        <f>EXP(-LN(2)/25)*AV98+(1-EXP(-LN(2)/25))/(LN(2)/25)*Calculateur!AQ99*Calculateur!AS99*VLOOKUP('Données projet'!$B$10,Paramètres!$A$1:$I$89,3,0)*0.475*44/12</f>
        <v>7.1445000652480033</v>
      </c>
      <c r="AW99" s="21">
        <f>EXP(-LN(2)/2)*AW98+(1-EXP(-LN(2)/2))/(LN(2)/2)*AQ99*AT99*VLOOKUP('Données projet'!$B$10,Paramètres!$A$1:$I$89,3,0)*0.475*44/12</f>
        <v>5.0120443470594322E-11</v>
      </c>
      <c r="AX99" s="21">
        <f t="shared" si="60"/>
        <v>100.80037642948561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4.8</v>
      </c>
      <c r="BD99" s="12">
        <f>IF('Données projet'!$A$88&gt;35,BD98+BC99-BL98,IF(A99&lt;'Données projet'!$A$88,$BA$205^A99,IF(A99='Données projet'!$A$88,'Données projet'!$B$88,BD98+BC99-BL98)))</f>
        <v>262.79999999999984</v>
      </c>
      <c r="BE99" s="13">
        <f>BD99*VLOOKUP('Données projet'!$B$11,Paramètres!$A$1:$I$89,3,0)*VLOOKUP('Données projet'!$B$11,Paramètres!$A$1:$I$89,5,0)</f>
        <v>274.67855999999989</v>
      </c>
      <c r="BF99" s="13">
        <f t="shared" si="91"/>
        <v>65.841182859249116</v>
      </c>
      <c r="BG99" s="20">
        <f t="shared" si="61"/>
        <v>593.07188547985857</v>
      </c>
      <c r="BH99" s="59">
        <f t="shared" si="62"/>
        <v>886.40521881319182</v>
      </c>
      <c r="BI99" s="59">
        <f ca="1">AVERAGE(OFFSET($BH$3,0,0,'Données projet'!$E$11+1,1))-AVERAGE(OFFSET($H$3,0,0,'Données projet'!$E$11+1,1))</f>
        <v>319.97102066931524</v>
      </c>
      <c r="BJ99" s="59">
        <f t="shared" si="92"/>
        <v>190.48958701476397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78.55174778825841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78.55174778825841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152.40696942350093</v>
      </c>
      <c r="T100" s="59">
        <f t="shared" si="88"/>
        <v>368.99390365472789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795.00000000000068</v>
      </c>
      <c r="AJ100" s="13">
        <f>AI100*VLOOKUP('Données projet'!$B$10,Paramètres!$A$1:$I$89,3,0)*VLOOKUP('Données projet'!$B$10,Paramètres!$A$1:$I$89,5,0)</f>
        <v>372.06000000000029</v>
      </c>
      <c r="AK100" s="13">
        <f t="shared" si="89"/>
        <v>86.088609967897526</v>
      </c>
      <c r="AL100" s="20">
        <f t="shared" si="58"/>
        <v>797.94216236075533</v>
      </c>
      <c r="AM100" s="59">
        <f t="shared" si="59"/>
        <v>1091.2754956940887</v>
      </c>
      <c r="AN100" s="59">
        <f ca="1">AVERAGE(OFFSET($AM$3,0,0,'Données projet'!$E$10+1,1))-AVERAGE(OFFSET($H$3,0,0,'Données projet'!$E$10+1,1))</f>
        <v>379.12827535040157</v>
      </c>
      <c r="AO100" s="59">
        <f t="shared" si="90"/>
        <v>317.29813413796956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91.819341753129791</v>
      </c>
      <c r="AV100" s="21">
        <f>EXP(-LN(2)/25)*AV99+(1-EXP(-LN(2)/25))/(LN(2)/25)*Calculateur!AQ100*Calculateur!AS100*VLOOKUP('Données projet'!$B$10,Paramètres!$A$1:$I$89,3,0)*0.475*44/12</f>
        <v>6.9491333352508668</v>
      </c>
      <c r="AW100" s="21">
        <f>EXP(-LN(2)/2)*AW99+(1-EXP(-LN(2)/2))/(LN(2)/2)*AQ100*AT100*VLOOKUP('Données projet'!$B$10,Paramètres!$A$1:$I$89,3,0)*0.475*44/12</f>
        <v>3.5440505454134263E-11</v>
      </c>
      <c r="AX100" s="21">
        <f t="shared" si="60"/>
        <v>98.768475088416096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4.8</v>
      </c>
      <c r="BD100" s="12">
        <f>IF('Données projet'!$A$88&gt;35,BD99+BC100-BL99,IF(A100&lt;'Données projet'!$A$88,$BA$205^A100,IF(A100='Données projet'!$A$88,'Données projet'!$B$88,BD99+BC100-BL99)))</f>
        <v>267.59999999999985</v>
      </c>
      <c r="BE100" s="13">
        <f>BD100*VLOOKUP('Données projet'!$B$11,Paramètres!$A$1:$I$89,3,0)*VLOOKUP('Données projet'!$B$11,Paramètres!$A$1:$I$89,5,0)</f>
        <v>279.69551999999987</v>
      </c>
      <c r="BF100" s="13">
        <f t="shared" si="91"/>
        <v>66.902659430382741</v>
      </c>
      <c r="BG100" s="20">
        <f t="shared" si="61"/>
        <v>603.65849584124965</v>
      </c>
      <c r="BH100" s="59">
        <f t="shared" si="62"/>
        <v>896.99182917458302</v>
      </c>
      <c r="BI100" s="59">
        <f ca="1">AVERAGE(OFFSET($BH$3,0,0,'Données projet'!$E$11+1,1))-AVERAGE(OFFSET($H$3,0,0,'Données projet'!$E$11+1,1))</f>
        <v>319.97102066931524</v>
      </c>
      <c r="BJ100" s="59">
        <f t="shared" si="92"/>
        <v>190.48958701476397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77.011395925965914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77.011395925965914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152.40696942350093</v>
      </c>
      <c r="T101" s="59">
        <f t="shared" si="88"/>
        <v>368.99390365472789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795.00000000000068</v>
      </c>
      <c r="AJ101" s="13">
        <f>AI101*VLOOKUP('Données projet'!$B$10,Paramètres!$A$1:$I$89,3,0)*VLOOKUP('Données projet'!$B$10,Paramètres!$A$1:$I$89,5,0)</f>
        <v>372.06000000000029</v>
      </c>
      <c r="AK101" s="13">
        <f t="shared" si="89"/>
        <v>86.088609967897526</v>
      </c>
      <c r="AL101" s="20">
        <f t="shared" si="58"/>
        <v>797.94216236075533</v>
      </c>
      <c r="AM101" s="59">
        <f t="shared" si="59"/>
        <v>1091.2754956940887</v>
      </c>
      <c r="AN101" s="59">
        <f ca="1">AVERAGE(OFFSET($AM$3,0,0,'Données projet'!$E$10+1,1))-AVERAGE(OFFSET($H$3,0,0,'Données projet'!$E$10+1,1))</f>
        <v>379.12827535040157</v>
      </c>
      <c r="AO101" s="59">
        <f t="shared" si="90"/>
        <v>317.29813413796956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90.018820465619427</v>
      </c>
      <c r="AV101" s="21">
        <f>EXP(-LN(2)/25)*AV100+(1-EXP(-LN(2)/25))/(LN(2)/25)*Calculateur!AQ101*Calculateur!AS101*VLOOKUP('Données projet'!$B$10,Paramètres!$A$1:$I$89,3,0)*0.475*44/12</f>
        <v>6.7591089187593925</v>
      </c>
      <c r="AW101" s="21">
        <f>EXP(-LN(2)/2)*AW100+(1-EXP(-LN(2)/2))/(LN(2)/2)*AQ101*AT101*VLOOKUP('Données projet'!$B$10,Paramètres!$A$1:$I$89,3,0)*0.475*44/12</f>
        <v>2.5060221735297161E-11</v>
      </c>
      <c r="AX101" s="21">
        <f t="shared" si="60"/>
        <v>96.777929384403876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4.8</v>
      </c>
      <c r="BD101" s="12">
        <f>IF('Données projet'!$A$88&gt;35,BD100+BC101-BL100,IF(A101&lt;'Données projet'!$A$88,$BA$205^A101,IF(A101='Données projet'!$A$88,'Données projet'!$B$88,BD100+BC101-BL100)))</f>
        <v>272.39999999999986</v>
      </c>
      <c r="BE101" s="13">
        <f>BD101*VLOOKUP('Données projet'!$B$11,Paramètres!$A$1:$I$89,3,0)*VLOOKUP('Données projet'!$B$11,Paramètres!$A$1:$I$89,5,0)</f>
        <v>284.71247999999991</v>
      </c>
      <c r="BF101" s="13">
        <f t="shared" si="91"/>
        <v>67.961921939195207</v>
      </c>
      <c r="BG101" s="20">
        <f t="shared" si="61"/>
        <v>614.24125004409814</v>
      </c>
      <c r="BH101" s="59">
        <f t="shared" si="62"/>
        <v>907.57458337743151</v>
      </c>
      <c r="BI101" s="59">
        <f ca="1">AVERAGE(OFFSET($BH$3,0,0,'Données projet'!$E$11+1,1))-AVERAGE(OFFSET($H$3,0,0,'Données projet'!$E$11+1,1))</f>
        <v>319.97102066931524</v>
      </c>
      <c r="BJ101" s="59">
        <f t="shared" si="92"/>
        <v>190.48958701476397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75.501249424171107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75.501249424171107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152.40696942350093</v>
      </c>
      <c r="T102" s="59">
        <f t="shared" si="88"/>
        <v>368.99390365472789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795.00000000000068</v>
      </c>
      <c r="AJ102" s="13">
        <f>AI102*VLOOKUP('Données projet'!$B$10,Paramètres!$A$1:$I$89,3,0)*VLOOKUP('Données projet'!$B$10,Paramètres!$A$1:$I$89,5,0)</f>
        <v>372.06000000000029</v>
      </c>
      <c r="AK102" s="13">
        <f t="shared" si="89"/>
        <v>86.088609967897526</v>
      </c>
      <c r="AL102" s="20">
        <f t="shared" si="58"/>
        <v>797.94216236075533</v>
      </c>
      <c r="AM102" s="59">
        <f t="shared" si="59"/>
        <v>1091.2754956940887</v>
      </c>
      <c r="AN102" s="59">
        <f ca="1">AVERAGE(OFFSET($AM$3,0,0,'Données projet'!$E$10+1,1))-AVERAGE(OFFSET($H$3,0,0,'Données projet'!$E$10+1,1))</f>
        <v>379.12827535040157</v>
      </c>
      <c r="AO102" s="59">
        <f t="shared" si="90"/>
        <v>317.29813413796956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88.253606302347592</v>
      </c>
      <c r="AV102" s="21">
        <f>EXP(-LN(2)/25)*AV101+(1-EXP(-LN(2)/25))/(LN(2)/25)*Calculateur!AQ102*Calculateur!AS102*VLOOKUP('Données projet'!$B$10,Paramètres!$A$1:$I$89,3,0)*0.475*44/12</f>
        <v>6.5742807299298267</v>
      </c>
      <c r="AW102" s="21">
        <f>EXP(-LN(2)/2)*AW101+(1-EXP(-LN(2)/2))/(LN(2)/2)*AQ102*AT102*VLOOKUP('Données projet'!$B$10,Paramètres!$A$1:$I$89,3,0)*0.475*44/12</f>
        <v>1.7720252727067132E-11</v>
      </c>
      <c r="AX102" s="21">
        <f t="shared" si="60"/>
        <v>94.827887032295138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4.8</v>
      </c>
      <c r="BD102" s="12">
        <f>IF('Données projet'!$A$88&gt;35,BD101+BC102-BL101,IF(A102&lt;'Données projet'!$A$88,$BA$205^A102,IF(A102='Données projet'!$A$88,'Données projet'!$B$88,BD101+BC102-BL101)))</f>
        <v>277.19999999999987</v>
      </c>
      <c r="BE102" s="13">
        <f>BD102*VLOOKUP('Données projet'!$B$11,Paramètres!$A$1:$I$89,3,0)*VLOOKUP('Données projet'!$B$11,Paramètres!$A$1:$I$89,5,0)</f>
        <v>289.7294399999999</v>
      </c>
      <c r="BF102" s="13">
        <f t="shared" si="91"/>
        <v>69.01901390116879</v>
      </c>
      <c r="BG102" s="20">
        <f t="shared" si="61"/>
        <v>624.82022387786867</v>
      </c>
      <c r="BH102" s="59">
        <f t="shared" si="62"/>
        <v>918.15355721120204</v>
      </c>
      <c r="BI102" s="59">
        <f ca="1">AVERAGE(OFFSET($BH$3,0,0,'Données projet'!$E$11+1,1))-AVERAGE(OFFSET($H$3,0,0,'Données projet'!$E$11+1,1))</f>
        <v>319.97102066931524</v>
      </c>
      <c r="BJ102" s="59">
        <f t="shared" si="92"/>
        <v>190.48958701476397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74.020715974178074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74.020715974178074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152.40696942350093</v>
      </c>
      <c r="T103" s="59">
        <f t="shared" si="88"/>
        <v>368.99390365472789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795.00000000000068</v>
      </c>
      <c r="AJ103" s="13">
        <f>AI103*VLOOKUP('Données projet'!$B$10,Paramètres!$A$1:$I$89,3,0)*VLOOKUP('Données projet'!$B$10,Paramètres!$A$1:$I$89,5,0)</f>
        <v>372.06000000000029</v>
      </c>
      <c r="AK103" s="13">
        <f t="shared" si="89"/>
        <v>86.088609967897526</v>
      </c>
      <c r="AL103" s="20">
        <f t="shared" si="58"/>
        <v>797.94216236075533</v>
      </c>
      <c r="AM103" s="59">
        <f t="shared" si="59"/>
        <v>1091.2754956940887</v>
      </c>
      <c r="AN103" s="59">
        <f ca="1">AVERAGE(OFFSET($AM$3,0,0,'Données projet'!$E$10+1,1))-AVERAGE(OFFSET($H$3,0,0,'Données projet'!$E$10+1,1))</f>
        <v>379.12827535040157</v>
      </c>
      <c r="AO103" s="59">
        <f t="shared" si="90"/>
        <v>317.29813413796956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86.523006912143188</v>
      </c>
      <c r="AV103" s="21">
        <f>EXP(-LN(2)/25)*AV102+(1-EXP(-LN(2)/25))/(LN(2)/25)*Calculateur!AQ103*Calculateur!AS103*VLOOKUP('Données projet'!$B$10,Paramètres!$A$1:$I$89,3,0)*0.475*44/12</f>
        <v>6.3945066776434976</v>
      </c>
      <c r="AW103" s="21">
        <f>EXP(-LN(2)/2)*AW102+(1-EXP(-LN(2)/2))/(LN(2)/2)*AQ103*AT103*VLOOKUP('Données projet'!$B$10,Paramètres!$A$1:$I$89,3,0)*0.475*44/12</f>
        <v>1.253011086764858E-11</v>
      </c>
      <c r="AX103" s="21">
        <f t="shared" si="60"/>
        <v>92.917513589799213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282</v>
      </c>
      <c r="BB103" s="12">
        <f>VLOOKUP(A103,'Données projet'!$A$87:$I$107,9,0)</f>
        <v>4.8</v>
      </c>
      <c r="BC103" s="12">
        <f t="array" ref="BC103">INDEX(BB:BB,MIN(IF(ISNUMBER(BB103:BB299),ROW(BB103:BB299),"")))</f>
        <v>4.8</v>
      </c>
      <c r="BD103" s="12">
        <f>IF('Données projet'!$A$88&gt;35,BD102+BC103-BL102,IF(A103&lt;'Données projet'!$A$88,$BA$205^A103,IF(A103='Données projet'!$A$88,'Données projet'!$B$88,BD102+BC103-BL102)))</f>
        <v>281.99999999999989</v>
      </c>
      <c r="BE103" s="13">
        <f>BD103*VLOOKUP('Données projet'!$B$11,Paramètres!$A$1:$I$89,3,0)*VLOOKUP('Données projet'!$B$11,Paramètres!$A$1:$I$89,5,0)</f>
        <v>294.74639999999994</v>
      </c>
      <c r="BF103" s="13">
        <f t="shared" si="91"/>
        <v>70.073977238414798</v>
      </c>
      <c r="BG103" s="20">
        <f t="shared" si="61"/>
        <v>635.39549035690561</v>
      </c>
      <c r="BH103" s="59">
        <f t="shared" si="62"/>
        <v>928.72882369023887</v>
      </c>
      <c r="BI103" s="59">
        <f ca="1">AVERAGE(OFFSET($BH$3,0,0,'Données projet'!$E$11+1,1))-AVERAGE(OFFSET($H$3,0,0,'Données projet'!$E$11+1,1))</f>
        <v>319.97102066931524</v>
      </c>
      <c r="BJ103" s="59">
        <f t="shared" si="92"/>
        <v>190.48958701476397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21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83.002816777514354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83.002816777514354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152.40696942350093</v>
      </c>
      <c r="T104" s="59">
        <f t="shared" si="88"/>
        <v>368.99390365472789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795.00000000000068</v>
      </c>
      <c r="AJ104" s="13">
        <f>AI104*VLOOKUP('Données projet'!$B$10,Paramètres!$A$1:$I$89,3,0)*VLOOKUP('Données projet'!$B$10,Paramètres!$A$1:$I$89,5,0)</f>
        <v>372.06000000000029</v>
      </c>
      <c r="AK104" s="13">
        <f t="shared" si="89"/>
        <v>86.088609967897526</v>
      </c>
      <c r="AL104" s="20">
        <f t="shared" si="58"/>
        <v>797.94216236075533</v>
      </c>
      <c r="AM104" s="59">
        <f t="shared" si="59"/>
        <v>1091.2754956940887</v>
      </c>
      <c r="AN104" s="59">
        <f ca="1">AVERAGE(OFFSET($AM$3,0,0,'Données projet'!$E$10+1,1))-AVERAGE(OFFSET($H$3,0,0,'Données projet'!$E$10+1,1))</f>
        <v>379.12827535040157</v>
      </c>
      <c r="AO104" s="59">
        <f t="shared" si="90"/>
        <v>317.29813413796956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84.8263435204193</v>
      </c>
      <c r="AV104" s="21">
        <f>EXP(-LN(2)/25)*AV103+(1-EXP(-LN(2)/25))/(LN(2)/25)*Calculateur!AQ104*Calculateur!AS104*VLOOKUP('Données projet'!$B$10,Paramètres!$A$1:$I$89,3,0)*0.475*44/12</f>
        <v>6.2196485562708448</v>
      </c>
      <c r="AW104" s="21">
        <f>EXP(-LN(2)/2)*AW103+(1-EXP(-LN(2)/2))/(LN(2)/2)*AQ104*AT104*VLOOKUP('Données projet'!$B$10,Paramètres!$A$1:$I$89,3,0)*0.475*44/12</f>
        <v>8.8601263635335659E-12</v>
      </c>
      <c r="AX104" s="21">
        <f t="shared" si="60"/>
        <v>91.045992076698994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4.5999999999999996</v>
      </c>
      <c r="BD104" s="12">
        <f>IF('Données projet'!$A$88&gt;35,BD103+BC104-BL103,IF(A104&lt;'Données projet'!$A$88,$BA$205^A104,IF(A104='Données projet'!$A$88,'Données projet'!$B$88,BD103+BC104-BL103)))</f>
        <v>265.59999999999991</v>
      </c>
      <c r="BE104" s="13">
        <f>BD104*VLOOKUP('Données projet'!$B$11,Paramètres!$A$1:$I$89,3,0)*VLOOKUP('Données projet'!$B$11,Paramètres!$A$1:$I$89,5,0)</f>
        <v>277.60511999999994</v>
      </c>
      <c r="BF104" s="13">
        <f t="shared" si="91"/>
        <v>66.460649150443913</v>
      </c>
      <c r="BG104" s="20">
        <f t="shared" si="61"/>
        <v>599.2478812703564</v>
      </c>
      <c r="BH104" s="59">
        <f t="shared" si="62"/>
        <v>892.58121460368966</v>
      </c>
      <c r="BI104" s="59">
        <f ca="1">AVERAGE(OFFSET($BH$3,0,0,'Données projet'!$E$11+1,1))-AVERAGE(OFFSET($H$3,0,0,'Données projet'!$E$11+1,1))</f>
        <v>319.97102066931524</v>
      </c>
      <c r="BJ104" s="59">
        <f t="shared" si="92"/>
        <v>190.48958701476397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81.375182167226555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81.375182167226555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152.40696942350093</v>
      </c>
      <c r="T105" s="59">
        <f t="shared" si="88"/>
        <v>368.99390365472789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795.00000000000068</v>
      </c>
      <c r="AJ105" s="13">
        <f>AI105*VLOOKUP('Données projet'!$B$10,Paramètres!$A$1:$I$89,3,0)*VLOOKUP('Données projet'!$B$10,Paramètres!$A$1:$I$89,5,0)</f>
        <v>372.06000000000029</v>
      </c>
      <c r="AK105" s="13">
        <f t="shared" si="89"/>
        <v>86.088609967897526</v>
      </c>
      <c r="AL105" s="20">
        <f t="shared" si="58"/>
        <v>797.94216236075533</v>
      </c>
      <c r="AM105" s="59">
        <f t="shared" si="59"/>
        <v>1091.2754956940887</v>
      </c>
      <c r="AN105" s="59">
        <f ca="1">AVERAGE(OFFSET($AM$3,0,0,'Données projet'!$E$10+1,1))-AVERAGE(OFFSET($H$3,0,0,'Données projet'!$E$10+1,1))</f>
        <v>379.12827535040157</v>
      </c>
      <c r="AO105" s="59">
        <f t="shared" si="90"/>
        <v>317.29813413796956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83.162950662944624</v>
      </c>
      <c r="AV105" s="21">
        <f>EXP(-LN(2)/25)*AV104+(1-EXP(-LN(2)/25))/(LN(2)/25)*Calculateur!AQ105*Calculateur!AS105*VLOOKUP('Données projet'!$B$10,Paramètres!$A$1:$I$89,3,0)*0.475*44/12</f>
        <v>6.049571939422516</v>
      </c>
      <c r="AW105" s="21">
        <f>EXP(-LN(2)/2)*AW104+(1-EXP(-LN(2)/2))/(LN(2)/2)*AQ105*AT105*VLOOKUP('Données projet'!$B$10,Paramètres!$A$1:$I$89,3,0)*0.475*44/12</f>
        <v>6.2650554338242902E-12</v>
      </c>
      <c r="AX105" s="21">
        <f t="shared" si="60"/>
        <v>89.212522602373411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4.5999999999999996</v>
      </c>
      <c r="BD105" s="12">
        <f>IF('Données projet'!$A$88&gt;35,BD104+BC105-BL104,IF(A105&lt;'Données projet'!$A$88,$BA$205^A105,IF(A105='Données projet'!$A$88,'Données projet'!$B$88,BD104+BC105-BL104)))</f>
        <v>270.19999999999993</v>
      </c>
      <c r="BE105" s="13">
        <f>BD105*VLOOKUP('Données projet'!$B$11,Paramètres!$A$1:$I$89,3,0)*VLOOKUP('Données projet'!$B$11,Paramètres!$A$1:$I$89,5,0)</f>
        <v>282.41303999999997</v>
      </c>
      <c r="BF105" s="13">
        <f t="shared" si="91"/>
        <v>67.476698644600575</v>
      </c>
      <c r="BG105" s="20">
        <f t="shared" si="61"/>
        <v>609.39129480601252</v>
      </c>
      <c r="BH105" s="59">
        <f t="shared" si="62"/>
        <v>902.7246281393459</v>
      </c>
      <c r="BI105" s="59">
        <f ca="1">AVERAGE(OFFSET($BH$3,0,0,'Données projet'!$E$11+1,1))-AVERAGE(OFFSET($H$3,0,0,'Données projet'!$E$11+1,1))</f>
        <v>319.97102066931524</v>
      </c>
      <c r="BJ105" s="59">
        <f t="shared" si="92"/>
        <v>190.48958701476397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79.779464478887419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79.779464478887419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152.40696942350093</v>
      </c>
      <c r="T106" s="59">
        <f t="shared" si="88"/>
        <v>368.99390365472789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795.00000000000068</v>
      </c>
      <c r="AJ106" s="13">
        <f>AI106*VLOOKUP('Données projet'!$B$10,Paramètres!$A$1:$I$89,3,0)*VLOOKUP('Données projet'!$B$10,Paramètres!$A$1:$I$89,5,0)</f>
        <v>372.06000000000029</v>
      </c>
      <c r="AK106" s="13">
        <f t="shared" si="89"/>
        <v>86.088609967897526</v>
      </c>
      <c r="AL106" s="20">
        <f t="shared" si="58"/>
        <v>797.94216236075533</v>
      </c>
      <c r="AM106" s="59">
        <f t="shared" si="59"/>
        <v>1091.2754956940887</v>
      </c>
      <c r="AN106" s="59">
        <f ca="1">AVERAGE(OFFSET($AM$3,0,0,'Données projet'!$E$10+1,1))-AVERAGE(OFFSET($H$3,0,0,'Données projet'!$E$10+1,1))</f>
        <v>379.12827535040157</v>
      </c>
      <c r="AO106" s="59">
        <f t="shared" si="90"/>
        <v>317.29813413796956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81.53217592483557</v>
      </c>
      <c r="AV106" s="21">
        <f>EXP(-LN(2)/25)*AV105+(1-EXP(-LN(2)/25))/(LN(2)/25)*Calculateur!AQ106*Calculateur!AS106*VLOOKUP('Données projet'!$B$10,Paramètres!$A$1:$I$89,3,0)*0.475*44/12</f>
        <v>5.8841460766058455</v>
      </c>
      <c r="AW106" s="21">
        <f>EXP(-LN(2)/2)*AW105+(1-EXP(-LN(2)/2))/(LN(2)/2)*AQ106*AT106*VLOOKUP('Données projet'!$B$10,Paramètres!$A$1:$I$89,3,0)*0.475*44/12</f>
        <v>4.4300631817667829E-12</v>
      </c>
      <c r="AX106" s="21">
        <f t="shared" si="60"/>
        <v>87.416322001445849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4.5999999999999996</v>
      </c>
      <c r="BD106" s="12">
        <f>IF('Données projet'!$A$88&gt;35,BD105+BC106-BL105,IF(A106&lt;'Données projet'!$A$88,$BA$205^A106,IF(A106='Données projet'!$A$88,'Données projet'!$B$88,BD105+BC106-BL105)))</f>
        <v>274.79999999999995</v>
      </c>
      <c r="BE106" s="13">
        <f>BD106*VLOOKUP('Données projet'!$B$11,Paramètres!$A$1:$I$89,3,0)*VLOOKUP('Données projet'!$B$11,Paramètres!$A$1:$I$89,5,0)</f>
        <v>287.22095999999999</v>
      </c>
      <c r="BF106" s="13">
        <f t="shared" si="91"/>
        <v>68.490736582079663</v>
      </c>
      <c r="BG106" s="20">
        <f t="shared" si="61"/>
        <v>619.53120488045533</v>
      </c>
      <c r="BH106" s="59">
        <f t="shared" si="62"/>
        <v>912.86453821378859</v>
      </c>
      <c r="BI106" s="59">
        <f ca="1">AVERAGE(OFFSET($BH$3,0,0,'Données projet'!$E$11+1,1))-AVERAGE(OFFSET($H$3,0,0,'Données projet'!$E$11+1,1))</f>
        <v>319.97102066931524</v>
      </c>
      <c r="BJ106" s="59">
        <f t="shared" si="92"/>
        <v>190.48958701476397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78.215037841124925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78.215037841124925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152.40696942350093</v>
      </c>
      <c r="T107" s="59">
        <f t="shared" si="88"/>
        <v>368.99390365472789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795.00000000000068</v>
      </c>
      <c r="AJ107" s="13">
        <f>AI107*VLOOKUP('Données projet'!$B$10,Paramètres!$A$1:$I$89,3,0)*VLOOKUP('Données projet'!$B$10,Paramètres!$A$1:$I$89,5,0)</f>
        <v>372.06000000000029</v>
      </c>
      <c r="AK107" s="13">
        <f t="shared" si="89"/>
        <v>86.088609967897526</v>
      </c>
      <c r="AL107" s="20">
        <f t="shared" si="58"/>
        <v>797.94216236075533</v>
      </c>
      <c r="AM107" s="59">
        <f t="shared" si="59"/>
        <v>1091.2754956940887</v>
      </c>
      <c r="AN107" s="59">
        <f ca="1">AVERAGE(OFFSET($AM$3,0,0,'Données projet'!$E$10+1,1))-AVERAGE(OFFSET($H$3,0,0,'Données projet'!$E$10+1,1))</f>
        <v>379.12827535040157</v>
      </c>
      <c r="AO107" s="59">
        <f t="shared" si="90"/>
        <v>317.29813413796956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79.933379684666463</v>
      </c>
      <c r="AV107" s="21">
        <f>EXP(-LN(2)/25)*AV106+(1-EXP(-LN(2)/25))/(LN(2)/25)*Calculateur!AQ107*Calculateur!AS107*VLOOKUP('Données projet'!$B$10,Paramètres!$A$1:$I$89,3,0)*0.475*44/12</f>
        <v>5.7232437927072652</v>
      </c>
      <c r="AW107" s="21">
        <f>EXP(-LN(2)/2)*AW106+(1-EXP(-LN(2)/2))/(LN(2)/2)*AQ107*AT107*VLOOKUP('Données projet'!$B$10,Paramètres!$A$1:$I$89,3,0)*0.475*44/12</f>
        <v>3.1325277169121451E-12</v>
      </c>
      <c r="AX107" s="21">
        <f t="shared" si="60"/>
        <v>85.656623477376854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4.5999999999999996</v>
      </c>
      <c r="BD107" s="12">
        <f>IF('Données projet'!$A$88&gt;35,BD106+BC107-BL106,IF(A107&lt;'Données projet'!$A$88,$BA$205^A107,IF(A107='Données projet'!$A$88,'Données projet'!$B$88,BD106+BC107-BL106)))</f>
        <v>279.39999999999998</v>
      </c>
      <c r="BE107" s="13">
        <f>BD107*VLOOKUP('Données projet'!$B$11,Paramètres!$A$1:$I$89,3,0)*VLOOKUP('Données projet'!$B$11,Paramètres!$A$1:$I$89,5,0)</f>
        <v>292.02888000000002</v>
      </c>
      <c r="BF107" s="13">
        <f t="shared" si="91"/>
        <v>69.502800521623641</v>
      </c>
      <c r="BG107" s="20">
        <f t="shared" si="61"/>
        <v>629.66767690849451</v>
      </c>
      <c r="BH107" s="59">
        <f t="shared" si="62"/>
        <v>923.00101024182777</v>
      </c>
      <c r="BI107" s="59">
        <f ca="1">AVERAGE(OFFSET($BH$3,0,0,'Données projet'!$E$11+1,1))-AVERAGE(OFFSET($H$3,0,0,'Données projet'!$E$11+1,1))</f>
        <v>319.97102066931524</v>
      </c>
      <c r="BJ107" s="59">
        <f t="shared" si="92"/>
        <v>190.48958701476397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76.68128865552292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76.68128865552292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152.40696942350093</v>
      </c>
      <c r="T108" s="59">
        <f t="shared" si="88"/>
        <v>368.99390365472789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795.00000000000068</v>
      </c>
      <c r="AJ108" s="13">
        <f>AI108*VLOOKUP('Données projet'!$B$10,Paramètres!$A$1:$I$89,3,0)*VLOOKUP('Données projet'!$B$10,Paramètres!$A$1:$I$89,5,0)</f>
        <v>372.06000000000029</v>
      </c>
      <c r="AK108" s="13">
        <f t="shared" si="89"/>
        <v>86.088609967897526</v>
      </c>
      <c r="AL108" s="20">
        <f t="shared" si="58"/>
        <v>797.94216236075533</v>
      </c>
      <c r="AM108" s="59">
        <f t="shared" si="59"/>
        <v>1091.2754956940887</v>
      </c>
      <c r="AN108" s="59">
        <f ca="1">AVERAGE(OFFSET($AM$3,0,0,'Données projet'!$E$10+1,1))-AVERAGE(OFFSET($H$3,0,0,'Données projet'!$E$10+1,1))</f>
        <v>379.12827535040157</v>
      </c>
      <c r="AO108" s="59">
        <f t="shared" si="90"/>
        <v>317.29813413796956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78.365934863597644</v>
      </c>
      <c r="AV108" s="21">
        <f>EXP(-LN(2)/25)*AV107+(1-EXP(-LN(2)/25))/(LN(2)/25)*Calculateur!AQ108*Calculateur!AS108*VLOOKUP('Données projet'!$B$10,Paramètres!$A$1:$I$89,3,0)*0.475*44/12</f>
        <v>5.5667413902233749</v>
      </c>
      <c r="AW108" s="21">
        <f>EXP(-LN(2)/2)*AW107+(1-EXP(-LN(2)/2))/(LN(2)/2)*AQ108*AT108*VLOOKUP('Données projet'!$B$10,Paramètres!$A$1:$I$89,3,0)*0.475*44/12</f>
        <v>2.2150315908833915E-12</v>
      </c>
      <c r="AX108" s="21">
        <f t="shared" si="60"/>
        <v>83.932676253823232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284</v>
      </c>
      <c r="BB108" s="12">
        <f>VLOOKUP(A108,'Données projet'!$A$87:$I$107,9,0)</f>
        <v>4.5999999999999996</v>
      </c>
      <c r="BC108" s="12">
        <f t="array" ref="BC108">INDEX(BB:BB,MIN(IF(ISNUMBER(BB108:BB304),ROW(BB108:BB304),"")))</f>
        <v>4.5999999999999996</v>
      </c>
      <c r="BD108" s="12">
        <f>IF('Données projet'!$A$88&gt;35,BD107+BC108-BL107,IF(A108&lt;'Données projet'!$A$88,$BA$205^A108,IF(A108='Données projet'!$A$88,'Données projet'!$B$88,BD107+BC108-BL107)))</f>
        <v>284</v>
      </c>
      <c r="BE108" s="13">
        <f>BD108*VLOOKUP('Données projet'!$B$11,Paramètres!$A$1:$I$89,3,0)*VLOOKUP('Données projet'!$B$11,Paramètres!$A$1:$I$89,5,0)</f>
        <v>296.83680000000004</v>
      </c>
      <c r="BF108" s="13">
        <f t="shared" si="91"/>
        <v>70.512926714351181</v>
      </c>
      <c r="BG108" s="20">
        <f t="shared" si="61"/>
        <v>639.80077402749509</v>
      </c>
      <c r="BH108" s="59">
        <f t="shared" si="62"/>
        <v>933.13410736082847</v>
      </c>
      <c r="BI108" s="59">
        <f ca="1">AVERAGE(OFFSET($BH$3,0,0,'Données projet'!$E$11+1,1))-AVERAGE(OFFSET($H$3,0,0,'Données projet'!$E$11+1,1))</f>
        <v>319.97102066931524</v>
      </c>
      <c r="BJ108" s="59">
        <f t="shared" si="92"/>
        <v>190.48958701476397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20</v>
      </c>
      <c r="BM108" s="16">
        <f>IF(ISNA(VLOOKUP(A108,'Données projet'!$A$87:$I$107,5,0)),0%,VLOOKUP(A108,'Données projet'!$A$87:$I$107,5,0)*VLOOKUP('Données projet'!$B$11,Paramètres!$A$1:$I$89,7,0))</f>
        <v>0.43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85.114379065871375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85.114379065871375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152.40696942350093</v>
      </c>
      <c r="T109" s="59">
        <f t="shared" si="88"/>
        <v>368.99390365472789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795.00000000000068</v>
      </c>
      <c r="AJ109" s="13">
        <f>AI109*VLOOKUP('Données projet'!$B$10,Paramètres!$A$1:$I$89,3,0)*VLOOKUP('Données projet'!$B$10,Paramètres!$A$1:$I$89,5,0)</f>
        <v>372.06000000000029</v>
      </c>
      <c r="AK109" s="13">
        <f t="shared" si="89"/>
        <v>86.088609967897526</v>
      </c>
      <c r="AL109" s="20">
        <f t="shared" si="58"/>
        <v>797.94216236075533</v>
      </c>
      <c r="AM109" s="59">
        <f t="shared" si="59"/>
        <v>1091.2754956940887</v>
      </c>
      <c r="AN109" s="59">
        <f ca="1">AVERAGE(OFFSET($AM$3,0,0,'Données projet'!$E$10+1,1))-AVERAGE(OFFSET($H$3,0,0,'Données projet'!$E$10+1,1))</f>
        <v>379.12827535040157</v>
      </c>
      <c r="AO109" s="59">
        <f t="shared" si="90"/>
        <v>317.29813413796956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76.829226679423044</v>
      </c>
      <c r="AV109" s="21">
        <f>EXP(-LN(2)/25)*AV108+(1-EXP(-LN(2)/25))/(LN(2)/25)*Calculateur!AQ109*Calculateur!AS109*VLOOKUP('Données projet'!$B$10,Paramètres!$A$1:$I$89,3,0)*0.475*44/12</f>
        <v>5.4145185541655101</v>
      </c>
      <c r="AW109" s="21">
        <f>EXP(-LN(2)/2)*AW108+(1-EXP(-LN(2)/2))/(LN(2)/2)*AQ109*AT109*VLOOKUP('Données projet'!$B$10,Paramètres!$A$1:$I$89,3,0)*0.475*44/12</f>
        <v>1.5662638584560726E-12</v>
      </c>
      <c r="AX109" s="21">
        <f t="shared" si="60"/>
        <v>82.243745233590118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4.2</v>
      </c>
      <c r="BD109" s="12">
        <f>IF('Données projet'!$A$88&gt;35,BD108+BC109-BL108,IF(A109&lt;'Données projet'!$A$88,$BA$205^A109,IF(A109='Données projet'!$A$88,'Données projet'!$B$88,BD108+BC109-BL108)))</f>
        <v>268.2</v>
      </c>
      <c r="BE109" s="13">
        <f>BD109*VLOOKUP('Données projet'!$B$11,Paramètres!$A$1:$I$89,3,0)*VLOOKUP('Données projet'!$B$11,Paramètres!$A$1:$I$89,5,0)</f>
        <v>280.32264000000004</v>
      </c>
      <c r="BF109" s="13">
        <f t="shared" si="91"/>
        <v>67.035187417304201</v>
      </c>
      <c r="BG109" s="20">
        <f t="shared" si="61"/>
        <v>604.98154941847156</v>
      </c>
      <c r="BH109" s="59">
        <f t="shared" si="62"/>
        <v>898.31488275180482</v>
      </c>
      <c r="BI109" s="59">
        <f ca="1">AVERAGE(OFFSET($BH$3,0,0,'Données projet'!$E$11+1,1))-AVERAGE(OFFSET($H$3,0,0,'Données projet'!$E$11+1,1))</f>
        <v>319.97102066931524</v>
      </c>
      <c r="BJ109" s="59">
        <f t="shared" si="92"/>
        <v>190.48958701476397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83.445338007034721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83.445338007034721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152.40696942350093</v>
      </c>
      <c r="T110" s="59">
        <f t="shared" si="88"/>
        <v>368.99390365472789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795.00000000000068</v>
      </c>
      <c r="AJ110" s="13">
        <f>AI110*VLOOKUP('Données projet'!$B$10,Paramètres!$A$1:$I$89,3,0)*VLOOKUP('Données projet'!$B$10,Paramètres!$A$1:$I$89,5,0)</f>
        <v>372.06000000000029</v>
      </c>
      <c r="AK110" s="13">
        <f t="shared" si="89"/>
        <v>86.088609967897526</v>
      </c>
      <c r="AL110" s="20">
        <f t="shared" si="58"/>
        <v>797.94216236075533</v>
      </c>
      <c r="AM110" s="59">
        <f t="shared" si="59"/>
        <v>1091.2754956940887</v>
      </c>
      <c r="AN110" s="59">
        <f ca="1">AVERAGE(OFFSET($AM$3,0,0,'Données projet'!$E$10+1,1))-AVERAGE(OFFSET($H$3,0,0,'Données projet'!$E$10+1,1))</f>
        <v>379.12827535040157</v>
      </c>
      <c r="AO110" s="59">
        <f t="shared" si="90"/>
        <v>317.29813413796956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75.322652405440678</v>
      </c>
      <c r="AV110" s="21">
        <f>EXP(-LN(2)/25)*AV109+(1-EXP(-LN(2)/25))/(LN(2)/25)*Calculateur!AQ110*Calculateur!AS110*VLOOKUP('Données projet'!$B$10,Paramètres!$A$1:$I$89,3,0)*0.475*44/12</f>
        <v>5.2664582595646987</v>
      </c>
      <c r="AW110" s="21">
        <f>EXP(-LN(2)/2)*AW109+(1-EXP(-LN(2)/2))/(LN(2)/2)*AQ110*AT110*VLOOKUP('Données projet'!$B$10,Paramètres!$A$1:$I$89,3,0)*0.475*44/12</f>
        <v>1.1075157954416957E-12</v>
      </c>
      <c r="AX110" s="21">
        <f t="shared" si="60"/>
        <v>80.589110665006487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4.2</v>
      </c>
      <c r="BD110" s="12">
        <f>IF('Données projet'!$A$88&gt;35,BD109+BC110-BL109,IF(A110&lt;'Données projet'!$A$88,$BA$205^A110,IF(A110='Données projet'!$A$88,'Données projet'!$B$88,BD109+BC110-BL109)))</f>
        <v>272.39999999999998</v>
      </c>
      <c r="BE110" s="13">
        <f>BD110*VLOOKUP('Données projet'!$B$11,Paramètres!$A$1:$I$89,3,0)*VLOOKUP('Données projet'!$B$11,Paramètres!$A$1:$I$89,5,0)</f>
        <v>284.71248000000003</v>
      </c>
      <c r="BF110" s="13">
        <f t="shared" si="91"/>
        <v>67.961921939195264</v>
      </c>
      <c r="BG110" s="20">
        <f t="shared" si="61"/>
        <v>614.24125004409836</v>
      </c>
      <c r="BH110" s="59">
        <f t="shared" si="62"/>
        <v>907.57458337743174</v>
      </c>
      <c r="BI110" s="59">
        <f ca="1">AVERAGE(OFFSET($BH$3,0,0,'Données projet'!$E$11+1,1))-AVERAGE(OFFSET($H$3,0,0,'Données projet'!$E$11+1,1))</f>
        <v>319.97102066931524</v>
      </c>
      <c r="BJ110" s="59">
        <f t="shared" si="92"/>
        <v>190.48958701476397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81.809025825347334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81.809025825347334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152.40696942350093</v>
      </c>
      <c r="T111" s="59">
        <f t="shared" si="88"/>
        <v>368.99390365472789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795.00000000000068</v>
      </c>
      <c r="AJ111" s="13">
        <f>AI111*VLOOKUP('Données projet'!$B$10,Paramètres!$A$1:$I$89,3,0)*VLOOKUP('Données projet'!$B$10,Paramètres!$A$1:$I$89,5,0)</f>
        <v>372.06000000000029</v>
      </c>
      <c r="AK111" s="13">
        <f t="shared" si="89"/>
        <v>86.088609967897526</v>
      </c>
      <c r="AL111" s="20">
        <f t="shared" si="58"/>
        <v>797.94216236075533</v>
      </c>
      <c r="AM111" s="59">
        <f t="shared" si="59"/>
        <v>1091.2754956940887</v>
      </c>
      <c r="AN111" s="59">
        <f ca="1">AVERAGE(OFFSET($AM$3,0,0,'Données projet'!$E$10+1,1))-AVERAGE(OFFSET($H$3,0,0,'Données projet'!$E$10+1,1))</f>
        <v>379.12827535040157</v>
      </c>
      <c r="AO111" s="59">
        <f t="shared" si="90"/>
        <v>317.29813413796956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73.845621134051527</v>
      </c>
      <c r="AV111" s="21">
        <f>EXP(-LN(2)/25)*AV110+(1-EXP(-LN(2)/25))/(LN(2)/25)*Calculateur!AQ111*Calculateur!AS111*VLOOKUP('Données projet'!$B$10,Paramètres!$A$1:$I$89,3,0)*0.475*44/12</f>
        <v>5.1224466815058989</v>
      </c>
      <c r="AW111" s="21">
        <f>EXP(-LN(2)/2)*AW110+(1-EXP(-LN(2)/2))/(LN(2)/2)*AQ111*AT111*VLOOKUP('Données projet'!$B$10,Paramètres!$A$1:$I$89,3,0)*0.475*44/12</f>
        <v>7.8313192922803628E-13</v>
      </c>
      <c r="AX111" s="21">
        <f t="shared" si="60"/>
        <v>78.9680678155582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4.2</v>
      </c>
      <c r="BD111" s="12">
        <f>IF('Données projet'!$A$88&gt;35,BD110+BC111-BL110,IF(A111&lt;'Données projet'!$A$88,$BA$205^A111,IF(A111='Données projet'!$A$88,'Données projet'!$B$88,BD110+BC111-BL110)))</f>
        <v>276.59999999999997</v>
      </c>
      <c r="BE111" s="13">
        <f>BD111*VLOOKUP('Données projet'!$B$11,Paramètres!$A$1:$I$89,3,0)*VLOOKUP('Données projet'!$B$11,Paramètres!$A$1:$I$89,5,0)</f>
        <v>289.10231999999996</v>
      </c>
      <c r="BF111" s="13">
        <f t="shared" si="91"/>
        <v>68.886994659979237</v>
      </c>
      <c r="BG111" s="20">
        <f t="shared" si="61"/>
        <v>623.49805636613041</v>
      </c>
      <c r="BH111" s="59">
        <f t="shared" si="62"/>
        <v>916.83138969946367</v>
      </c>
      <c r="BI111" s="59">
        <f ca="1">AVERAGE(OFFSET($BH$3,0,0,'Données projet'!$E$11+1,1))-AVERAGE(OFFSET($H$3,0,0,'Données projet'!$E$11+1,1))</f>
        <v>319.97102066931524</v>
      </c>
      <c r="BJ111" s="59">
        <f t="shared" si="92"/>
        <v>190.48958701476397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80.204800727490948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80.204800727490948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152.40696942350093</v>
      </c>
      <c r="T112" s="59">
        <f t="shared" si="88"/>
        <v>368.99390365472789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795.00000000000068</v>
      </c>
      <c r="AJ112" s="13">
        <f>AI112*VLOOKUP('Données projet'!$B$10,Paramètres!$A$1:$I$89,3,0)*VLOOKUP('Données projet'!$B$10,Paramètres!$A$1:$I$89,5,0)</f>
        <v>372.06000000000029</v>
      </c>
      <c r="AK112" s="13">
        <f t="shared" si="89"/>
        <v>86.088609967897526</v>
      </c>
      <c r="AL112" s="20">
        <f t="shared" si="58"/>
        <v>797.94216236075533</v>
      </c>
      <c r="AM112" s="59">
        <f t="shared" si="59"/>
        <v>1091.2754956940887</v>
      </c>
      <c r="AN112" s="59">
        <f ca="1">AVERAGE(OFFSET($AM$3,0,0,'Données projet'!$E$10+1,1))-AVERAGE(OFFSET($H$3,0,0,'Données projet'!$E$10+1,1))</f>
        <v>379.12827535040157</v>
      </c>
      <c r="AO112" s="59">
        <f t="shared" si="90"/>
        <v>317.29813413796956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72.397553544994196</v>
      </c>
      <c r="AV112" s="21">
        <f>EXP(-LN(2)/25)*AV111+(1-EXP(-LN(2)/25))/(LN(2)/25)*Calculateur!AQ112*Calculateur!AS112*VLOOKUP('Données projet'!$B$10,Paramètres!$A$1:$I$89,3,0)*0.475*44/12</f>
        <v>4.9823731076223563</v>
      </c>
      <c r="AW112" s="21">
        <f>EXP(-LN(2)/2)*AW111+(1-EXP(-LN(2)/2))/(LN(2)/2)*AQ112*AT112*VLOOKUP('Données projet'!$B$10,Paramètres!$A$1:$I$89,3,0)*0.475*44/12</f>
        <v>5.5375789772084787E-13</v>
      </c>
      <c r="AX112" s="21">
        <f t="shared" si="60"/>
        <v>77.379926652617101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4.2</v>
      </c>
      <c r="BD112" s="12">
        <f>IF('Données projet'!$A$88&gt;35,BD111+BC112-BL111,IF(A112&lt;'Données projet'!$A$88,$BA$205^A112,IF(A112='Données projet'!$A$88,'Données projet'!$B$88,BD111+BC112-BL111)))</f>
        <v>280.79999999999995</v>
      </c>
      <c r="BE112" s="13">
        <f>BD112*VLOOKUP('Données projet'!$B$11,Paramètres!$A$1:$I$89,3,0)*VLOOKUP('Données projet'!$B$11,Paramètres!$A$1:$I$89,5,0)</f>
        <v>293.49215999999996</v>
      </c>
      <c r="BF112" s="13">
        <f t="shared" si="91"/>
        <v>69.810433727546524</v>
      </c>
      <c r="BG112" s="20">
        <f t="shared" si="61"/>
        <v>632.75201740881005</v>
      </c>
      <c r="BH112" s="59">
        <f t="shared" si="62"/>
        <v>926.08535074214342</v>
      </c>
      <c r="BI112" s="59">
        <f ca="1">AVERAGE(OFFSET($BH$3,0,0,'Données projet'!$E$11+1,1))-AVERAGE(OFFSET($H$3,0,0,'Données projet'!$E$11+1,1))</f>
        <v>319.97102066931524</v>
      </c>
      <c r="BJ112" s="59">
        <f t="shared" si="92"/>
        <v>190.48958701476397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78.632033505322838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78.632033505322838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152.40696942350093</v>
      </c>
      <c r="T113" s="59">
        <f t="shared" si="88"/>
        <v>368.99390365472789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795.00000000000068</v>
      </c>
      <c r="AJ113" s="13">
        <f>AI113*VLOOKUP('Données projet'!$B$10,Paramètres!$A$1:$I$89,3,0)*VLOOKUP('Données projet'!$B$10,Paramètres!$A$1:$I$89,5,0)</f>
        <v>372.06000000000029</v>
      </c>
      <c r="AK113" s="13">
        <f t="shared" si="89"/>
        <v>86.088609967897526</v>
      </c>
      <c r="AL113" s="20">
        <f t="shared" si="58"/>
        <v>797.94216236075533</v>
      </c>
      <c r="AM113" s="59">
        <f t="shared" si="59"/>
        <v>1091.2754956940887</v>
      </c>
      <c r="AN113" s="59">
        <f ca="1">AVERAGE(OFFSET($AM$3,0,0,'Données projet'!$E$10+1,1))-AVERAGE(OFFSET($H$3,0,0,'Données projet'!$E$10+1,1))</f>
        <v>379.12827535040157</v>
      </c>
      <c r="AO113" s="59">
        <f t="shared" si="90"/>
        <v>317.29813413796956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70.977881678124263</v>
      </c>
      <c r="AV113" s="21">
        <f>EXP(-LN(2)/25)*AV112+(1-EXP(-LN(2)/25))/(LN(2)/25)*Calculateur!AQ113*Calculateur!AS113*VLOOKUP('Données projet'!$B$10,Paramètres!$A$1:$I$89,3,0)*0.475*44/12</f>
        <v>4.8461298529828083</v>
      </c>
      <c r="AW113" s="21">
        <f>EXP(-LN(2)/2)*AW112+(1-EXP(-LN(2)/2))/(LN(2)/2)*AQ113*AT113*VLOOKUP('Données projet'!$B$10,Paramètres!$A$1:$I$89,3,0)*0.475*44/12</f>
        <v>3.9156596461401814E-13</v>
      </c>
      <c r="AX113" s="21">
        <f t="shared" si="60"/>
        <v>75.824011531107473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285</v>
      </c>
      <c r="BB113" s="12">
        <f>VLOOKUP(A113,'Données projet'!$A$87:$I$107,9,0)</f>
        <v>4.2</v>
      </c>
      <c r="BC113" s="12">
        <f t="array" ref="BC113">INDEX(BB:BB,MIN(IF(ISNUMBER(BB113:BB309),ROW(BB113:BB309),"")))</f>
        <v>4.2</v>
      </c>
      <c r="BD113" s="12">
        <f>IF('Données projet'!$A$88&gt;35,BD112+BC113-BL112,IF(A113&lt;'Données projet'!$A$88,$BA$205^A113,IF(A113='Données projet'!$A$88,'Données projet'!$B$88,BD112+BC113-BL112)))</f>
        <v>284.99999999999994</v>
      </c>
      <c r="BE113" s="13">
        <f>BD113*VLOOKUP('Données projet'!$B$11,Paramètres!$A$1:$I$89,3,0)*VLOOKUP('Données projet'!$B$11,Paramètres!$A$1:$I$89,5,0)</f>
        <v>297.88199999999995</v>
      </c>
      <c r="BF113" s="13">
        <f t="shared" si="91"/>
        <v>70.732266399426535</v>
      </c>
      <c r="BG113" s="20">
        <f t="shared" si="61"/>
        <v>642.00318064566773</v>
      </c>
      <c r="BH113" s="59">
        <f t="shared" si="62"/>
        <v>935.33651397900098</v>
      </c>
      <c r="BI113" s="59">
        <f ca="1">AVERAGE(OFFSET($BH$3,0,0,'Données projet'!$E$11+1,1))-AVERAGE(OFFSET($H$3,0,0,'Données projet'!$E$11+1,1))</f>
        <v>319.97102066931524</v>
      </c>
      <c r="BJ113" s="59">
        <f t="shared" si="92"/>
        <v>190.48958701476397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19</v>
      </c>
      <c r="BM113" s="16">
        <f>IF(ISNA(VLOOKUP(A113,'Données projet'!$A$87:$I$107,5,0)),0%,VLOOKUP(A113,'Données projet'!$A$87:$I$107,5,0)*VLOOKUP('Données projet'!$B$11,Paramètres!$A$1:$I$89,7,0))</f>
        <v>0.43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86.530032813507802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86.530032813507802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152.40696942350093</v>
      </c>
      <c r="T114" s="59">
        <f t="shared" si="88"/>
        <v>368.99390365472789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795.00000000000068</v>
      </c>
      <c r="AJ114" s="13">
        <f>AI114*VLOOKUP('Données projet'!$B$10,Paramètres!$A$1:$I$89,3,0)*VLOOKUP('Données projet'!$B$10,Paramètres!$A$1:$I$89,5,0)</f>
        <v>372.06000000000029</v>
      </c>
      <c r="AK114" s="13">
        <f t="shared" si="89"/>
        <v>86.088609967897526</v>
      </c>
      <c r="AL114" s="20">
        <f t="shared" si="58"/>
        <v>797.94216236075533</v>
      </c>
      <c r="AM114" s="59">
        <f t="shared" si="59"/>
        <v>1091.2754956940887</v>
      </c>
      <c r="AN114" s="59">
        <f ca="1">AVERAGE(OFFSET($AM$3,0,0,'Données projet'!$E$10+1,1))-AVERAGE(OFFSET($H$3,0,0,'Données projet'!$E$10+1,1))</f>
        <v>379.12827535040157</v>
      </c>
      <c r="AO114" s="59">
        <f t="shared" si="90"/>
        <v>317.29813413796956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69.586048710649322</v>
      </c>
      <c r="AV114" s="21">
        <f>EXP(-LN(2)/25)*AV113+(1-EXP(-LN(2)/25))/(LN(2)/25)*Calculateur!AQ114*Calculateur!AS114*VLOOKUP('Données projet'!$B$10,Paramètres!$A$1:$I$89,3,0)*0.475*44/12</f>
        <v>4.7136121773061008</v>
      </c>
      <c r="AW114" s="21">
        <f>EXP(-LN(2)/2)*AW113+(1-EXP(-LN(2)/2))/(LN(2)/2)*AQ114*AT114*VLOOKUP('Données projet'!$B$10,Paramètres!$A$1:$I$89,3,0)*0.475*44/12</f>
        <v>2.7687894886042393E-13</v>
      </c>
      <c r="AX114" s="21">
        <f t="shared" si="60"/>
        <v>74.299660887955696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3.8</v>
      </c>
      <c r="BD114" s="12">
        <f>IF('Données projet'!$A$88&gt;35,BD113+BC114-BL113,IF(A114&lt;'Données projet'!$A$88,$BA$205^A114,IF(A114='Données projet'!$A$88,'Données projet'!$B$88,BD113+BC114-BL113)))</f>
        <v>269.79999999999995</v>
      </c>
      <c r="BE114" s="13">
        <f>BD114*VLOOKUP('Données projet'!$B$11,Paramètres!$A$1:$I$89,3,0)*VLOOKUP('Données projet'!$B$11,Paramètres!$A$1:$I$89,5,0)</f>
        <v>281.99495999999999</v>
      </c>
      <c r="BF114" s="13">
        <f t="shared" si="91"/>
        <v>67.388426918877201</v>
      </c>
      <c r="BG114" s="20">
        <f t="shared" si="61"/>
        <v>608.50939888371101</v>
      </c>
      <c r="BH114" s="59">
        <f t="shared" si="62"/>
        <v>901.84273221704439</v>
      </c>
      <c r="BI114" s="59">
        <f ca="1">AVERAGE(OFFSET($BH$3,0,0,'Données projet'!$E$11+1,1))-AVERAGE(OFFSET($H$3,0,0,'Données projet'!$E$11+1,1))</f>
        <v>319.97102066931524</v>
      </c>
      <c r="BJ114" s="59">
        <f t="shared" si="92"/>
        <v>190.48958701476397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84.833231648143524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84.833231648143524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152.40696942350093</v>
      </c>
      <c r="T115" s="59">
        <f t="shared" si="88"/>
        <v>368.99390365472789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795.00000000000068</v>
      </c>
      <c r="AJ115" s="13">
        <f>AI115*VLOOKUP('Données projet'!$B$10,Paramètres!$A$1:$I$89,3,0)*VLOOKUP('Données projet'!$B$10,Paramètres!$A$1:$I$89,5,0)</f>
        <v>372.06000000000029</v>
      </c>
      <c r="AK115" s="13">
        <f t="shared" si="89"/>
        <v>86.088609967897526</v>
      </c>
      <c r="AL115" s="20">
        <f t="shared" si="58"/>
        <v>797.94216236075533</v>
      </c>
      <c r="AM115" s="59">
        <f t="shared" si="59"/>
        <v>1091.2754956940887</v>
      </c>
      <c r="AN115" s="59">
        <f ca="1">AVERAGE(OFFSET($AM$3,0,0,'Données projet'!$E$10+1,1))-AVERAGE(OFFSET($H$3,0,0,'Données projet'!$E$10+1,1))</f>
        <v>379.12827535040157</v>
      </c>
      <c r="AO115" s="59">
        <f t="shared" si="90"/>
        <v>317.29813413796956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68.221508738732268</v>
      </c>
      <c r="AV115" s="21">
        <f>EXP(-LN(2)/25)*AV114+(1-EXP(-LN(2)/25))/(LN(2)/25)*Calculateur!AQ115*Calculateur!AS115*VLOOKUP('Données projet'!$B$10,Paramètres!$A$1:$I$89,3,0)*0.475*44/12</f>
        <v>4.5847182044395742</v>
      </c>
      <c r="AW115" s="21">
        <f>EXP(-LN(2)/2)*AW114+(1-EXP(-LN(2)/2))/(LN(2)/2)*AQ115*AT115*VLOOKUP('Données projet'!$B$10,Paramètres!$A$1:$I$89,3,0)*0.475*44/12</f>
        <v>1.9578298230700907E-13</v>
      </c>
      <c r="AX115" s="21">
        <f t="shared" si="60"/>
        <v>72.806226943172035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3.8</v>
      </c>
      <c r="BD115" s="12">
        <f>IF('Données projet'!$A$88&gt;35,BD114+BC115-BL114,IF(A115&lt;'Données projet'!$A$88,$BA$205^A115,IF(A115='Données projet'!$A$88,'Données projet'!$B$88,BD114+BC115-BL114)))</f>
        <v>273.59999999999997</v>
      </c>
      <c r="BE115" s="13">
        <f>BD115*VLOOKUP('Données projet'!$B$11,Paramètres!$A$1:$I$89,3,0)*VLOOKUP('Données projet'!$B$11,Paramètres!$A$1:$I$89,5,0)</f>
        <v>285.96672000000001</v>
      </c>
      <c r="BF115" s="13">
        <f t="shared" si="91"/>
        <v>68.226396754312859</v>
      </c>
      <c r="BG115" s="20">
        <f t="shared" si="61"/>
        <v>616.88634501376157</v>
      </c>
      <c r="BH115" s="59">
        <f t="shared" si="62"/>
        <v>910.21967834709494</v>
      </c>
      <c r="BI115" s="59">
        <f ca="1">AVERAGE(OFFSET($BH$3,0,0,'Données projet'!$E$11+1,1))-AVERAGE(OFFSET($H$3,0,0,'Données projet'!$E$11+1,1))</f>
        <v>319.97102066931524</v>
      </c>
      <c r="BJ115" s="59">
        <f t="shared" si="92"/>
        <v>190.48958701476397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83.169703718685525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83.169703718685525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152.40696942350093</v>
      </c>
      <c r="T116" s="59">
        <f t="shared" si="88"/>
        <v>368.99390365472789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795.00000000000068</v>
      </c>
      <c r="AJ116" s="13">
        <f>AI116*VLOOKUP('Données projet'!$B$10,Paramètres!$A$1:$I$89,3,0)*VLOOKUP('Données projet'!$B$10,Paramètres!$A$1:$I$89,5,0)</f>
        <v>372.06000000000029</v>
      </c>
      <c r="AK116" s="13">
        <f t="shared" si="89"/>
        <v>86.088609967897526</v>
      </c>
      <c r="AL116" s="20">
        <f t="shared" si="58"/>
        <v>797.94216236075533</v>
      </c>
      <c r="AM116" s="59">
        <f t="shared" si="59"/>
        <v>1091.2754956940887</v>
      </c>
      <c r="AN116" s="59">
        <f ca="1">AVERAGE(OFFSET($AM$3,0,0,'Données projet'!$E$10+1,1))-AVERAGE(OFFSET($H$3,0,0,'Données projet'!$E$10+1,1))</f>
        <v>379.12827535040157</v>
      </c>
      <c r="AO116" s="59">
        <f t="shared" si="90"/>
        <v>317.29813413796956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66.883726563377309</v>
      </c>
      <c r="AV116" s="21">
        <f>EXP(-LN(2)/25)*AV115+(1-EXP(-LN(2)/25))/(LN(2)/25)*Calculateur!AQ116*Calculateur!AS116*VLOOKUP('Données projet'!$B$10,Paramètres!$A$1:$I$89,3,0)*0.475*44/12</f>
        <v>4.4593488440393223</v>
      </c>
      <c r="AW116" s="21">
        <f>EXP(-LN(2)/2)*AW115+(1-EXP(-LN(2)/2))/(LN(2)/2)*AQ116*AT116*VLOOKUP('Données projet'!$B$10,Paramètres!$A$1:$I$89,3,0)*0.475*44/12</f>
        <v>1.3843947443021197E-13</v>
      </c>
      <c r="AX116" s="21">
        <f t="shared" si="60"/>
        <v>71.343075407416777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3.8</v>
      </c>
      <c r="BD116" s="12">
        <f>IF('Données projet'!$A$88&gt;35,BD115+BC116-BL115,IF(A116&lt;'Données projet'!$A$88,$BA$205^A116,IF(A116='Données projet'!$A$88,'Données projet'!$B$88,BD115+BC116-BL115)))</f>
        <v>277.39999999999998</v>
      </c>
      <c r="BE116" s="13">
        <f>BD116*VLOOKUP('Données projet'!$B$11,Paramètres!$A$1:$I$89,3,0)*VLOOKUP('Données projet'!$B$11,Paramètres!$A$1:$I$89,5,0)</f>
        <v>289.93848000000003</v>
      </c>
      <c r="BF116" s="13">
        <f t="shared" si="91"/>
        <v>69.063012920303009</v>
      </c>
      <c r="BG116" s="20">
        <f t="shared" si="61"/>
        <v>625.26093350286112</v>
      </c>
      <c r="BH116" s="59">
        <f t="shared" si="62"/>
        <v>918.59426683619449</v>
      </c>
      <c r="BI116" s="59">
        <f ca="1">AVERAGE(OFFSET($BH$3,0,0,'Données projet'!$E$11+1,1))-AVERAGE(OFFSET($H$3,0,0,'Données projet'!$E$11+1,1))</f>
        <v>319.97102066931524</v>
      </c>
      <c r="BJ116" s="59">
        <f t="shared" si="92"/>
        <v>190.48958701476397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81.538796557272349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81.538796557272349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152.40696942350093</v>
      </c>
      <c r="T117" s="59">
        <f t="shared" si="88"/>
        <v>368.99390365472789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795.00000000000068</v>
      </c>
      <c r="AJ117" s="13">
        <f>AI117*VLOOKUP('Données projet'!$B$10,Paramètres!$A$1:$I$89,3,0)*VLOOKUP('Données projet'!$B$10,Paramètres!$A$1:$I$89,5,0)</f>
        <v>372.06000000000029</v>
      </c>
      <c r="AK117" s="13">
        <f t="shared" si="89"/>
        <v>86.088609967897526</v>
      </c>
      <c r="AL117" s="20">
        <f t="shared" si="58"/>
        <v>797.94216236075533</v>
      </c>
      <c r="AM117" s="59">
        <f t="shared" si="59"/>
        <v>1091.2754956940887</v>
      </c>
      <c r="AN117" s="59">
        <f ca="1">AVERAGE(OFFSET($AM$3,0,0,'Données projet'!$E$10+1,1))-AVERAGE(OFFSET($H$3,0,0,'Données projet'!$E$10+1,1))</f>
        <v>379.12827535040157</v>
      </c>
      <c r="AO117" s="59">
        <f t="shared" si="90"/>
        <v>317.29813413796956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65.572177480514512</v>
      </c>
      <c r="AV117" s="21">
        <f>EXP(-LN(2)/25)*AV116+(1-EXP(-LN(2)/25))/(LN(2)/25)*Calculateur!AQ117*Calculateur!AS117*VLOOKUP('Données projet'!$B$10,Paramètres!$A$1:$I$89,3,0)*0.475*44/12</f>
        <v>4.3374077153921036</v>
      </c>
      <c r="AW117" s="21">
        <f>EXP(-LN(2)/2)*AW116+(1-EXP(-LN(2)/2))/(LN(2)/2)*AQ117*AT117*VLOOKUP('Données projet'!$B$10,Paramètres!$A$1:$I$89,3,0)*0.475*44/12</f>
        <v>9.7891491153504535E-14</v>
      </c>
      <c r="AX117" s="21">
        <f t="shared" si="60"/>
        <v>69.909585195906715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3.8</v>
      </c>
      <c r="BD117" s="12">
        <f>IF('Données projet'!$A$88&gt;35,BD116+BC117-BL116,IF(A117&lt;'Données projet'!$A$88,$BA$205^A117,IF(A117='Données projet'!$A$88,'Données projet'!$B$88,BD116+BC117-BL116)))</f>
        <v>281.2</v>
      </c>
      <c r="BE117" s="13">
        <f>BD117*VLOOKUP('Données projet'!$B$11,Paramètres!$A$1:$I$89,3,0)*VLOOKUP('Données projet'!$B$11,Paramètres!$A$1:$I$89,5,0)</f>
        <v>293.91023999999999</v>
      </c>
      <c r="BF117" s="13">
        <f t="shared" si="91"/>
        <v>69.898296103524501</v>
      </c>
      <c r="BG117" s="20">
        <f t="shared" si="61"/>
        <v>633.63320038030508</v>
      </c>
      <c r="BH117" s="59">
        <f t="shared" si="62"/>
        <v>926.96653371363846</v>
      </c>
      <c r="BI117" s="59">
        <f ca="1">AVERAGE(OFFSET($BH$3,0,0,'Données projet'!$E$11+1,1))-AVERAGE(OFFSET($H$3,0,0,'Données projet'!$E$11+1,1))</f>
        <v>319.97102066931524</v>
      </c>
      <c r="BJ117" s="59">
        <f t="shared" si="92"/>
        <v>190.48958701476397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79.939870490539334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79.939870490539334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152.40696942350093</v>
      </c>
      <c r="T118" s="59">
        <f t="shared" si="88"/>
        <v>368.99390365472789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795.00000000000068</v>
      </c>
      <c r="AJ118" s="13">
        <f>AI118*VLOOKUP('Données projet'!$B$10,Paramètres!$A$1:$I$89,3,0)*VLOOKUP('Données projet'!$B$10,Paramètres!$A$1:$I$89,5,0)</f>
        <v>372.06000000000029</v>
      </c>
      <c r="AK118" s="13">
        <f t="shared" si="89"/>
        <v>86.088609967897526</v>
      </c>
      <c r="AL118" s="20">
        <f t="shared" si="58"/>
        <v>797.94216236075533</v>
      </c>
      <c r="AM118" s="59">
        <f t="shared" si="59"/>
        <v>1091.2754956940887</v>
      </c>
      <c r="AN118" s="59">
        <f ca="1">AVERAGE(OFFSET($AM$3,0,0,'Données projet'!$E$10+1,1))-AVERAGE(OFFSET($H$3,0,0,'Données projet'!$E$10+1,1))</f>
        <v>379.12827535040157</v>
      </c>
      <c r="AO118" s="59">
        <f t="shared" si="90"/>
        <v>317.29813413796956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64.286347075200695</v>
      </c>
      <c r="AV118" s="21">
        <f>EXP(-LN(2)/25)*AV117+(1-EXP(-LN(2)/25))/(LN(2)/25)*Calculateur!AQ118*Calculateur!AS118*VLOOKUP('Données projet'!$B$10,Paramètres!$A$1:$I$89,3,0)*0.475*44/12</f>
        <v>4.218801073320348</v>
      </c>
      <c r="AW118" s="21">
        <f>EXP(-LN(2)/2)*AW117+(1-EXP(-LN(2)/2))/(LN(2)/2)*AQ118*AT118*VLOOKUP('Données projet'!$B$10,Paramètres!$A$1:$I$89,3,0)*0.475*44/12</f>
        <v>6.9219737215105983E-14</v>
      </c>
      <c r="AX118" s="21">
        <f t="shared" si="60"/>
        <v>68.505148148521116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285</v>
      </c>
      <c r="BB118" s="12">
        <f>VLOOKUP(A118,'Données projet'!$A$87:$I$107,9,0)</f>
        <v>3.8</v>
      </c>
      <c r="BC118" s="12">
        <f t="array" ref="BC118">INDEX(BB:BB,MIN(IF(ISNUMBER(BB118:BB314),ROW(BB118:BB314),"")))</f>
        <v>3.8</v>
      </c>
      <c r="BD118" s="12">
        <f>IF('Données projet'!$A$88&gt;35,BD117+BC118-BL117,IF(A118&lt;'Données projet'!$A$88,$BA$205^A118,IF(A118='Données projet'!$A$88,'Données projet'!$B$88,BD117+BC118-BL117)))</f>
        <v>285</v>
      </c>
      <c r="BE118" s="13">
        <f>BD118*VLOOKUP('Données projet'!$B$11,Paramètres!$A$1:$I$89,3,0)*VLOOKUP('Données projet'!$B$11,Paramètres!$A$1:$I$89,5,0)</f>
        <v>297.88200000000006</v>
      </c>
      <c r="BF118" s="13">
        <f t="shared" si="91"/>
        <v>70.732266399426535</v>
      </c>
      <c r="BG118" s="20">
        <f t="shared" si="61"/>
        <v>642.00318064566795</v>
      </c>
      <c r="BH118" s="59">
        <f t="shared" si="62"/>
        <v>935.33651397900121</v>
      </c>
      <c r="BI118" s="59">
        <f ca="1">AVERAGE(OFFSET($BH$3,0,0,'Données projet'!$E$11+1,1))-AVERAGE(OFFSET($H$3,0,0,'Données projet'!$E$11+1,1))</f>
        <v>319.97102066931524</v>
      </c>
      <c r="BJ118" s="59">
        <f t="shared" si="92"/>
        <v>190.48958701476397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18</v>
      </c>
      <c r="BM118" s="16">
        <f>IF(ISNA(VLOOKUP(A118,'Données projet'!$A$87:$I$107,5,0)),0%,VLOOKUP(A118,'Données projet'!$A$87:$I$107,5,0)*VLOOKUP('Données projet'!$B$11,Paramètres!$A$1:$I$89,7,0))</f>
        <v>0.43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87.315385727650224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87.315385727650224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152.40696942350093</v>
      </c>
      <c r="T119" s="59">
        <f t="shared" si="88"/>
        <v>368.99390365472789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795.00000000000068</v>
      </c>
      <c r="AJ119" s="13">
        <f>AI119*VLOOKUP('Données projet'!$B$10,Paramètres!$A$1:$I$89,3,0)*VLOOKUP('Données projet'!$B$10,Paramètres!$A$1:$I$89,5,0)</f>
        <v>372.06000000000029</v>
      </c>
      <c r="AK119" s="13">
        <f t="shared" si="89"/>
        <v>86.088609967897526</v>
      </c>
      <c r="AL119" s="20">
        <f t="shared" si="58"/>
        <v>797.94216236075533</v>
      </c>
      <c r="AM119" s="59">
        <f t="shared" si="59"/>
        <v>1091.2754956940887</v>
      </c>
      <c r="AN119" s="59">
        <f ca="1">AVERAGE(OFFSET($AM$3,0,0,'Données projet'!$E$10+1,1))-AVERAGE(OFFSET($H$3,0,0,'Données projet'!$E$10+1,1))</f>
        <v>379.12827535040157</v>
      </c>
      <c r="AO119" s="59">
        <f t="shared" si="90"/>
        <v>317.29813413796956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63.025731019855982</v>
      </c>
      <c r="AV119" s="21">
        <f>EXP(-LN(2)/25)*AV118+(1-EXP(-LN(2)/25))/(LN(2)/25)*Calculateur!AQ119*Calculateur!AS119*VLOOKUP('Données projet'!$B$10,Paramètres!$A$1:$I$89,3,0)*0.475*44/12</f>
        <v>4.103437736113297</v>
      </c>
      <c r="AW119" s="21">
        <f>EXP(-LN(2)/2)*AW118+(1-EXP(-LN(2)/2))/(LN(2)/2)*AQ119*AT119*VLOOKUP('Données projet'!$B$10,Paramètres!$A$1:$I$89,3,0)*0.475*44/12</f>
        <v>4.8945745576752267E-14</v>
      </c>
      <c r="AX119" s="21">
        <f t="shared" si="60"/>
        <v>67.129168755969317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267</v>
      </c>
      <c r="BE119" s="13">
        <f>BD119*VLOOKUP('Données projet'!$B$11,Paramètres!$A$1:$I$89,3,0)*VLOOKUP('Données projet'!$B$11,Paramètres!$A$1:$I$89,5,0)</f>
        <v>279.06840000000005</v>
      </c>
      <c r="BF119" s="13">
        <f t="shared" si="91"/>
        <v>66.770096850895143</v>
      </c>
      <c r="BG119" s="20">
        <f t="shared" si="61"/>
        <v>602.33538201530905</v>
      </c>
      <c r="BH119" s="59">
        <f t="shared" si="62"/>
        <v>895.66871534864231</v>
      </c>
      <c r="BI119" s="59">
        <f ca="1">AVERAGE(OFFSET($BH$3,0,0,'Données projet'!$E$11+1,1))-AVERAGE(OFFSET($H$3,0,0,'Données projet'!$E$11+1,1))</f>
        <v>319.97102066931524</v>
      </c>
      <c r="BJ119" s="59">
        <f t="shared" si="92"/>
        <v>190.48958701476397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85.603184270657593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85.603184270657593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152.40696942350093</v>
      </c>
      <c r="T120" s="59">
        <f t="shared" si="88"/>
        <v>368.99390365472789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795.00000000000068</v>
      </c>
      <c r="AJ120" s="13">
        <f>AI120*VLOOKUP('Données projet'!$B$10,Paramètres!$A$1:$I$89,3,0)*VLOOKUP('Données projet'!$B$10,Paramètres!$A$1:$I$89,5,0)</f>
        <v>372.06000000000029</v>
      </c>
      <c r="AK120" s="13">
        <f t="shared" si="89"/>
        <v>86.088609967897526</v>
      </c>
      <c r="AL120" s="20">
        <f t="shared" si="58"/>
        <v>797.94216236075533</v>
      </c>
      <c r="AM120" s="59">
        <f t="shared" si="59"/>
        <v>1091.2754956940887</v>
      </c>
      <c r="AN120" s="59">
        <f ca="1">AVERAGE(OFFSET($AM$3,0,0,'Données projet'!$E$10+1,1))-AVERAGE(OFFSET($H$3,0,0,'Données projet'!$E$10+1,1))</f>
        <v>379.12827535040157</v>
      </c>
      <c r="AO120" s="59">
        <f t="shared" si="90"/>
        <v>317.29813413796956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61.789834876456709</v>
      </c>
      <c r="AV120" s="21">
        <f>EXP(-LN(2)/25)*AV119+(1-EXP(-LN(2)/25))/(LN(2)/25)*Calculateur!AQ120*Calculateur!AS120*VLOOKUP('Données projet'!$B$10,Paramètres!$A$1:$I$89,3,0)*0.475*44/12</f>
        <v>3.9912290154288668</v>
      </c>
      <c r="AW120" s="21">
        <f>EXP(-LN(2)/2)*AW119+(1-EXP(-LN(2)/2))/(LN(2)/2)*AQ120*AT120*VLOOKUP('Données projet'!$B$10,Paramètres!$A$1:$I$89,3,0)*0.475*44/12</f>
        <v>3.4609868607552992E-14</v>
      </c>
      <c r="AX120" s="21">
        <f t="shared" si="60"/>
        <v>65.781063891885609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267</v>
      </c>
      <c r="BE120" s="13">
        <f>BD120*VLOOKUP('Données projet'!$B$11,Paramètres!$A$1:$I$89,3,0)*VLOOKUP('Données projet'!$B$11,Paramètres!$A$1:$I$89,5,0)</f>
        <v>279.06840000000005</v>
      </c>
      <c r="BF120" s="13">
        <f t="shared" si="91"/>
        <v>66.770096850895143</v>
      </c>
      <c r="BG120" s="20">
        <f t="shared" si="61"/>
        <v>602.33538201530905</v>
      </c>
      <c r="BH120" s="59">
        <f t="shared" si="62"/>
        <v>895.66871534864231</v>
      </c>
      <c r="BI120" s="59">
        <f ca="1">AVERAGE(OFFSET($BH$3,0,0,'Données projet'!$E$11+1,1))-AVERAGE(OFFSET($H$3,0,0,'Données projet'!$E$11+1,1))</f>
        <v>319.97102066931524</v>
      </c>
      <c r="BJ120" s="59">
        <f t="shared" si="92"/>
        <v>190.48958701476397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83.924558039896823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83.924558039896823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152.40696942350093</v>
      </c>
      <c r="T121" s="59">
        <f t="shared" si="88"/>
        <v>368.99390365472789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795.00000000000068</v>
      </c>
      <c r="AJ121" s="13">
        <f>AI121*VLOOKUP('Données projet'!$B$10,Paramètres!$A$1:$I$89,3,0)*VLOOKUP('Données projet'!$B$10,Paramètres!$A$1:$I$89,5,0)</f>
        <v>372.06000000000029</v>
      </c>
      <c r="AK121" s="13">
        <f t="shared" si="89"/>
        <v>86.088609967897526</v>
      </c>
      <c r="AL121" s="20">
        <f t="shared" si="58"/>
        <v>797.94216236075533</v>
      </c>
      <c r="AM121" s="59">
        <f t="shared" si="59"/>
        <v>1091.2754956940887</v>
      </c>
      <c r="AN121" s="59">
        <f ca="1">AVERAGE(OFFSET($AM$3,0,0,'Données projet'!$E$10+1,1))-AVERAGE(OFFSET($H$3,0,0,'Données projet'!$E$10+1,1))</f>
        <v>379.12827535040157</v>
      </c>
      <c r="AO121" s="59">
        <f t="shared" si="90"/>
        <v>317.29813413796956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60.578173902607276</v>
      </c>
      <c r="AV121" s="21">
        <f>EXP(-LN(2)/25)*AV120+(1-EXP(-LN(2)/25))/(LN(2)/25)*Calculateur!AQ121*Calculateur!AS121*VLOOKUP('Données projet'!$B$10,Paramètres!$A$1:$I$89,3,0)*0.475*44/12</f>
        <v>3.8820886481123527</v>
      </c>
      <c r="AW121" s="21">
        <f>EXP(-LN(2)/2)*AW120+(1-EXP(-LN(2)/2))/(LN(2)/2)*AQ121*AT121*VLOOKUP('Données projet'!$B$10,Paramètres!$A$1:$I$89,3,0)*0.475*44/12</f>
        <v>2.4472872788376134E-14</v>
      </c>
      <c r="AX121" s="21">
        <f t="shared" si="60"/>
        <v>64.460262550719662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267</v>
      </c>
      <c r="BE121" s="13">
        <f>BD121*VLOOKUP('Données projet'!$B$11,Paramètres!$A$1:$I$89,3,0)*VLOOKUP('Données projet'!$B$11,Paramètres!$A$1:$I$89,5,0)</f>
        <v>279.06840000000005</v>
      </c>
      <c r="BF121" s="13">
        <f t="shared" si="91"/>
        <v>66.770096850895143</v>
      </c>
      <c r="BG121" s="20">
        <f t="shared" si="61"/>
        <v>602.33538201530905</v>
      </c>
      <c r="BH121" s="59">
        <f t="shared" si="62"/>
        <v>895.66871534864231</v>
      </c>
      <c r="BI121" s="59">
        <f ca="1">AVERAGE(OFFSET($BH$3,0,0,'Données projet'!$E$11+1,1))-AVERAGE(OFFSET($H$3,0,0,'Données projet'!$E$11+1,1))</f>
        <v>319.97102066931524</v>
      </c>
      <c r="BJ121" s="59">
        <f t="shared" si="92"/>
        <v>190.48958701476397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82.278848645660361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82.278848645660361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152.40696942350093</v>
      </c>
      <c r="T122" s="59">
        <f t="shared" si="88"/>
        <v>368.99390365472789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795.00000000000068</v>
      </c>
      <c r="AJ122" s="13">
        <f>AI122*VLOOKUP('Données projet'!$B$10,Paramètres!$A$1:$I$89,3,0)*VLOOKUP('Données projet'!$B$10,Paramètres!$A$1:$I$89,5,0)</f>
        <v>372.06000000000029</v>
      </c>
      <c r="AK122" s="13">
        <f t="shared" si="89"/>
        <v>86.088609967897526</v>
      </c>
      <c r="AL122" s="20">
        <f t="shared" si="58"/>
        <v>797.94216236075533</v>
      </c>
      <c r="AM122" s="59">
        <f t="shared" si="59"/>
        <v>1091.2754956940887</v>
      </c>
      <c r="AN122" s="59">
        <f ca="1">AVERAGE(OFFSET($AM$3,0,0,'Données projet'!$E$10+1,1))-AVERAGE(OFFSET($H$3,0,0,'Données projet'!$E$10+1,1))</f>
        <v>379.12827535040157</v>
      </c>
      <c r="AO122" s="59">
        <f t="shared" si="90"/>
        <v>317.29813413796956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59.390272861414815</v>
      </c>
      <c r="AV122" s="21">
        <f>EXP(-LN(2)/25)*AV121+(1-EXP(-LN(2)/25))/(LN(2)/25)*Calculateur!AQ122*Calculateur!AS122*VLOOKUP('Données projet'!$B$10,Paramètres!$A$1:$I$89,3,0)*0.475*44/12</f>
        <v>3.7759327298795511</v>
      </c>
      <c r="AW122" s="21">
        <f>EXP(-LN(2)/2)*AW121+(1-EXP(-LN(2)/2))/(LN(2)/2)*AQ122*AT122*VLOOKUP('Données projet'!$B$10,Paramètres!$A$1:$I$89,3,0)*0.475*44/12</f>
        <v>1.7304934303776496E-14</v>
      </c>
      <c r="AX122" s="21">
        <f t="shared" si="60"/>
        <v>63.166205591294379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267</v>
      </c>
      <c r="BE122" s="13">
        <f>BD122*VLOOKUP('Données projet'!$B$11,Paramètres!$A$1:$I$89,3,0)*VLOOKUP('Données projet'!$B$11,Paramètres!$A$1:$I$89,5,0)</f>
        <v>279.06840000000005</v>
      </c>
      <c r="BF122" s="13">
        <f t="shared" si="91"/>
        <v>66.770096850895143</v>
      </c>
      <c r="BG122" s="20">
        <f t="shared" si="61"/>
        <v>602.33538201530905</v>
      </c>
      <c r="BH122" s="59">
        <f t="shared" si="62"/>
        <v>895.66871534864231</v>
      </c>
      <c r="BI122" s="59">
        <f ca="1">AVERAGE(OFFSET($BH$3,0,0,'Données projet'!$E$11+1,1))-AVERAGE(OFFSET($H$3,0,0,'Données projet'!$E$11+1,1))</f>
        <v>319.97102066931524</v>
      </c>
      <c r="BJ122" s="59">
        <f t="shared" si="92"/>
        <v>190.48958701476397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80.665410608861265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80.665410608861265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152.40696942350093</v>
      </c>
      <c r="T123" s="59">
        <f t="shared" si="88"/>
        <v>368.99390365472789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795.00000000000068</v>
      </c>
      <c r="AJ123" s="13">
        <f>AI123*VLOOKUP('Données projet'!$B$10,Paramètres!$A$1:$I$89,3,0)*VLOOKUP('Données projet'!$B$10,Paramètres!$A$1:$I$89,5,0)</f>
        <v>372.06000000000029</v>
      </c>
      <c r="AK123" s="13">
        <f t="shared" si="89"/>
        <v>86.088609967897526</v>
      </c>
      <c r="AL123" s="20">
        <f t="shared" si="58"/>
        <v>797.94216236075533</v>
      </c>
      <c r="AM123" s="59">
        <f t="shared" si="59"/>
        <v>1091.2754956940887</v>
      </c>
      <c r="AN123" s="59">
        <f ca="1">AVERAGE(OFFSET($AM$3,0,0,'Données projet'!$E$10+1,1))-AVERAGE(OFFSET($H$3,0,0,'Données projet'!$E$10+1,1))</f>
        <v>379.12827535040157</v>
      </c>
      <c r="AO123" s="59">
        <f t="shared" si="90"/>
        <v>317.29813413796956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58.225665835092045</v>
      </c>
      <c r="AV123" s="21">
        <f>EXP(-LN(2)/25)*AV122+(1-EXP(-LN(2)/25))/(LN(2)/25)*Calculateur!AQ123*Calculateur!AS123*VLOOKUP('Données projet'!$B$10,Paramètres!$A$1:$I$89,3,0)*0.475*44/12</f>
        <v>3.6726796508133224</v>
      </c>
      <c r="AW123" s="21">
        <f>EXP(-LN(2)/2)*AW122+(1-EXP(-LN(2)/2))/(LN(2)/2)*AQ123*AT123*VLOOKUP('Données projet'!$B$10,Paramètres!$A$1:$I$89,3,0)*0.475*44/12</f>
        <v>1.2236436394188067E-14</v>
      </c>
      <c r="AX123" s="21">
        <f t="shared" si="60"/>
        <v>61.898345485905381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267</v>
      </c>
      <c r="BE123" s="13">
        <f>BD123*VLOOKUP('Données projet'!$B$11,Paramètres!$A$1:$I$89,3,0)*VLOOKUP('Données projet'!$B$11,Paramètres!$A$1:$I$89,5,0)</f>
        <v>279.06840000000005</v>
      </c>
      <c r="BF123" s="13">
        <f t="shared" si="91"/>
        <v>66.770096850895143</v>
      </c>
      <c r="BG123" s="20">
        <f t="shared" si="61"/>
        <v>602.33538201530905</v>
      </c>
      <c r="BH123" s="59">
        <f t="shared" si="62"/>
        <v>895.66871534864231</v>
      </c>
      <c r="BI123" s="59">
        <f ca="1">AVERAGE(OFFSET($BH$3,0,0,'Données projet'!$E$11+1,1))-AVERAGE(OFFSET($H$3,0,0,'Données projet'!$E$11+1,1))</f>
        <v>319.97102066931524</v>
      </c>
      <c r="BJ123" s="59">
        <f t="shared" si="92"/>
        <v>190.48958701476397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79.083611107863774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79.083611107863774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152.40696942350093</v>
      </c>
      <c r="T124" s="59">
        <f t="shared" si="88"/>
        <v>368.99390365472789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795.00000000000068</v>
      </c>
      <c r="AJ124" s="13">
        <f>AI124*VLOOKUP('Données projet'!$B$10,Paramètres!$A$1:$I$89,3,0)*VLOOKUP('Données projet'!$B$10,Paramètres!$A$1:$I$89,5,0)</f>
        <v>372.06000000000029</v>
      </c>
      <c r="AK124" s="13">
        <f t="shared" si="89"/>
        <v>86.088609967897526</v>
      </c>
      <c r="AL124" s="20">
        <f t="shared" si="58"/>
        <v>797.94216236075533</v>
      </c>
      <c r="AM124" s="59">
        <f t="shared" si="59"/>
        <v>1091.2754956940887</v>
      </c>
      <c r="AN124" s="59">
        <f ca="1">AVERAGE(OFFSET($AM$3,0,0,'Données projet'!$E$10+1,1))-AVERAGE(OFFSET($H$3,0,0,'Données projet'!$E$10+1,1))</f>
        <v>379.12827535040157</v>
      </c>
      <c r="AO124" s="59">
        <f t="shared" si="90"/>
        <v>317.29813413796956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57.083896042215315</v>
      </c>
      <c r="AV124" s="21">
        <f>EXP(-LN(2)/25)*AV123+(1-EXP(-LN(2)/25))/(LN(2)/25)*Calculateur!AQ124*Calculateur!AS124*VLOOKUP('Données projet'!$B$10,Paramètres!$A$1:$I$89,3,0)*0.475*44/12</f>
        <v>3.5722500326240034</v>
      </c>
      <c r="AW124" s="21">
        <f>EXP(-LN(2)/2)*AW123+(1-EXP(-LN(2)/2))/(LN(2)/2)*AQ124*AT124*VLOOKUP('Données projet'!$B$10,Paramètres!$A$1:$I$89,3,0)*0.475*44/12</f>
        <v>8.6524671518882479E-15</v>
      </c>
      <c r="AX124" s="21">
        <f t="shared" si="60"/>
        <v>60.656146074839327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267</v>
      </c>
      <c r="BE124" s="13">
        <f>BD124*VLOOKUP('Données projet'!$B$11,Paramètres!$A$1:$I$89,3,0)*VLOOKUP('Données projet'!$B$11,Paramètres!$A$1:$I$89,5,0)</f>
        <v>279.06840000000005</v>
      </c>
      <c r="BF124" s="13">
        <f t="shared" si="91"/>
        <v>66.770096850895143</v>
      </c>
      <c r="BG124" s="20">
        <f t="shared" si="61"/>
        <v>602.33538201530905</v>
      </c>
      <c r="BH124" s="59">
        <f t="shared" si="62"/>
        <v>895.66871534864231</v>
      </c>
      <c r="BI124" s="59">
        <f ca="1">AVERAGE(OFFSET($BH$3,0,0,'Données projet'!$E$11+1,1))-AVERAGE(OFFSET($H$3,0,0,'Données projet'!$E$11+1,1))</f>
        <v>319.97102066931524</v>
      </c>
      <c r="BJ124" s="59">
        <f t="shared" si="92"/>
        <v>190.48958701476397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77.532829730278408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77.532829730278408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152.40696942350093</v>
      </c>
      <c r="T125" s="59">
        <f t="shared" si="88"/>
        <v>368.99390365472789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795.00000000000068</v>
      </c>
      <c r="AJ125" s="13">
        <f>AI125*VLOOKUP('Données projet'!$B$10,Paramètres!$A$1:$I$89,3,0)*VLOOKUP('Données projet'!$B$10,Paramètres!$A$1:$I$89,5,0)</f>
        <v>372.06000000000029</v>
      </c>
      <c r="AK125" s="13">
        <f t="shared" si="89"/>
        <v>86.088609967897526</v>
      </c>
      <c r="AL125" s="20">
        <f t="shared" si="58"/>
        <v>797.94216236075533</v>
      </c>
      <c r="AM125" s="59">
        <f t="shared" si="59"/>
        <v>1091.2754956940887</v>
      </c>
      <c r="AN125" s="59">
        <f ca="1">AVERAGE(OFFSET($AM$3,0,0,'Données projet'!$E$10+1,1))-AVERAGE(OFFSET($H$3,0,0,'Données projet'!$E$10+1,1))</f>
        <v>379.12827535040157</v>
      </c>
      <c r="AO125" s="59">
        <f t="shared" si="90"/>
        <v>317.29813413796956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55.964515658566093</v>
      </c>
      <c r="AV125" s="21">
        <f>EXP(-LN(2)/25)*AV124+(1-EXP(-LN(2)/25))/(LN(2)/25)*Calculateur!AQ125*Calculateur!AS125*VLOOKUP('Données projet'!$B$10,Paramètres!$A$1:$I$89,3,0)*0.475*44/12</f>
        <v>3.4745666676254352</v>
      </c>
      <c r="AW125" s="21">
        <f>EXP(-LN(2)/2)*AW124+(1-EXP(-LN(2)/2))/(LN(2)/2)*AQ125*AT125*VLOOKUP('Données projet'!$B$10,Paramètres!$A$1:$I$89,3,0)*0.475*44/12</f>
        <v>6.1182181970940334E-15</v>
      </c>
      <c r="AX125" s="21">
        <f t="shared" si="60"/>
        <v>59.439082326191532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267</v>
      </c>
      <c r="BE125" s="13">
        <f>BD125*VLOOKUP('Données projet'!$B$11,Paramètres!$A$1:$I$89,3,0)*VLOOKUP('Données projet'!$B$11,Paramètres!$A$1:$I$89,5,0)</f>
        <v>279.06840000000005</v>
      </c>
      <c r="BF125" s="13">
        <f t="shared" si="91"/>
        <v>66.770096850895143</v>
      </c>
      <c r="BG125" s="20">
        <f t="shared" si="61"/>
        <v>602.33538201530905</v>
      </c>
      <c r="BH125" s="59">
        <f t="shared" si="62"/>
        <v>895.66871534864231</v>
      </c>
      <c r="BI125" s="59">
        <f ca="1">AVERAGE(OFFSET($BH$3,0,0,'Données projet'!$E$11+1,1))-AVERAGE(OFFSET($H$3,0,0,'Données projet'!$E$11+1,1))</f>
        <v>319.97102066931524</v>
      </c>
      <c r="BJ125" s="59">
        <f t="shared" si="92"/>
        <v>190.48958701476397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76.012458229624244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76.012458229624244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152.40696942350093</v>
      </c>
      <c r="T126" s="59">
        <f t="shared" si="88"/>
        <v>368.99390365472789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795.00000000000068</v>
      </c>
      <c r="AJ126" s="13">
        <f>AI126*VLOOKUP('Données projet'!$B$10,Paramètres!$A$1:$I$89,3,0)*VLOOKUP('Données projet'!$B$10,Paramètres!$A$1:$I$89,5,0)</f>
        <v>372.06000000000029</v>
      </c>
      <c r="AK126" s="13">
        <f t="shared" si="89"/>
        <v>86.088609967897526</v>
      </c>
      <c r="AL126" s="20">
        <f t="shared" si="58"/>
        <v>797.94216236075533</v>
      </c>
      <c r="AM126" s="59">
        <f t="shared" si="59"/>
        <v>1091.2754956940887</v>
      </c>
      <c r="AN126" s="59">
        <f ca="1">AVERAGE(OFFSET($AM$3,0,0,'Données projet'!$E$10+1,1))-AVERAGE(OFFSET($H$3,0,0,'Données projet'!$E$10+1,1))</f>
        <v>379.12827535040157</v>
      </c>
      <c r="AO126" s="59">
        <f t="shared" si="90"/>
        <v>317.29813413796956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54.867085641485616</v>
      </c>
      <c r="AV126" s="21">
        <f>EXP(-LN(2)/25)*AV125+(1-EXP(-LN(2)/25))/(LN(2)/25)*Calculateur!AQ126*Calculateur!AS126*VLOOKUP('Données projet'!$B$10,Paramètres!$A$1:$I$89,3,0)*0.475*44/12</f>
        <v>3.379554459379698</v>
      </c>
      <c r="AW126" s="21">
        <f>EXP(-LN(2)/2)*AW125+(1-EXP(-LN(2)/2))/(LN(2)/2)*AQ126*AT126*VLOOKUP('Données projet'!$B$10,Paramètres!$A$1:$I$89,3,0)*0.475*44/12</f>
        <v>4.326233575944124E-15</v>
      </c>
      <c r="AX126" s="21">
        <f t="shared" si="60"/>
        <v>58.246640100865321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267</v>
      </c>
      <c r="BE126" s="13">
        <f>BD126*VLOOKUP('Données projet'!$B$11,Paramètres!$A$1:$I$89,3,0)*VLOOKUP('Données projet'!$B$11,Paramètres!$A$1:$I$89,5,0)</f>
        <v>279.06840000000005</v>
      </c>
      <c r="BF126" s="13">
        <f t="shared" si="91"/>
        <v>66.770096850895143</v>
      </c>
      <c r="BG126" s="20">
        <f t="shared" si="61"/>
        <v>602.33538201530905</v>
      </c>
      <c r="BH126" s="59">
        <f t="shared" si="62"/>
        <v>895.66871534864231</v>
      </c>
      <c r="BI126" s="59">
        <f ca="1">AVERAGE(OFFSET($BH$3,0,0,'Données projet'!$E$11+1,1))-AVERAGE(OFFSET($H$3,0,0,'Données projet'!$E$11+1,1))</f>
        <v>319.97102066931524</v>
      </c>
      <c r="BJ126" s="59">
        <f t="shared" si="92"/>
        <v>190.48958701476397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74.521900286762857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74.521900286762857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152.40696942350093</v>
      </c>
      <c r="T127" s="59">
        <f t="shared" si="88"/>
        <v>368.99390365472789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795.00000000000068</v>
      </c>
      <c r="AJ127" s="13">
        <f>AI127*VLOOKUP('Données projet'!$B$10,Paramètres!$A$1:$I$89,3,0)*VLOOKUP('Données projet'!$B$10,Paramètres!$A$1:$I$89,5,0)</f>
        <v>372.06000000000029</v>
      </c>
      <c r="AK127" s="13">
        <f t="shared" si="89"/>
        <v>86.088609967897526</v>
      </c>
      <c r="AL127" s="20">
        <f t="shared" si="58"/>
        <v>797.94216236075533</v>
      </c>
      <c r="AM127" s="59">
        <f t="shared" si="59"/>
        <v>1091.2754956940887</v>
      </c>
      <c r="AN127" s="59">
        <f ca="1">AVERAGE(OFFSET($AM$3,0,0,'Données projet'!$E$10+1,1))-AVERAGE(OFFSET($H$3,0,0,'Données projet'!$E$10+1,1))</f>
        <v>379.12827535040157</v>
      </c>
      <c r="AO127" s="59">
        <f t="shared" si="90"/>
        <v>317.29813413796956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53.791175557673867</v>
      </c>
      <c r="AV127" s="21">
        <f>EXP(-LN(2)/25)*AV126+(1-EXP(-LN(2)/25))/(LN(2)/25)*Calculateur!AQ127*Calculateur!AS127*VLOOKUP('Données projet'!$B$10,Paramètres!$A$1:$I$89,3,0)*0.475*44/12</f>
        <v>3.2871403649649151</v>
      </c>
      <c r="AW127" s="21">
        <f>EXP(-LN(2)/2)*AW126+(1-EXP(-LN(2)/2))/(LN(2)/2)*AQ127*AT127*VLOOKUP('Données projet'!$B$10,Paramètres!$A$1:$I$89,3,0)*0.475*44/12</f>
        <v>3.0591090985470167E-15</v>
      </c>
      <c r="AX127" s="21">
        <f t="shared" si="60"/>
        <v>57.07831592263878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267</v>
      </c>
      <c r="BE127" s="13">
        <f>BD127*VLOOKUP('Données projet'!$B$11,Paramètres!$A$1:$I$89,3,0)*VLOOKUP('Données projet'!$B$11,Paramètres!$A$1:$I$89,5,0)</f>
        <v>279.06840000000005</v>
      </c>
      <c r="BF127" s="13">
        <f t="shared" si="91"/>
        <v>66.770096850895143</v>
      </c>
      <c r="BG127" s="20">
        <f t="shared" si="61"/>
        <v>602.33538201530905</v>
      </c>
      <c r="BH127" s="59">
        <f t="shared" si="62"/>
        <v>895.66871534864231</v>
      </c>
      <c r="BI127" s="59">
        <f ca="1">AVERAGE(OFFSET($BH$3,0,0,'Données projet'!$E$11+1,1))-AVERAGE(OFFSET($H$3,0,0,'Données projet'!$E$11+1,1))</f>
        <v>319.97102066931524</v>
      </c>
      <c r="BJ127" s="59">
        <f t="shared" si="92"/>
        <v>190.48958701476397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73.060571276010421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73.060571276010421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152.40696942350093</v>
      </c>
      <c r="T128" s="59">
        <f t="shared" si="88"/>
        <v>368.99390365472789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795.00000000000068</v>
      </c>
      <c r="AJ128" s="13">
        <f>AI128*VLOOKUP('Données projet'!$B$10,Paramètres!$A$1:$I$89,3,0)*VLOOKUP('Données projet'!$B$10,Paramètres!$A$1:$I$89,5,0)</f>
        <v>372.06000000000029</v>
      </c>
      <c r="AK128" s="13">
        <f t="shared" si="89"/>
        <v>86.088609967897526</v>
      </c>
      <c r="AL128" s="20">
        <f t="shared" si="58"/>
        <v>797.94216236075533</v>
      </c>
      <c r="AM128" s="59">
        <f t="shared" si="59"/>
        <v>1091.2754956940887</v>
      </c>
      <c r="AN128" s="59">
        <f ca="1">AVERAGE(OFFSET($AM$3,0,0,'Données projet'!$E$10+1,1))-AVERAGE(OFFSET($H$3,0,0,'Données projet'!$E$10+1,1))</f>
        <v>379.12827535040157</v>
      </c>
      <c r="AO128" s="59">
        <f t="shared" si="90"/>
        <v>317.29813413796956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52.736363414365314</v>
      </c>
      <c r="AV128" s="21">
        <f>EXP(-LN(2)/25)*AV127+(1-EXP(-LN(2)/25))/(LN(2)/25)*Calculateur!AQ128*Calculateur!AS128*VLOOKUP('Données projet'!$B$10,Paramètres!$A$1:$I$89,3,0)*0.475*44/12</f>
        <v>3.1972533388217506</v>
      </c>
      <c r="AW128" s="21">
        <f>EXP(-LN(2)/2)*AW127+(1-EXP(-LN(2)/2))/(LN(2)/2)*AQ128*AT128*VLOOKUP('Données projet'!$B$10,Paramètres!$A$1:$I$89,3,0)*0.475*44/12</f>
        <v>2.163116787972062E-15</v>
      </c>
      <c r="AX128" s="21">
        <f t="shared" si="60"/>
        <v>55.933616753187067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267</v>
      </c>
      <c r="BE128" s="13">
        <f>BD128*VLOOKUP('Données projet'!$B$11,Paramètres!$A$1:$I$89,3,0)*VLOOKUP('Données projet'!$B$11,Paramètres!$A$1:$I$89,5,0)</f>
        <v>279.06840000000005</v>
      </c>
      <c r="BF128" s="13">
        <f t="shared" si="91"/>
        <v>66.770096850895143</v>
      </c>
      <c r="BG128" s="20">
        <f t="shared" si="61"/>
        <v>602.33538201530905</v>
      </c>
      <c r="BH128" s="59">
        <f t="shared" si="62"/>
        <v>895.66871534864231</v>
      </c>
      <c r="BI128" s="59">
        <f ca="1">AVERAGE(OFFSET($BH$3,0,0,'Données projet'!$E$11+1,1))-AVERAGE(OFFSET($H$3,0,0,'Données projet'!$E$11+1,1))</f>
        <v>319.97102066931524</v>
      </c>
      <c r="BJ128" s="59">
        <f t="shared" si="92"/>
        <v>190.48958701476397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71.627898035836154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71.627898035836154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152.40696942350093</v>
      </c>
      <c r="T129" s="59">
        <f t="shared" si="88"/>
        <v>368.99390365472789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795.00000000000068</v>
      </c>
      <c r="AJ129" s="13">
        <f>AI129*VLOOKUP('Données projet'!$B$10,Paramètres!$A$1:$I$89,3,0)*VLOOKUP('Données projet'!$B$10,Paramètres!$A$1:$I$89,5,0)</f>
        <v>372.06000000000029</v>
      </c>
      <c r="AK129" s="13">
        <f t="shared" si="89"/>
        <v>86.088609967897526</v>
      </c>
      <c r="AL129" s="20">
        <f t="shared" si="58"/>
        <v>797.94216236075533</v>
      </c>
      <c r="AM129" s="59">
        <f t="shared" si="59"/>
        <v>1091.2754956940887</v>
      </c>
      <c r="AN129" s="59">
        <f ca="1">AVERAGE(OFFSET($AM$3,0,0,'Données projet'!$E$10+1,1))-AVERAGE(OFFSET($H$3,0,0,'Données projet'!$E$10+1,1))</f>
        <v>379.12827535040157</v>
      </c>
      <c r="AO129" s="59">
        <f t="shared" si="90"/>
        <v>317.29813413796956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51.702235493815166</v>
      </c>
      <c r="AV129" s="21">
        <f>EXP(-LN(2)/25)*AV128+(1-EXP(-LN(2)/25))/(LN(2)/25)*Calculateur!AQ129*Calculateur!AS129*VLOOKUP('Données projet'!$B$10,Paramètres!$A$1:$I$89,3,0)*0.475*44/12</f>
        <v>3.1098242781354242</v>
      </c>
      <c r="AW129" s="21">
        <f>EXP(-LN(2)/2)*AW128+(1-EXP(-LN(2)/2))/(LN(2)/2)*AQ129*AT129*VLOOKUP('Données projet'!$B$10,Paramètres!$A$1:$I$89,3,0)*0.475*44/12</f>
        <v>1.5295545492735084E-15</v>
      </c>
      <c r="AX129" s="21">
        <f t="shared" si="60"/>
        <v>54.812059771950594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267</v>
      </c>
      <c r="BE129" s="13">
        <f>BD129*VLOOKUP('Données projet'!$B$11,Paramètres!$A$1:$I$89,3,0)*VLOOKUP('Données projet'!$B$11,Paramètres!$A$1:$I$89,5,0)</f>
        <v>279.06840000000005</v>
      </c>
      <c r="BF129" s="13">
        <f t="shared" si="91"/>
        <v>66.770096850895143</v>
      </c>
      <c r="BG129" s="20">
        <f t="shared" si="61"/>
        <v>602.33538201530905</v>
      </c>
      <c r="BH129" s="59">
        <f t="shared" si="62"/>
        <v>895.66871534864231</v>
      </c>
      <c r="BI129" s="59">
        <f ca="1">AVERAGE(OFFSET($BH$3,0,0,'Données projet'!$E$11+1,1))-AVERAGE(OFFSET($H$3,0,0,'Données projet'!$E$11+1,1))</f>
        <v>319.97102066931524</v>
      </c>
      <c r="BJ129" s="59">
        <f t="shared" si="92"/>
        <v>190.48958701476397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70.223318644057301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70.223318644057301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152.40696942350093</v>
      </c>
      <c r="T130" s="59">
        <f t="shared" si="88"/>
        <v>368.99390365472789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795.00000000000068</v>
      </c>
      <c r="AJ130" s="13">
        <f>AI130*VLOOKUP('Données projet'!$B$10,Paramètres!$A$1:$I$89,3,0)*VLOOKUP('Données projet'!$B$10,Paramètres!$A$1:$I$89,5,0)</f>
        <v>372.06000000000029</v>
      </c>
      <c r="AK130" s="13">
        <f t="shared" si="89"/>
        <v>86.088609967897526</v>
      </c>
      <c r="AL130" s="20">
        <f t="shared" si="58"/>
        <v>797.94216236075533</v>
      </c>
      <c r="AM130" s="59">
        <f t="shared" si="59"/>
        <v>1091.2754956940887</v>
      </c>
      <c r="AN130" s="59">
        <f ca="1">AVERAGE(OFFSET($AM$3,0,0,'Données projet'!$E$10+1,1))-AVERAGE(OFFSET($H$3,0,0,'Données projet'!$E$10+1,1))</f>
        <v>379.12827535040157</v>
      </c>
      <c r="AO130" s="59">
        <f t="shared" si="90"/>
        <v>317.29813413796956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50.688386191031256</v>
      </c>
      <c r="AV130" s="21">
        <f>EXP(-LN(2)/25)*AV129+(1-EXP(-LN(2)/25))/(LN(2)/25)*Calculateur!AQ130*Calculateur!AS130*VLOOKUP('Données projet'!$B$10,Paramètres!$A$1:$I$89,3,0)*0.475*44/12</f>
        <v>3.0247859697112598</v>
      </c>
      <c r="AW130" s="21">
        <f>EXP(-LN(2)/2)*AW129+(1-EXP(-LN(2)/2))/(LN(2)/2)*AQ130*AT130*VLOOKUP('Données projet'!$B$10,Paramètres!$A$1:$I$89,3,0)*0.475*44/12</f>
        <v>1.081558393986031E-15</v>
      </c>
      <c r="AX130" s="21">
        <f t="shared" si="60"/>
        <v>53.713172160742516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267</v>
      </c>
      <c r="BE130" s="13">
        <f>BD130*VLOOKUP('Données projet'!$B$11,Paramètres!$A$1:$I$89,3,0)*VLOOKUP('Données projet'!$B$11,Paramètres!$A$1:$I$89,5,0)</f>
        <v>279.06840000000005</v>
      </c>
      <c r="BF130" s="13">
        <f t="shared" si="91"/>
        <v>66.770096850895143</v>
      </c>
      <c r="BG130" s="20">
        <f t="shared" si="61"/>
        <v>602.33538201530905</v>
      </c>
      <c r="BH130" s="59">
        <f t="shared" si="62"/>
        <v>895.66871534864231</v>
      </c>
      <c r="BI130" s="59">
        <f ca="1">AVERAGE(OFFSET($BH$3,0,0,'Données projet'!$E$11+1,1))-AVERAGE(OFFSET($H$3,0,0,'Données projet'!$E$11+1,1))</f>
        <v>319.97102066931524</v>
      </c>
      <c r="BJ130" s="59">
        <f t="shared" si="92"/>
        <v>190.48958701476397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68.846282197442406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68.846282197442406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152.40696942350093</v>
      </c>
      <c r="T131" s="59">
        <f t="shared" si="88"/>
        <v>368.99390365472789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795.00000000000068</v>
      </c>
      <c r="AJ131" s="13">
        <f>AI131*VLOOKUP('Données projet'!$B$10,Paramètres!$A$1:$I$89,3,0)*VLOOKUP('Données projet'!$B$10,Paramètres!$A$1:$I$89,5,0)</f>
        <v>372.06000000000029</v>
      </c>
      <c r="AK131" s="13">
        <f t="shared" si="89"/>
        <v>86.088609967897526</v>
      </c>
      <c r="AL131" s="20">
        <f t="shared" si="58"/>
        <v>797.94216236075533</v>
      </c>
      <c r="AM131" s="59">
        <f t="shared" si="59"/>
        <v>1091.2754956940887</v>
      </c>
      <c r="AN131" s="59">
        <f ca="1">AVERAGE(OFFSET($AM$3,0,0,'Données projet'!$E$10+1,1))-AVERAGE(OFFSET($H$3,0,0,'Données projet'!$E$10+1,1))</f>
        <v>379.12827535040157</v>
      </c>
      <c r="AO131" s="59">
        <f t="shared" si="90"/>
        <v>317.29813413796956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49.69441785468792</v>
      </c>
      <c r="AV131" s="21">
        <f>EXP(-LN(2)/25)*AV130+(1-EXP(-LN(2)/25))/(LN(2)/25)*Calculateur!AQ131*Calculateur!AS131*VLOOKUP('Données projet'!$B$10,Paramètres!$A$1:$I$89,3,0)*0.475*44/12</f>
        <v>2.9420730383029245</v>
      </c>
      <c r="AW131" s="21">
        <f>EXP(-LN(2)/2)*AW130+(1-EXP(-LN(2)/2))/(LN(2)/2)*AQ131*AT131*VLOOKUP('Données projet'!$B$10,Paramètres!$A$1:$I$89,3,0)*0.475*44/12</f>
        <v>7.6477727463675418E-16</v>
      </c>
      <c r="AX131" s="21">
        <f t="shared" si="60"/>
        <v>52.636490892990842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267</v>
      </c>
      <c r="BE131" s="13">
        <f>BD131*VLOOKUP('Données projet'!$B$11,Paramètres!$A$1:$I$89,3,0)*VLOOKUP('Données projet'!$B$11,Paramètres!$A$1:$I$89,5,0)</f>
        <v>279.06840000000005</v>
      </c>
      <c r="BF131" s="13">
        <f t="shared" si="91"/>
        <v>66.770096850895143</v>
      </c>
      <c r="BG131" s="20">
        <f t="shared" si="61"/>
        <v>602.33538201530905</v>
      </c>
      <c r="BH131" s="59">
        <f t="shared" si="62"/>
        <v>895.66871534864231</v>
      </c>
      <c r="BI131" s="59">
        <f ca="1">AVERAGE(OFFSET($BH$3,0,0,'Données projet'!$E$11+1,1))-AVERAGE(OFFSET($H$3,0,0,'Données projet'!$E$11+1,1))</f>
        <v>319.97102066931524</v>
      </c>
      <c r="BJ131" s="59">
        <f t="shared" si="92"/>
        <v>190.48958701476397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67.496248595636331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67.496248595636331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152.40696942350093</v>
      </c>
      <c r="T132" s="59">
        <f t="shared" si="88"/>
        <v>368.99390365472789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795.00000000000068</v>
      </c>
      <c r="AJ132" s="13">
        <f>AI132*VLOOKUP('Données projet'!$B$10,Paramètres!$A$1:$I$89,3,0)*VLOOKUP('Données projet'!$B$10,Paramètres!$A$1:$I$89,5,0)</f>
        <v>372.06000000000029</v>
      </c>
      <c r="AK132" s="13">
        <f t="shared" si="89"/>
        <v>86.088609967897526</v>
      </c>
      <c r="AL132" s="20">
        <f t="shared" ref="AL132:AL153" si="112">(AJ132+AK132)*0.475*44/12</f>
        <v>797.94216236075533</v>
      </c>
      <c r="AM132" s="59">
        <f t="shared" ref="AM132:AM195" si="113">AL132+(AD132+AE132)*44/12</f>
        <v>1091.2754956940887</v>
      </c>
      <c r="AN132" s="59">
        <f ca="1">AVERAGE(OFFSET($AM$3,0,0,'Données projet'!$E$10+1,1))-AVERAGE(OFFSET($H$3,0,0,'Données projet'!$E$10+1,1))</f>
        <v>379.12827535040157</v>
      </c>
      <c r="AO132" s="59">
        <f t="shared" si="90"/>
        <v>317.29813413796956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48.71994063115946</v>
      </c>
      <c r="AV132" s="21">
        <f>EXP(-LN(2)/25)*AV131+(1-EXP(-LN(2)/25))/(LN(2)/25)*Calculateur!AQ132*Calculateur!AS132*VLOOKUP('Données projet'!$B$10,Paramètres!$A$1:$I$89,3,0)*0.475*44/12</f>
        <v>2.8616218963536344</v>
      </c>
      <c r="AW132" s="21">
        <f>EXP(-LN(2)/2)*AW131+(1-EXP(-LN(2)/2))/(LN(2)/2)*AQ132*AT132*VLOOKUP('Données projet'!$B$10,Paramètres!$A$1:$I$89,3,0)*0.475*44/12</f>
        <v>5.4077919699301549E-16</v>
      </c>
      <c r="AX132" s="21">
        <f t="shared" ref="AX132:AX153" si="114">SUM(AU132:AW132)</f>
        <v>51.581562527513093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267</v>
      </c>
      <c r="BE132" s="13">
        <f>BD132*VLOOKUP('Données projet'!$B$11,Paramètres!$A$1:$I$89,3,0)*VLOOKUP('Données projet'!$B$11,Paramètres!$A$1:$I$89,5,0)</f>
        <v>279.06840000000005</v>
      </c>
      <c r="BF132" s="13">
        <f t="shared" si="91"/>
        <v>66.770096850895143</v>
      </c>
      <c r="BG132" s="20">
        <f t="shared" ref="BG132:BG153" si="115">(BE132+BF132)*0.475*44/12</f>
        <v>602.33538201530905</v>
      </c>
      <c r="BH132" s="59">
        <f t="shared" ref="BH132:BH195" si="116">BG132+(AY132+AZ132)*44/12</f>
        <v>895.66871534864231</v>
      </c>
      <c r="BI132" s="59">
        <f ca="1">AVERAGE(OFFSET($BH$3,0,0,'Données projet'!$E$11+1,1))-AVERAGE(OFFSET($H$3,0,0,'Données projet'!$E$11+1,1))</f>
        <v>319.97102066931524</v>
      </c>
      <c r="BJ132" s="59">
        <f t="shared" si="92"/>
        <v>190.48958701476397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66.172688329322483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66.172688329322483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152.40696942350093</v>
      </c>
      <c r="T133" s="59">
        <f t="shared" ref="T133:T196" si="142">$T$3</f>
        <v>368.99390365472789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795.00000000000068</v>
      </c>
      <c r="AJ133" s="13">
        <f>AI133*VLOOKUP('Données projet'!$B$10,Paramètres!$A$1:$I$89,3,0)*VLOOKUP('Données projet'!$B$10,Paramètres!$A$1:$I$89,5,0)</f>
        <v>372.06000000000029</v>
      </c>
      <c r="AK133" s="13">
        <f t="shared" ref="AK133:AK153" si="143">EXP(-1.0587+0.8836*LN(AJ133)+0.284)</f>
        <v>86.088609967897526</v>
      </c>
      <c r="AL133" s="20">
        <f t="shared" si="112"/>
        <v>797.94216236075533</v>
      </c>
      <c r="AM133" s="59">
        <f t="shared" si="113"/>
        <v>1091.2754956940887</v>
      </c>
      <c r="AN133" s="59">
        <f ca="1">AVERAGE(OFFSET($AM$3,0,0,'Données projet'!$E$10+1,1))-AVERAGE(OFFSET($H$3,0,0,'Données projet'!$E$10+1,1))</f>
        <v>379.12827535040157</v>
      </c>
      <c r="AO133" s="59">
        <f t="shared" ref="AO133:AO196" si="144">$AO$3</f>
        <v>317.29813413796956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47.764572311611971</v>
      </c>
      <c r="AV133" s="21">
        <f>EXP(-LN(2)/25)*AV132+(1-EXP(-LN(2)/25))/(LN(2)/25)*Calculateur!AQ133*Calculateur!AS133*VLOOKUP('Données projet'!$B$10,Paramètres!$A$1:$I$89,3,0)*0.475*44/12</f>
        <v>2.7833706951116892</v>
      </c>
      <c r="AW133" s="21">
        <f>EXP(-LN(2)/2)*AW132+(1-EXP(-LN(2)/2))/(LN(2)/2)*AQ133*AT133*VLOOKUP('Données projet'!$B$10,Paramètres!$A$1:$I$89,3,0)*0.475*44/12</f>
        <v>3.8238863731837709E-16</v>
      </c>
      <c r="AX133" s="21">
        <f t="shared" si="114"/>
        <v>50.547943006723663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267</v>
      </c>
      <c r="BE133" s="13">
        <f>BD133*VLOOKUP('Données projet'!$B$11,Paramètres!$A$1:$I$89,3,0)*VLOOKUP('Données projet'!$B$11,Paramètres!$A$1:$I$89,5,0)</f>
        <v>279.06840000000005</v>
      </c>
      <c r="BF133" s="13">
        <f t="shared" ref="BF133:BF153" si="145">EXP(-1.0587+0.8836*LN(BE133)+0.284)</f>
        <v>66.770096850895143</v>
      </c>
      <c r="BG133" s="20">
        <f t="shared" si="115"/>
        <v>602.33538201530905</v>
      </c>
      <c r="BH133" s="59">
        <f t="shared" si="116"/>
        <v>895.66871534864231</v>
      </c>
      <c r="BI133" s="59">
        <f ca="1">AVERAGE(OFFSET($BH$3,0,0,'Données projet'!$E$11+1,1))-AVERAGE(OFFSET($H$3,0,0,'Données projet'!$E$11+1,1))</f>
        <v>319.97102066931524</v>
      </c>
      <c r="BJ133" s="59">
        <f t="shared" ref="BJ133:BJ196" si="146">$BJ$3</f>
        <v>190.48958701476397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64.875082272539004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64.875082272539004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152.40696942350093</v>
      </c>
      <c r="T134" s="59">
        <f t="shared" si="142"/>
        <v>368.99390365472789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795.00000000000068</v>
      </c>
      <c r="AJ134" s="13">
        <f>AI134*VLOOKUP('Données projet'!$B$10,Paramètres!$A$1:$I$89,3,0)*VLOOKUP('Données projet'!$B$10,Paramètres!$A$1:$I$89,5,0)</f>
        <v>372.06000000000029</v>
      </c>
      <c r="AK134" s="13">
        <f t="shared" si="143"/>
        <v>86.088609967897526</v>
      </c>
      <c r="AL134" s="20">
        <f t="shared" si="112"/>
        <v>797.94216236075533</v>
      </c>
      <c r="AM134" s="59">
        <f t="shared" si="113"/>
        <v>1091.2754956940887</v>
      </c>
      <c r="AN134" s="59">
        <f ca="1">AVERAGE(OFFSET($AM$3,0,0,'Données projet'!$E$10+1,1))-AVERAGE(OFFSET($H$3,0,0,'Données projet'!$E$10+1,1))</f>
        <v>379.12827535040157</v>
      </c>
      <c r="AO134" s="59">
        <f t="shared" si="144"/>
        <v>317.29813413796956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46.827938182093675</v>
      </c>
      <c r="AV134" s="21">
        <f>EXP(-LN(2)/25)*AV133+(1-EXP(-LN(2)/25))/(LN(2)/25)*Calculateur!AQ134*Calculateur!AS134*VLOOKUP('Données projet'!$B$10,Paramètres!$A$1:$I$89,3,0)*0.475*44/12</f>
        <v>2.7072592770827568</v>
      </c>
      <c r="AW134" s="21">
        <f>EXP(-LN(2)/2)*AW133+(1-EXP(-LN(2)/2))/(LN(2)/2)*AQ134*AT134*VLOOKUP('Données projet'!$B$10,Paramètres!$A$1:$I$89,3,0)*0.475*44/12</f>
        <v>2.7038959849650775E-16</v>
      </c>
      <c r="AX134" s="21">
        <f t="shared" si="114"/>
        <v>49.53519745917643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267</v>
      </c>
      <c r="BE134" s="13">
        <f>BD134*VLOOKUP('Données projet'!$B$11,Paramètres!$A$1:$I$89,3,0)*VLOOKUP('Données projet'!$B$11,Paramètres!$A$1:$I$89,5,0)</f>
        <v>279.06840000000005</v>
      </c>
      <c r="BF134" s="13">
        <f t="shared" si="145"/>
        <v>66.770096850895143</v>
      </c>
      <c r="BG134" s="20">
        <f t="shared" si="115"/>
        <v>602.33538201530905</v>
      </c>
      <c r="BH134" s="59">
        <f t="shared" si="116"/>
        <v>895.66871534864231</v>
      </c>
      <c r="BI134" s="59">
        <f ca="1">AVERAGE(OFFSET($BH$3,0,0,'Données projet'!$E$11+1,1))-AVERAGE(OFFSET($H$3,0,0,'Données projet'!$E$11+1,1))</f>
        <v>319.97102066931524</v>
      </c>
      <c r="BJ134" s="59">
        <f t="shared" si="146"/>
        <v>190.48958701476397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63.602921479067497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63.602921479067497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152.40696942350093</v>
      </c>
      <c r="T135" s="59">
        <f t="shared" si="142"/>
        <v>368.99390365472789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795.00000000000068</v>
      </c>
      <c r="AJ135" s="13">
        <f>AI135*VLOOKUP('Données projet'!$B$10,Paramètres!$A$1:$I$89,3,0)*VLOOKUP('Données projet'!$B$10,Paramètres!$A$1:$I$89,5,0)</f>
        <v>372.06000000000029</v>
      </c>
      <c r="AK135" s="13">
        <f t="shared" si="143"/>
        <v>86.088609967897526</v>
      </c>
      <c r="AL135" s="20">
        <f t="shared" si="112"/>
        <v>797.94216236075533</v>
      </c>
      <c r="AM135" s="59">
        <f t="shared" si="113"/>
        <v>1091.2754956940887</v>
      </c>
      <c r="AN135" s="59">
        <f ca="1">AVERAGE(OFFSET($AM$3,0,0,'Données projet'!$E$10+1,1))-AVERAGE(OFFSET($H$3,0,0,'Données projet'!$E$10+1,1))</f>
        <v>379.12827535040157</v>
      </c>
      <c r="AO135" s="59">
        <f t="shared" si="144"/>
        <v>317.29813413796956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45.909670876564824</v>
      </c>
      <c r="AV135" s="21">
        <f>EXP(-LN(2)/25)*AV134+(1-EXP(-LN(2)/25))/(LN(2)/25)*Calculateur!AQ135*Calculateur!AS135*VLOOKUP('Données projet'!$B$10,Paramètres!$A$1:$I$89,3,0)*0.475*44/12</f>
        <v>2.6332291297823511</v>
      </c>
      <c r="AW135" s="21">
        <f>EXP(-LN(2)/2)*AW134+(1-EXP(-LN(2)/2))/(LN(2)/2)*AQ135*AT135*VLOOKUP('Données projet'!$B$10,Paramètres!$A$1:$I$89,3,0)*0.475*44/12</f>
        <v>1.9119431865918854E-16</v>
      </c>
      <c r="AX135" s="21">
        <f t="shared" si="114"/>
        <v>48.542900006347175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267</v>
      </c>
      <c r="BE135" s="13">
        <f>BD135*VLOOKUP('Données projet'!$B$11,Paramètres!$A$1:$I$89,3,0)*VLOOKUP('Données projet'!$B$11,Paramètres!$A$1:$I$89,5,0)</f>
        <v>279.06840000000005</v>
      </c>
      <c r="BF135" s="13">
        <f t="shared" si="145"/>
        <v>66.770096850895143</v>
      </c>
      <c r="BG135" s="20">
        <f t="shared" si="115"/>
        <v>602.33538201530905</v>
      </c>
      <c r="BH135" s="59">
        <f t="shared" si="116"/>
        <v>895.66871534864231</v>
      </c>
      <c r="BI135" s="59">
        <f ca="1">AVERAGE(OFFSET($BH$3,0,0,'Données projet'!$E$11+1,1))-AVERAGE(OFFSET($H$3,0,0,'Données projet'!$E$11+1,1))</f>
        <v>319.97102066931524</v>
      </c>
      <c r="BJ135" s="59">
        <f t="shared" si="146"/>
        <v>190.48958701476397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62.355706982814503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62.355706982814503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152.40696942350093</v>
      </c>
      <c r="T136" s="59">
        <f t="shared" si="142"/>
        <v>368.99390365472789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795.00000000000068</v>
      </c>
      <c r="AJ136" s="13">
        <f>AI136*VLOOKUP('Données projet'!$B$10,Paramètres!$A$1:$I$89,3,0)*VLOOKUP('Données projet'!$B$10,Paramètres!$A$1:$I$89,5,0)</f>
        <v>372.06000000000029</v>
      </c>
      <c r="AK136" s="13">
        <f t="shared" si="143"/>
        <v>86.088609967897526</v>
      </c>
      <c r="AL136" s="20">
        <f t="shared" si="112"/>
        <v>797.94216236075533</v>
      </c>
      <c r="AM136" s="59">
        <f t="shared" si="113"/>
        <v>1091.2754956940887</v>
      </c>
      <c r="AN136" s="59">
        <f ca="1">AVERAGE(OFFSET($AM$3,0,0,'Données projet'!$E$10+1,1))-AVERAGE(OFFSET($H$3,0,0,'Données projet'!$E$10+1,1))</f>
        <v>379.12827535040157</v>
      </c>
      <c r="AO136" s="59">
        <f t="shared" si="144"/>
        <v>317.29813413796956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45.009410232809643</v>
      </c>
      <c r="AV136" s="21">
        <f>EXP(-LN(2)/25)*AV135+(1-EXP(-LN(2)/25))/(LN(2)/25)*Calculateur!AQ136*Calculateur!AS136*VLOOKUP('Données projet'!$B$10,Paramètres!$A$1:$I$89,3,0)*0.475*44/12</f>
        <v>2.5612233407529512</v>
      </c>
      <c r="AW136" s="21">
        <f>EXP(-LN(2)/2)*AW135+(1-EXP(-LN(2)/2))/(LN(2)/2)*AQ136*AT136*VLOOKUP('Données projet'!$B$10,Paramètres!$A$1:$I$89,3,0)*0.475*44/12</f>
        <v>1.3519479924825387E-16</v>
      </c>
      <c r="AX136" s="21">
        <f t="shared" si="114"/>
        <v>47.570633573562596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267</v>
      </c>
      <c r="BE136" s="13">
        <f>BD136*VLOOKUP('Données projet'!$B$11,Paramètres!$A$1:$I$89,3,0)*VLOOKUP('Données projet'!$B$11,Paramètres!$A$1:$I$89,5,0)</f>
        <v>279.06840000000005</v>
      </c>
      <c r="BF136" s="13">
        <f t="shared" si="145"/>
        <v>66.770096850895143</v>
      </c>
      <c r="BG136" s="20">
        <f t="shared" si="115"/>
        <v>602.33538201530905</v>
      </c>
      <c r="BH136" s="59">
        <f t="shared" si="116"/>
        <v>895.66871534864231</v>
      </c>
      <c r="BI136" s="59">
        <f ca="1">AVERAGE(OFFSET($BH$3,0,0,'Données projet'!$E$11+1,1))-AVERAGE(OFFSET($H$3,0,0,'Données projet'!$E$11+1,1))</f>
        <v>319.97102066931524</v>
      </c>
      <c r="BJ136" s="59">
        <f t="shared" si="146"/>
        <v>190.48958701476397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61.132949602107303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61.132949602107303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152.40696942350093</v>
      </c>
      <c r="T137" s="59">
        <f t="shared" si="142"/>
        <v>368.99390365472789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795.00000000000068</v>
      </c>
      <c r="AJ137" s="13">
        <f>AI137*VLOOKUP('Données projet'!$B$10,Paramètres!$A$1:$I$89,3,0)*VLOOKUP('Données projet'!$B$10,Paramètres!$A$1:$I$89,5,0)</f>
        <v>372.06000000000029</v>
      </c>
      <c r="AK137" s="13">
        <f t="shared" si="143"/>
        <v>86.088609967897526</v>
      </c>
      <c r="AL137" s="20">
        <f t="shared" si="112"/>
        <v>797.94216236075533</v>
      </c>
      <c r="AM137" s="59">
        <f t="shared" si="113"/>
        <v>1091.2754956940887</v>
      </c>
      <c r="AN137" s="59">
        <f ca="1">AVERAGE(OFFSET($AM$3,0,0,'Données projet'!$E$10+1,1))-AVERAGE(OFFSET($H$3,0,0,'Données projet'!$E$10+1,1))</f>
        <v>379.12827535040157</v>
      </c>
      <c r="AO137" s="59">
        <f t="shared" si="144"/>
        <v>317.29813413796956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44.126803151173725</v>
      </c>
      <c r="AV137" s="21">
        <f>EXP(-LN(2)/25)*AV136+(1-EXP(-LN(2)/25))/(LN(2)/25)*Calculateur!AQ137*Calculateur!AS137*VLOOKUP('Données projet'!$B$10,Paramètres!$A$1:$I$89,3,0)*0.475*44/12</f>
        <v>2.4911865538111799</v>
      </c>
      <c r="AW137" s="21">
        <f>EXP(-LN(2)/2)*AW136+(1-EXP(-LN(2)/2))/(LN(2)/2)*AQ137*AT137*VLOOKUP('Données projet'!$B$10,Paramètres!$A$1:$I$89,3,0)*0.475*44/12</f>
        <v>9.5597159329594272E-17</v>
      </c>
      <c r="AX137" s="21">
        <f t="shared" si="114"/>
        <v>46.617989704984907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267</v>
      </c>
      <c r="BE137" s="13">
        <f>BD137*VLOOKUP('Données projet'!$B$11,Paramètres!$A$1:$I$89,3,0)*VLOOKUP('Données projet'!$B$11,Paramètres!$A$1:$I$89,5,0)</f>
        <v>279.06840000000005</v>
      </c>
      <c r="BF137" s="13">
        <f t="shared" si="145"/>
        <v>66.770096850895143</v>
      </c>
      <c r="BG137" s="20">
        <f t="shared" si="115"/>
        <v>602.33538201530905</v>
      </c>
      <c r="BH137" s="59">
        <f t="shared" si="116"/>
        <v>895.66871534864231</v>
      </c>
      <c r="BI137" s="59">
        <f ca="1">AVERAGE(OFFSET($BH$3,0,0,'Données projet'!$E$11+1,1))-AVERAGE(OFFSET($H$3,0,0,'Données projet'!$E$11+1,1))</f>
        <v>319.97102066931524</v>
      </c>
      <c r="BJ137" s="59">
        <f t="shared" si="146"/>
        <v>190.48958701476397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59.934169747827411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59.934169747827411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152.40696942350093</v>
      </c>
      <c r="T138" s="59">
        <f t="shared" si="142"/>
        <v>368.99390365472789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795.00000000000068</v>
      </c>
      <c r="AJ138" s="13">
        <f>AI138*VLOOKUP('Données projet'!$B$10,Paramètres!$A$1:$I$89,3,0)*VLOOKUP('Données projet'!$B$10,Paramètres!$A$1:$I$89,5,0)</f>
        <v>372.06000000000029</v>
      </c>
      <c r="AK138" s="13">
        <f t="shared" si="143"/>
        <v>86.088609967897526</v>
      </c>
      <c r="AL138" s="20">
        <f t="shared" si="112"/>
        <v>797.94216236075533</v>
      </c>
      <c r="AM138" s="59">
        <f t="shared" si="113"/>
        <v>1091.2754956940887</v>
      </c>
      <c r="AN138" s="59">
        <f ca="1">AVERAGE(OFFSET($AM$3,0,0,'Données projet'!$E$10+1,1))-AVERAGE(OFFSET($H$3,0,0,'Données projet'!$E$10+1,1))</f>
        <v>379.12827535040157</v>
      </c>
      <c r="AO138" s="59">
        <f t="shared" si="144"/>
        <v>317.29813413796956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43.261503456071523</v>
      </c>
      <c r="AV138" s="21">
        <f>EXP(-LN(2)/25)*AV137+(1-EXP(-LN(2)/25))/(LN(2)/25)*Calculateur!AQ138*Calculateur!AS138*VLOOKUP('Données projet'!$B$10,Paramètres!$A$1:$I$89,3,0)*0.475*44/12</f>
        <v>2.4230649264914059</v>
      </c>
      <c r="AW138" s="21">
        <f>EXP(-LN(2)/2)*AW137+(1-EXP(-LN(2)/2))/(LN(2)/2)*AQ138*AT138*VLOOKUP('Données projet'!$B$10,Paramètres!$A$1:$I$89,3,0)*0.475*44/12</f>
        <v>6.7597399624126937E-17</v>
      </c>
      <c r="AX138" s="21">
        <f t="shared" si="114"/>
        <v>45.684568382562929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267</v>
      </c>
      <c r="BE138" s="13">
        <f>BD138*VLOOKUP('Données projet'!$B$11,Paramètres!$A$1:$I$89,3,0)*VLOOKUP('Données projet'!$B$11,Paramètres!$A$1:$I$89,5,0)</f>
        <v>279.06840000000005</v>
      </c>
      <c r="BF138" s="13">
        <f t="shared" si="145"/>
        <v>66.770096850895143</v>
      </c>
      <c r="BG138" s="20">
        <f t="shared" si="115"/>
        <v>602.33538201530905</v>
      </c>
      <c r="BH138" s="59">
        <f t="shared" si="116"/>
        <v>895.66871534864231</v>
      </c>
      <c r="BI138" s="59">
        <f ca="1">AVERAGE(OFFSET($BH$3,0,0,'Données projet'!$E$11+1,1))-AVERAGE(OFFSET($H$3,0,0,'Données projet'!$E$11+1,1))</f>
        <v>319.97102066931524</v>
      </c>
      <c r="BJ138" s="59">
        <f t="shared" si="146"/>
        <v>190.48958701476397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58.758897235306435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58.758897235306435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152.40696942350093</v>
      </c>
      <c r="T139" s="59">
        <f t="shared" si="142"/>
        <v>368.99390365472789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795.00000000000068</v>
      </c>
      <c r="AJ139" s="13">
        <f>AI139*VLOOKUP('Données projet'!$B$10,Paramètres!$A$1:$I$89,3,0)*VLOOKUP('Données projet'!$B$10,Paramètres!$A$1:$I$89,5,0)</f>
        <v>372.06000000000029</v>
      </c>
      <c r="AK139" s="13">
        <f t="shared" si="143"/>
        <v>86.088609967897526</v>
      </c>
      <c r="AL139" s="20">
        <f t="shared" si="112"/>
        <v>797.94216236075533</v>
      </c>
      <c r="AM139" s="59">
        <f t="shared" si="113"/>
        <v>1091.2754956940887</v>
      </c>
      <c r="AN139" s="59">
        <f ca="1">AVERAGE(OFFSET($AM$3,0,0,'Données projet'!$E$10+1,1))-AVERAGE(OFFSET($H$3,0,0,'Données projet'!$E$10+1,1))</f>
        <v>379.12827535040157</v>
      </c>
      <c r="AO139" s="59">
        <f t="shared" si="144"/>
        <v>317.29813413796956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42.413171760209579</v>
      </c>
      <c r="AV139" s="21">
        <f>EXP(-LN(2)/25)*AV138+(1-EXP(-LN(2)/25))/(LN(2)/25)*Calculateur!AQ139*Calculateur!AS139*VLOOKUP('Données projet'!$B$10,Paramètres!$A$1:$I$89,3,0)*0.475*44/12</f>
        <v>2.3568060886530517</v>
      </c>
      <c r="AW139" s="21">
        <f>EXP(-LN(2)/2)*AW138+(1-EXP(-LN(2)/2))/(LN(2)/2)*AQ139*AT139*VLOOKUP('Données projet'!$B$10,Paramètres!$A$1:$I$89,3,0)*0.475*44/12</f>
        <v>4.7798579664797136E-17</v>
      </c>
      <c r="AX139" s="21">
        <f t="shared" si="114"/>
        <v>44.769977848862631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267</v>
      </c>
      <c r="BE139" s="13">
        <f>BD139*VLOOKUP('Données projet'!$B$11,Paramètres!$A$1:$I$89,3,0)*VLOOKUP('Données projet'!$B$11,Paramètres!$A$1:$I$89,5,0)</f>
        <v>279.06840000000005</v>
      </c>
      <c r="BF139" s="13">
        <f t="shared" si="145"/>
        <v>66.770096850895143</v>
      </c>
      <c r="BG139" s="20">
        <f t="shared" si="115"/>
        <v>602.33538201530905</v>
      </c>
      <c r="BH139" s="59">
        <f t="shared" si="116"/>
        <v>895.66871534864231</v>
      </c>
      <c r="BI139" s="59">
        <f ca="1">AVERAGE(OFFSET($BH$3,0,0,'Données projet'!$E$11+1,1))-AVERAGE(OFFSET($H$3,0,0,'Données projet'!$E$11+1,1))</f>
        <v>319.97102066931524</v>
      </c>
      <c r="BJ139" s="59">
        <f t="shared" si="146"/>
        <v>190.48958701476397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57.606671099910542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57.606671099910542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152.40696942350093</v>
      </c>
      <c r="T140" s="59">
        <f t="shared" si="142"/>
        <v>368.99390365472789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795.00000000000068</v>
      </c>
      <c r="AJ140" s="13">
        <f>AI140*VLOOKUP('Données projet'!$B$10,Paramètres!$A$1:$I$89,3,0)*VLOOKUP('Données projet'!$B$10,Paramètres!$A$1:$I$89,5,0)</f>
        <v>372.06000000000029</v>
      </c>
      <c r="AK140" s="13">
        <f t="shared" si="143"/>
        <v>86.088609967897526</v>
      </c>
      <c r="AL140" s="20">
        <f t="shared" si="112"/>
        <v>797.94216236075533</v>
      </c>
      <c r="AM140" s="59">
        <f t="shared" si="113"/>
        <v>1091.2754956940887</v>
      </c>
      <c r="AN140" s="59">
        <f ca="1">AVERAGE(OFFSET($AM$3,0,0,'Données projet'!$E$10+1,1))-AVERAGE(OFFSET($H$3,0,0,'Données projet'!$E$10+1,1))</f>
        <v>379.12827535040157</v>
      </c>
      <c r="AO140" s="59">
        <f t="shared" si="144"/>
        <v>317.29813413796956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41.581475331472241</v>
      </c>
      <c r="AV140" s="21">
        <f>EXP(-LN(2)/25)*AV139+(1-EXP(-LN(2)/25))/(LN(2)/25)*Calculateur!AQ140*Calculateur!AS140*VLOOKUP('Données projet'!$B$10,Paramètres!$A$1:$I$89,3,0)*0.475*44/12</f>
        <v>2.2923591022197884</v>
      </c>
      <c r="AW140" s="21">
        <f>EXP(-LN(2)/2)*AW139+(1-EXP(-LN(2)/2))/(LN(2)/2)*AQ140*AT140*VLOOKUP('Données projet'!$B$10,Paramètres!$A$1:$I$89,3,0)*0.475*44/12</f>
        <v>3.3798699812063468E-17</v>
      </c>
      <c r="AX140" s="21">
        <f t="shared" si="114"/>
        <v>43.873834433692032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267</v>
      </c>
      <c r="BE140" s="13">
        <f>BD140*VLOOKUP('Données projet'!$B$11,Paramètres!$A$1:$I$89,3,0)*VLOOKUP('Données projet'!$B$11,Paramètres!$A$1:$I$89,5,0)</f>
        <v>279.06840000000005</v>
      </c>
      <c r="BF140" s="13">
        <f t="shared" si="145"/>
        <v>66.770096850895143</v>
      </c>
      <c r="BG140" s="20">
        <f t="shared" si="115"/>
        <v>602.33538201530905</v>
      </c>
      <c r="BH140" s="59">
        <f t="shared" si="116"/>
        <v>895.66871534864231</v>
      </c>
      <c r="BI140" s="59">
        <f ca="1">AVERAGE(OFFSET($BH$3,0,0,'Données projet'!$E$11+1,1))-AVERAGE(OFFSET($H$3,0,0,'Données projet'!$E$11+1,1))</f>
        <v>319.97102066931524</v>
      </c>
      <c r="BJ140" s="59">
        <f t="shared" si="146"/>
        <v>190.48958701476397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56.477039416241219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56.477039416241219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152.40696942350093</v>
      </c>
      <c r="T141" s="59">
        <f t="shared" si="142"/>
        <v>368.99390365472789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795.00000000000068</v>
      </c>
      <c r="AJ141" s="13">
        <f>AI141*VLOOKUP('Données projet'!$B$10,Paramètres!$A$1:$I$89,3,0)*VLOOKUP('Données projet'!$B$10,Paramètres!$A$1:$I$89,5,0)</f>
        <v>372.06000000000029</v>
      </c>
      <c r="AK141" s="13">
        <f t="shared" si="143"/>
        <v>86.088609967897526</v>
      </c>
      <c r="AL141" s="20">
        <f t="shared" si="112"/>
        <v>797.94216236075533</v>
      </c>
      <c r="AM141" s="59">
        <f t="shared" si="113"/>
        <v>1091.2754956940887</v>
      </c>
      <c r="AN141" s="59">
        <f ca="1">AVERAGE(OFFSET($AM$3,0,0,'Données projet'!$E$10+1,1))-AVERAGE(OFFSET($H$3,0,0,'Données projet'!$E$10+1,1))</f>
        <v>379.12827535040157</v>
      </c>
      <c r="AO141" s="59">
        <f t="shared" si="144"/>
        <v>317.29813413796956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40.766087962417714</v>
      </c>
      <c r="AV141" s="21">
        <f>EXP(-LN(2)/25)*AV140+(1-EXP(-LN(2)/25))/(LN(2)/25)*Calculateur!AQ141*Calculateur!AS141*VLOOKUP('Données projet'!$B$10,Paramètres!$A$1:$I$89,3,0)*0.475*44/12</f>
        <v>2.2296744220196625</v>
      </c>
      <c r="AW141" s="21">
        <f>EXP(-LN(2)/2)*AW140+(1-EXP(-LN(2)/2))/(LN(2)/2)*AQ141*AT141*VLOOKUP('Données projet'!$B$10,Paramètres!$A$1:$I$89,3,0)*0.475*44/12</f>
        <v>2.3899289832398568E-17</v>
      </c>
      <c r="AX141" s="21">
        <f t="shared" si="114"/>
        <v>42.995762384437377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267</v>
      </c>
      <c r="BE141" s="13">
        <f>BD141*VLOOKUP('Données projet'!$B$11,Paramètres!$A$1:$I$89,3,0)*VLOOKUP('Données projet'!$B$11,Paramètres!$A$1:$I$89,5,0)</f>
        <v>279.06840000000005</v>
      </c>
      <c r="BF141" s="13">
        <f t="shared" si="145"/>
        <v>66.770096850895143</v>
      </c>
      <c r="BG141" s="20">
        <f t="shared" si="115"/>
        <v>602.33538201530905</v>
      </c>
      <c r="BH141" s="59">
        <f t="shared" si="116"/>
        <v>895.66871534864231</v>
      </c>
      <c r="BI141" s="59">
        <f ca="1">AVERAGE(OFFSET($BH$3,0,0,'Données projet'!$E$11+1,1))-AVERAGE(OFFSET($H$3,0,0,'Données projet'!$E$11+1,1))</f>
        <v>319.97102066931524</v>
      </c>
      <c r="BJ141" s="59">
        <f t="shared" si="146"/>
        <v>190.48958701476397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55.369559120881355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55.369559120881355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152.40696942350093</v>
      </c>
      <c r="T142" s="59">
        <f t="shared" si="142"/>
        <v>368.99390365472789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795.00000000000068</v>
      </c>
      <c r="AJ142" s="13">
        <f>AI142*VLOOKUP('Données projet'!$B$10,Paramètres!$A$1:$I$89,3,0)*VLOOKUP('Données projet'!$B$10,Paramètres!$A$1:$I$89,5,0)</f>
        <v>372.06000000000029</v>
      </c>
      <c r="AK142" s="13">
        <f t="shared" si="143"/>
        <v>86.088609967897526</v>
      </c>
      <c r="AL142" s="20">
        <f t="shared" si="112"/>
        <v>797.94216236075533</v>
      </c>
      <c r="AM142" s="59">
        <f t="shared" si="113"/>
        <v>1091.2754956940887</v>
      </c>
      <c r="AN142" s="59">
        <f ca="1">AVERAGE(OFFSET($AM$3,0,0,'Données projet'!$E$10+1,1))-AVERAGE(OFFSET($H$3,0,0,'Données projet'!$E$10+1,1))</f>
        <v>379.12827535040157</v>
      </c>
      <c r="AO142" s="59">
        <f t="shared" si="144"/>
        <v>317.29813413796956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39.96668984233316</v>
      </c>
      <c r="AV142" s="21">
        <f>EXP(-LN(2)/25)*AV141+(1-EXP(-LN(2)/25))/(LN(2)/25)*Calculateur!AQ142*Calculateur!AS142*VLOOKUP('Données projet'!$B$10,Paramètres!$A$1:$I$89,3,0)*0.475*44/12</f>
        <v>2.1687038576960531</v>
      </c>
      <c r="AW142" s="21">
        <f>EXP(-LN(2)/2)*AW141+(1-EXP(-LN(2)/2))/(LN(2)/2)*AQ142*AT142*VLOOKUP('Données projet'!$B$10,Paramètres!$A$1:$I$89,3,0)*0.475*44/12</f>
        <v>1.6899349906031734E-17</v>
      </c>
      <c r="AX142" s="21">
        <f t="shared" si="114"/>
        <v>42.135393700029212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267</v>
      </c>
      <c r="BE142" s="13">
        <f>BD142*VLOOKUP('Données projet'!$B$11,Paramètres!$A$1:$I$89,3,0)*VLOOKUP('Données projet'!$B$11,Paramètres!$A$1:$I$89,5,0)</f>
        <v>279.06840000000005</v>
      </c>
      <c r="BF142" s="13">
        <f t="shared" si="145"/>
        <v>66.770096850895143</v>
      </c>
      <c r="BG142" s="20">
        <f t="shared" si="115"/>
        <v>602.33538201530905</v>
      </c>
      <c r="BH142" s="59">
        <f t="shared" si="116"/>
        <v>895.66871534864231</v>
      </c>
      <c r="BI142" s="59">
        <f ca="1">AVERAGE(OFFSET($BH$3,0,0,'Données projet'!$E$11+1,1))-AVERAGE(OFFSET($H$3,0,0,'Données projet'!$E$11+1,1))</f>
        <v>319.97102066931524</v>
      </c>
      <c r="BJ142" s="59">
        <f t="shared" si="146"/>
        <v>190.48958701476397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54.283795838617216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54.283795838617216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152.40696942350093</v>
      </c>
      <c r="T143" s="59">
        <f t="shared" si="142"/>
        <v>368.99390365472789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795.00000000000068</v>
      </c>
      <c r="AJ143" s="13">
        <f>AI143*VLOOKUP('Données projet'!$B$10,Paramètres!$A$1:$I$89,3,0)*VLOOKUP('Données projet'!$B$10,Paramètres!$A$1:$I$89,5,0)</f>
        <v>372.06000000000029</v>
      </c>
      <c r="AK143" s="13">
        <f t="shared" si="143"/>
        <v>86.088609967897526</v>
      </c>
      <c r="AL143" s="20">
        <f t="shared" si="112"/>
        <v>797.94216236075533</v>
      </c>
      <c r="AM143" s="59">
        <f t="shared" si="113"/>
        <v>1091.2754956940887</v>
      </c>
      <c r="AN143" s="59">
        <f ca="1">AVERAGE(OFFSET($AM$3,0,0,'Données projet'!$E$10+1,1))-AVERAGE(OFFSET($H$3,0,0,'Données projet'!$E$10+1,1))</f>
        <v>379.12827535040157</v>
      </c>
      <c r="AO143" s="59">
        <f t="shared" si="144"/>
        <v>317.29813413796956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39.182967431798758</v>
      </c>
      <c r="AV143" s="21">
        <f>EXP(-LN(2)/25)*AV142+(1-EXP(-LN(2)/25))/(LN(2)/25)*Calculateur!AQ143*Calculateur!AS143*VLOOKUP('Données projet'!$B$10,Paramètres!$A$1:$I$89,3,0)*0.475*44/12</f>
        <v>2.1094005366601754</v>
      </c>
      <c r="AW143" s="21">
        <f>EXP(-LN(2)/2)*AW142+(1-EXP(-LN(2)/2))/(LN(2)/2)*AQ143*AT143*VLOOKUP('Données projet'!$B$10,Paramètres!$A$1:$I$89,3,0)*0.475*44/12</f>
        <v>1.1949644916199284E-17</v>
      </c>
      <c r="AX143" s="21">
        <f t="shared" si="114"/>
        <v>41.292367968458933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267</v>
      </c>
      <c r="BE143" s="13">
        <f>BD143*VLOOKUP('Données projet'!$B$11,Paramètres!$A$1:$I$89,3,0)*VLOOKUP('Données projet'!$B$11,Paramètres!$A$1:$I$89,5,0)</f>
        <v>279.06840000000005</v>
      </c>
      <c r="BF143" s="13">
        <f t="shared" si="145"/>
        <v>66.770096850895143</v>
      </c>
      <c r="BG143" s="20">
        <f t="shared" si="115"/>
        <v>602.33538201530905</v>
      </c>
      <c r="BH143" s="59">
        <f t="shared" si="116"/>
        <v>895.66871534864231</v>
      </c>
      <c r="BI143" s="59">
        <f ca="1">AVERAGE(OFFSET($BH$3,0,0,'Données projet'!$E$11+1,1))-AVERAGE(OFFSET($H$3,0,0,'Données projet'!$E$11+1,1))</f>
        <v>319.97102066931524</v>
      </c>
      <c r="BJ143" s="59">
        <f t="shared" si="146"/>
        <v>190.48958701476397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53.219323712068068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53.219323712068068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152.40696942350093</v>
      </c>
      <c r="T144" s="59">
        <f t="shared" si="142"/>
        <v>368.99390365472789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795.00000000000068</v>
      </c>
      <c r="AJ144" s="13">
        <f>AI144*VLOOKUP('Données projet'!$B$10,Paramètres!$A$1:$I$89,3,0)*VLOOKUP('Données projet'!$B$10,Paramètres!$A$1:$I$89,5,0)</f>
        <v>372.06000000000029</v>
      </c>
      <c r="AK144" s="13">
        <f t="shared" si="143"/>
        <v>86.088609967897526</v>
      </c>
      <c r="AL144" s="20">
        <f t="shared" si="112"/>
        <v>797.94216236075533</v>
      </c>
      <c r="AM144" s="59">
        <f t="shared" si="113"/>
        <v>1091.2754956940887</v>
      </c>
      <c r="AN144" s="59">
        <f ca="1">AVERAGE(OFFSET($AM$3,0,0,'Données projet'!$E$10+1,1))-AVERAGE(OFFSET($H$3,0,0,'Données projet'!$E$10+1,1))</f>
        <v>379.12827535040157</v>
      </c>
      <c r="AO144" s="59">
        <f t="shared" si="144"/>
        <v>317.29813413796956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38.414613339711465</v>
      </c>
      <c r="AV144" s="21">
        <f>EXP(-LN(2)/25)*AV143+(1-EXP(-LN(2)/25))/(LN(2)/25)*Calculateur!AQ144*Calculateur!AS144*VLOOKUP('Données projet'!$B$10,Paramètres!$A$1:$I$89,3,0)*0.475*44/12</f>
        <v>2.0517188680566498</v>
      </c>
      <c r="AW144" s="21">
        <f>EXP(-LN(2)/2)*AW143+(1-EXP(-LN(2)/2))/(LN(2)/2)*AQ144*AT144*VLOOKUP('Données projet'!$B$10,Paramètres!$A$1:$I$89,3,0)*0.475*44/12</f>
        <v>8.4496749530158671E-18</v>
      </c>
      <c r="AX144" s="21">
        <f t="shared" si="114"/>
        <v>40.466332207768119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267</v>
      </c>
      <c r="BE144" s="13">
        <f>BD144*VLOOKUP('Données projet'!$B$11,Paramètres!$A$1:$I$89,3,0)*VLOOKUP('Données projet'!$B$11,Paramètres!$A$1:$I$89,5,0)</f>
        <v>279.06840000000005</v>
      </c>
      <c r="BF144" s="13">
        <f t="shared" si="145"/>
        <v>66.770096850895143</v>
      </c>
      <c r="BG144" s="20">
        <f t="shared" si="115"/>
        <v>602.33538201530905</v>
      </c>
      <c r="BH144" s="59">
        <f t="shared" si="116"/>
        <v>895.66871534864231</v>
      </c>
      <c r="BI144" s="59">
        <f ca="1">AVERAGE(OFFSET($BH$3,0,0,'Données projet'!$E$11+1,1))-AVERAGE(OFFSET($H$3,0,0,'Données projet'!$E$11+1,1))</f>
        <v>319.97102066931524</v>
      </c>
      <c r="BJ144" s="59">
        <f t="shared" si="146"/>
        <v>190.48958701476397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52.17572523465666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52.17572523465666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152.40696942350093</v>
      </c>
      <c r="T145" s="59">
        <f t="shared" si="142"/>
        <v>368.99390365472789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795.00000000000068</v>
      </c>
      <c r="AJ145" s="13">
        <f>AI145*VLOOKUP('Données projet'!$B$10,Paramètres!$A$1:$I$89,3,0)*VLOOKUP('Données projet'!$B$10,Paramètres!$A$1:$I$89,5,0)</f>
        <v>372.06000000000029</v>
      </c>
      <c r="AK145" s="13">
        <f t="shared" si="143"/>
        <v>86.088609967897526</v>
      </c>
      <c r="AL145" s="20">
        <f t="shared" si="112"/>
        <v>797.94216236075533</v>
      </c>
      <c r="AM145" s="59">
        <f t="shared" si="113"/>
        <v>1091.2754956940887</v>
      </c>
      <c r="AN145" s="59">
        <f ca="1">AVERAGE(OFFSET($AM$3,0,0,'Données projet'!$E$10+1,1))-AVERAGE(OFFSET($H$3,0,0,'Données projet'!$E$10+1,1))</f>
        <v>379.12827535040157</v>
      </c>
      <c r="AO145" s="59">
        <f t="shared" si="144"/>
        <v>317.29813413796956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37.661326202720282</v>
      </c>
      <c r="AV145" s="21">
        <f>EXP(-LN(2)/25)*AV144+(1-EXP(-LN(2)/25))/(LN(2)/25)*Calculateur!AQ145*Calculateur!AS145*VLOOKUP('Données projet'!$B$10,Paramètres!$A$1:$I$89,3,0)*0.475*44/12</f>
        <v>1.9956145077144347</v>
      </c>
      <c r="AW145" s="21">
        <f>EXP(-LN(2)/2)*AW144+(1-EXP(-LN(2)/2))/(LN(2)/2)*AQ145*AT145*VLOOKUP('Données projet'!$B$10,Paramètres!$A$1:$I$89,3,0)*0.475*44/12</f>
        <v>5.974822458099642E-18</v>
      </c>
      <c r="AX145" s="21">
        <f t="shared" si="114"/>
        <v>39.656940710434718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267</v>
      </c>
      <c r="BE145" s="13">
        <f>BD145*VLOOKUP('Données projet'!$B$11,Paramètres!$A$1:$I$89,3,0)*VLOOKUP('Données projet'!$B$11,Paramètres!$A$1:$I$89,5,0)</f>
        <v>279.06840000000005</v>
      </c>
      <c r="BF145" s="13">
        <f t="shared" si="145"/>
        <v>66.770096850895143</v>
      </c>
      <c r="BG145" s="20">
        <f t="shared" si="115"/>
        <v>602.33538201530905</v>
      </c>
      <c r="BH145" s="59">
        <f t="shared" si="116"/>
        <v>895.66871534864231</v>
      </c>
      <c r="BI145" s="59">
        <f ca="1">AVERAGE(OFFSET($BH$3,0,0,'Données projet'!$E$11+1,1))-AVERAGE(OFFSET($H$3,0,0,'Données projet'!$E$11+1,1))</f>
        <v>319.97102066931524</v>
      </c>
      <c r="BJ145" s="59">
        <f t="shared" si="146"/>
        <v>190.48958701476397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51.152591086855075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51.152591086855075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152.40696942350093</v>
      </c>
      <c r="T146" s="59">
        <f t="shared" si="142"/>
        <v>368.99390365472789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795.00000000000068</v>
      </c>
      <c r="AJ146" s="13">
        <f>AI146*VLOOKUP('Données projet'!$B$10,Paramètres!$A$1:$I$89,3,0)*VLOOKUP('Données projet'!$B$10,Paramètres!$A$1:$I$89,5,0)</f>
        <v>372.06000000000029</v>
      </c>
      <c r="AK146" s="13">
        <f t="shared" si="143"/>
        <v>86.088609967897526</v>
      </c>
      <c r="AL146" s="20">
        <f t="shared" si="112"/>
        <v>797.94216236075533</v>
      </c>
      <c r="AM146" s="59">
        <f t="shared" si="113"/>
        <v>1091.2754956940887</v>
      </c>
      <c r="AN146" s="59">
        <f ca="1">AVERAGE(OFFSET($AM$3,0,0,'Données projet'!$E$10+1,1))-AVERAGE(OFFSET($H$3,0,0,'Données projet'!$E$10+1,1))</f>
        <v>379.12827535040157</v>
      </c>
      <c r="AO146" s="59">
        <f t="shared" si="144"/>
        <v>317.29813413796956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36.922810567025707</v>
      </c>
      <c r="AV146" s="21">
        <f>EXP(-LN(2)/25)*AV145+(1-EXP(-LN(2)/25))/(LN(2)/25)*Calculateur!AQ146*Calculateur!AS146*VLOOKUP('Données projet'!$B$10,Paramètres!$A$1:$I$89,3,0)*0.475*44/12</f>
        <v>1.9410443240561777</v>
      </c>
      <c r="AW146" s="21">
        <f>EXP(-LN(2)/2)*AW145+(1-EXP(-LN(2)/2))/(LN(2)/2)*AQ146*AT146*VLOOKUP('Données projet'!$B$10,Paramètres!$A$1:$I$89,3,0)*0.475*44/12</f>
        <v>4.2248374765079336E-18</v>
      </c>
      <c r="AX146" s="21">
        <f t="shared" si="114"/>
        <v>38.863854891081886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267</v>
      </c>
      <c r="BE146" s="13">
        <f>BD146*VLOOKUP('Données projet'!$B$11,Paramètres!$A$1:$I$89,3,0)*VLOOKUP('Données projet'!$B$11,Paramètres!$A$1:$I$89,5,0)</f>
        <v>279.06840000000005</v>
      </c>
      <c r="BF146" s="13">
        <f t="shared" si="145"/>
        <v>66.770096850895143</v>
      </c>
      <c r="BG146" s="20">
        <f t="shared" si="115"/>
        <v>602.33538201530905</v>
      </c>
      <c r="BH146" s="59">
        <f t="shared" si="116"/>
        <v>895.66871534864231</v>
      </c>
      <c r="BI146" s="59">
        <f ca="1">AVERAGE(OFFSET($BH$3,0,0,'Données projet'!$E$11+1,1))-AVERAGE(OFFSET($H$3,0,0,'Données projet'!$E$11+1,1))</f>
        <v>319.97102066931524</v>
      </c>
      <c r="BJ146" s="59">
        <f t="shared" si="146"/>
        <v>190.48958701476397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50.149519975641667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50.149519975641667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152.40696942350093</v>
      </c>
      <c r="T147" s="59">
        <f t="shared" si="142"/>
        <v>368.99390365472789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795.00000000000068</v>
      </c>
      <c r="AJ147" s="13">
        <f>AI147*VLOOKUP('Données projet'!$B$10,Paramètres!$A$1:$I$89,3,0)*VLOOKUP('Données projet'!$B$10,Paramètres!$A$1:$I$89,5,0)</f>
        <v>372.06000000000029</v>
      </c>
      <c r="AK147" s="13">
        <f t="shared" si="143"/>
        <v>86.088609967897526</v>
      </c>
      <c r="AL147" s="20">
        <f t="shared" si="112"/>
        <v>797.94216236075533</v>
      </c>
      <c r="AM147" s="59">
        <f t="shared" si="113"/>
        <v>1091.2754956940887</v>
      </c>
      <c r="AN147" s="59">
        <f ca="1">AVERAGE(OFFSET($AM$3,0,0,'Données projet'!$E$10+1,1))-AVERAGE(OFFSET($H$3,0,0,'Données projet'!$E$10+1,1))</f>
        <v>379.12827535040157</v>
      </c>
      <c r="AO147" s="59">
        <f t="shared" si="144"/>
        <v>317.29813413796956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36.198776772497048</v>
      </c>
      <c r="AV147" s="21">
        <f>EXP(-LN(2)/25)*AV146+(1-EXP(-LN(2)/25))/(LN(2)/25)*Calculateur!AQ147*Calculateur!AS147*VLOOKUP('Données projet'!$B$10,Paramètres!$A$1:$I$89,3,0)*0.475*44/12</f>
        <v>1.8879663649397769</v>
      </c>
      <c r="AW147" s="21">
        <f>EXP(-LN(2)/2)*AW146+(1-EXP(-LN(2)/2))/(LN(2)/2)*AQ147*AT147*VLOOKUP('Données projet'!$B$10,Paramètres!$A$1:$I$89,3,0)*0.475*44/12</f>
        <v>2.987411229049821E-18</v>
      </c>
      <c r="AX147" s="21">
        <f t="shared" si="114"/>
        <v>38.086743137436827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267</v>
      </c>
      <c r="BE147" s="13">
        <f>BD147*VLOOKUP('Données projet'!$B$11,Paramètres!$A$1:$I$89,3,0)*VLOOKUP('Données projet'!$B$11,Paramètres!$A$1:$I$89,5,0)</f>
        <v>279.06840000000005</v>
      </c>
      <c r="BF147" s="13">
        <f t="shared" si="145"/>
        <v>66.770096850895143</v>
      </c>
      <c r="BG147" s="20">
        <f t="shared" si="115"/>
        <v>602.33538201530905</v>
      </c>
      <c r="BH147" s="59">
        <f t="shared" si="116"/>
        <v>895.66871534864231</v>
      </c>
      <c r="BI147" s="59">
        <f ca="1">AVERAGE(OFFSET($BH$3,0,0,'Données projet'!$E$11+1,1))-AVERAGE(OFFSET($H$3,0,0,'Données projet'!$E$11+1,1))</f>
        <v>319.97102066931524</v>
      </c>
      <c r="BJ147" s="59">
        <f t="shared" si="146"/>
        <v>190.48958701476397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49.166118477106188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49.166118477106188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152.40696942350093</v>
      </c>
      <c r="T148" s="59">
        <f t="shared" si="142"/>
        <v>368.99390365472789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795.00000000000068</v>
      </c>
      <c r="AJ148" s="13">
        <f>AI148*VLOOKUP('Données projet'!$B$10,Paramètres!$A$1:$I$89,3,0)*VLOOKUP('Données projet'!$B$10,Paramètres!$A$1:$I$89,5,0)</f>
        <v>372.06000000000029</v>
      </c>
      <c r="AK148" s="13">
        <f t="shared" si="143"/>
        <v>86.088609967897526</v>
      </c>
      <c r="AL148" s="20">
        <f t="shared" si="112"/>
        <v>797.94216236075533</v>
      </c>
      <c r="AM148" s="59">
        <f t="shared" si="113"/>
        <v>1091.2754956940887</v>
      </c>
      <c r="AN148" s="59">
        <f ca="1">AVERAGE(OFFSET($AM$3,0,0,'Données projet'!$E$10+1,1))-AVERAGE(OFFSET($H$3,0,0,'Données projet'!$E$10+1,1))</f>
        <v>379.12827535040157</v>
      </c>
      <c r="AO148" s="59">
        <f t="shared" si="144"/>
        <v>317.29813413796956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35.488940839062082</v>
      </c>
      <c r="AV148" s="21">
        <f>EXP(-LN(2)/25)*AV147+(1-EXP(-LN(2)/25))/(LN(2)/25)*Calculateur!AQ148*Calculateur!AS148*VLOOKUP('Données projet'!$B$10,Paramètres!$A$1:$I$89,3,0)*0.475*44/12</f>
        <v>1.8363398254066625</v>
      </c>
      <c r="AW148" s="21">
        <f>EXP(-LN(2)/2)*AW147+(1-EXP(-LN(2)/2))/(LN(2)/2)*AQ148*AT148*VLOOKUP('Données projet'!$B$10,Paramètres!$A$1:$I$89,3,0)*0.475*44/12</f>
        <v>2.1124187382539668E-18</v>
      </c>
      <c r="AX148" s="21">
        <f t="shared" si="114"/>
        <v>37.325280664468742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267</v>
      </c>
      <c r="BE148" s="13">
        <f>BD148*VLOOKUP('Données projet'!$B$11,Paramètres!$A$1:$I$89,3,0)*VLOOKUP('Données projet'!$B$11,Paramètres!$A$1:$I$89,5,0)</f>
        <v>279.06840000000005</v>
      </c>
      <c r="BF148" s="13">
        <f t="shared" si="145"/>
        <v>66.770096850895143</v>
      </c>
      <c r="BG148" s="20">
        <f t="shared" si="115"/>
        <v>602.33538201530905</v>
      </c>
      <c r="BH148" s="59">
        <f t="shared" si="116"/>
        <v>895.66871534864231</v>
      </c>
      <c r="BI148" s="59">
        <f ca="1">AVERAGE(OFFSET($BH$3,0,0,'Données projet'!$E$11+1,1))-AVERAGE(OFFSET($H$3,0,0,'Données projet'!$E$11+1,1))</f>
        <v>319.97102066931524</v>
      </c>
      <c r="BJ148" s="59">
        <f t="shared" si="146"/>
        <v>190.48958701476397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48.202000882141299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48.202000882141299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152.40696942350093</v>
      </c>
      <c r="T149" s="59">
        <f t="shared" si="142"/>
        <v>368.99390365472789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795.00000000000068</v>
      </c>
      <c r="AJ149" s="13">
        <f>AI149*VLOOKUP('Données projet'!$B$10,Paramètres!$A$1:$I$89,3,0)*VLOOKUP('Données projet'!$B$10,Paramètres!$A$1:$I$89,5,0)</f>
        <v>372.06000000000029</v>
      </c>
      <c r="AK149" s="13">
        <f t="shared" si="143"/>
        <v>86.088609967897526</v>
      </c>
      <c r="AL149" s="20">
        <f t="shared" si="112"/>
        <v>797.94216236075533</v>
      </c>
      <c r="AM149" s="59">
        <f t="shared" si="113"/>
        <v>1091.2754956940887</v>
      </c>
      <c r="AN149" s="59">
        <f ca="1">AVERAGE(OFFSET($AM$3,0,0,'Données projet'!$E$10+1,1))-AVERAGE(OFFSET($H$3,0,0,'Données projet'!$E$10+1,1))</f>
        <v>379.12827535040157</v>
      </c>
      <c r="AO149" s="59">
        <f t="shared" si="144"/>
        <v>317.29813413796956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34.793024355324611</v>
      </c>
      <c r="AV149" s="21">
        <f>EXP(-LN(2)/25)*AV148+(1-EXP(-LN(2)/25))/(LN(2)/25)*Calculateur!AQ149*Calculateur!AS149*VLOOKUP('Données projet'!$B$10,Paramètres!$A$1:$I$89,3,0)*0.475*44/12</f>
        <v>1.7861250163120028</v>
      </c>
      <c r="AW149" s="21">
        <f>EXP(-LN(2)/2)*AW148+(1-EXP(-LN(2)/2))/(LN(2)/2)*AQ149*AT149*VLOOKUP('Données projet'!$B$10,Paramètres!$A$1:$I$89,3,0)*0.475*44/12</f>
        <v>1.4937056145249105E-18</v>
      </c>
      <c r="AX149" s="21">
        <f t="shared" si="114"/>
        <v>36.579149371636618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267</v>
      </c>
      <c r="BE149" s="13">
        <f>BD149*VLOOKUP('Données projet'!$B$11,Paramètres!$A$1:$I$89,3,0)*VLOOKUP('Données projet'!$B$11,Paramètres!$A$1:$I$89,5,0)</f>
        <v>279.06840000000005</v>
      </c>
      <c r="BF149" s="13">
        <f t="shared" si="145"/>
        <v>66.770096850895143</v>
      </c>
      <c r="BG149" s="20">
        <f t="shared" si="115"/>
        <v>602.33538201530905</v>
      </c>
      <c r="BH149" s="59">
        <f t="shared" si="116"/>
        <v>895.66871534864231</v>
      </c>
      <c r="BI149" s="59">
        <f ca="1">AVERAGE(OFFSET($BH$3,0,0,'Données projet'!$E$11+1,1))-AVERAGE(OFFSET($H$3,0,0,'Données projet'!$E$11+1,1))</f>
        <v>319.97102066931524</v>
      </c>
      <c r="BJ149" s="59">
        <f t="shared" si="146"/>
        <v>190.48958701476397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47.256789045160005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47.256789045160005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152.40696942350093</v>
      </c>
      <c r="T150" s="59">
        <f t="shared" si="142"/>
        <v>368.99390365472789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795.00000000000068</v>
      </c>
      <c r="AJ150" s="13">
        <f>AI150*VLOOKUP('Données projet'!$B$10,Paramètres!$A$1:$I$89,3,0)*VLOOKUP('Données projet'!$B$10,Paramètres!$A$1:$I$89,5,0)</f>
        <v>372.06000000000029</v>
      </c>
      <c r="AK150" s="13">
        <f t="shared" si="143"/>
        <v>86.088609967897526</v>
      </c>
      <c r="AL150" s="20">
        <f t="shared" si="112"/>
        <v>797.94216236075533</v>
      </c>
      <c r="AM150" s="59">
        <f t="shared" si="113"/>
        <v>1091.2754956940887</v>
      </c>
      <c r="AN150" s="59">
        <f ca="1">AVERAGE(OFFSET($AM$3,0,0,'Données projet'!$E$10+1,1))-AVERAGE(OFFSET($H$3,0,0,'Données projet'!$E$10+1,1))</f>
        <v>379.12827535040157</v>
      </c>
      <c r="AO150" s="59">
        <f t="shared" si="144"/>
        <v>317.29813413796956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34.110754369366092</v>
      </c>
      <c r="AV150" s="21">
        <f>EXP(-LN(2)/25)*AV149+(1-EXP(-LN(2)/25))/(LN(2)/25)*Calculateur!AQ150*Calculateur!AS150*VLOOKUP('Données projet'!$B$10,Paramètres!$A$1:$I$89,3,0)*0.475*44/12</f>
        <v>1.7372833338127187</v>
      </c>
      <c r="AW150" s="21">
        <f>EXP(-LN(2)/2)*AW149+(1-EXP(-LN(2)/2))/(LN(2)/2)*AQ150*AT150*VLOOKUP('Données projet'!$B$10,Paramètres!$A$1:$I$89,3,0)*0.475*44/12</f>
        <v>1.0562093691269834E-18</v>
      </c>
      <c r="AX150" s="21">
        <f t="shared" si="114"/>
        <v>35.848037703178811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267</v>
      </c>
      <c r="BE150" s="13">
        <f>BD150*VLOOKUP('Données projet'!$B$11,Paramètres!$A$1:$I$89,3,0)*VLOOKUP('Données projet'!$B$11,Paramètres!$A$1:$I$89,5,0)</f>
        <v>279.06840000000005</v>
      </c>
      <c r="BF150" s="13">
        <f t="shared" si="145"/>
        <v>66.770096850895143</v>
      </c>
      <c r="BG150" s="20">
        <f t="shared" si="115"/>
        <v>602.33538201530905</v>
      </c>
      <c r="BH150" s="59">
        <f t="shared" si="116"/>
        <v>895.66871534864231</v>
      </c>
      <c r="BI150" s="59">
        <f ca="1">AVERAGE(OFFSET($BH$3,0,0,'Données projet'!$E$11+1,1))-AVERAGE(OFFSET($H$3,0,0,'Données projet'!$E$11+1,1))</f>
        <v>319.97102066931524</v>
      </c>
      <c r="BJ150" s="59">
        <f t="shared" si="146"/>
        <v>190.48958701476397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46.330112235779623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46.330112235779623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152.40696942350093</v>
      </c>
      <c r="T151" s="59">
        <f t="shared" si="142"/>
        <v>368.99390365472789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795.00000000000068</v>
      </c>
      <c r="AJ151" s="13">
        <f>AI151*VLOOKUP('Données projet'!$B$10,Paramètres!$A$1:$I$89,3,0)*VLOOKUP('Données projet'!$B$10,Paramètres!$A$1:$I$89,5,0)</f>
        <v>372.06000000000029</v>
      </c>
      <c r="AK151" s="13">
        <f t="shared" si="143"/>
        <v>86.088609967897526</v>
      </c>
      <c r="AL151" s="20">
        <f t="shared" si="112"/>
        <v>797.94216236075533</v>
      </c>
      <c r="AM151" s="59">
        <f t="shared" si="113"/>
        <v>1091.2754956940887</v>
      </c>
      <c r="AN151" s="59">
        <f ca="1">AVERAGE(OFFSET($AM$3,0,0,'Données projet'!$E$10+1,1))-AVERAGE(OFFSET($H$3,0,0,'Données projet'!$E$10+1,1))</f>
        <v>379.12827535040157</v>
      </c>
      <c r="AO151" s="59">
        <f t="shared" si="144"/>
        <v>317.29813413796956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33.441863281688612</v>
      </c>
      <c r="AV151" s="21">
        <f>EXP(-LN(2)/25)*AV150+(1-EXP(-LN(2)/25))/(LN(2)/25)*Calculateur!AQ151*Calculateur!AS151*VLOOKUP('Données projet'!$B$10,Paramètres!$A$1:$I$89,3,0)*0.475*44/12</f>
        <v>1.6897772296898501</v>
      </c>
      <c r="AW151" s="21">
        <f>EXP(-LN(2)/2)*AW150+(1-EXP(-LN(2)/2))/(LN(2)/2)*AQ151*AT151*VLOOKUP('Données projet'!$B$10,Paramètres!$A$1:$I$89,3,0)*0.475*44/12</f>
        <v>7.4685280726245525E-19</v>
      </c>
      <c r="AX151" s="21">
        <f t="shared" si="114"/>
        <v>35.131640511378464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267</v>
      </c>
      <c r="BE151" s="13">
        <f>BD151*VLOOKUP('Données projet'!$B$11,Paramètres!$A$1:$I$89,3,0)*VLOOKUP('Données projet'!$B$11,Paramètres!$A$1:$I$89,5,0)</f>
        <v>279.06840000000005</v>
      </c>
      <c r="BF151" s="13">
        <f t="shared" si="145"/>
        <v>66.770096850895143</v>
      </c>
      <c r="BG151" s="20">
        <f t="shared" si="115"/>
        <v>602.33538201530905</v>
      </c>
      <c r="BH151" s="59">
        <f t="shared" si="116"/>
        <v>895.66871534864231</v>
      </c>
      <c r="BI151" s="59">
        <f ca="1">AVERAGE(OFFSET($BH$3,0,0,'Données projet'!$E$11+1,1))-AVERAGE(OFFSET($H$3,0,0,'Données projet'!$E$11+1,1))</f>
        <v>319.97102066931524</v>
      </c>
      <c r="BJ151" s="59">
        <f t="shared" si="146"/>
        <v>190.48958701476397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45.421606993414144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45.421606993414144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152.40696942350093</v>
      </c>
      <c r="T152" s="59">
        <f t="shared" si="142"/>
        <v>368.99390365472789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795.00000000000068</v>
      </c>
      <c r="AJ152" s="13">
        <f>AI152*VLOOKUP('Données projet'!$B$10,Paramètres!$A$1:$I$89,3,0)*VLOOKUP('Données projet'!$B$10,Paramètres!$A$1:$I$89,5,0)</f>
        <v>372.06000000000029</v>
      </c>
      <c r="AK152" s="13">
        <f t="shared" si="143"/>
        <v>86.088609967897526</v>
      </c>
      <c r="AL152" s="20">
        <f t="shared" si="112"/>
        <v>797.94216236075533</v>
      </c>
      <c r="AM152" s="59">
        <f t="shared" si="113"/>
        <v>1091.2754956940887</v>
      </c>
      <c r="AN152" s="59">
        <f ca="1">AVERAGE(OFFSET($AM$3,0,0,'Données projet'!$E$10+1,1))-AVERAGE(OFFSET($H$3,0,0,'Données projet'!$E$10+1,1))</f>
        <v>379.12827535040157</v>
      </c>
      <c r="AO152" s="59">
        <f t="shared" si="144"/>
        <v>317.29813413796956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32.786088740257213</v>
      </c>
      <c r="AV152" s="21">
        <f>EXP(-LN(2)/25)*AV151+(1-EXP(-LN(2)/25))/(LN(2)/25)*Calculateur!AQ152*Calculateur!AS152*VLOOKUP('Données projet'!$B$10,Paramètres!$A$1:$I$89,3,0)*0.475*44/12</f>
        <v>1.6435701824824587</v>
      </c>
      <c r="AW152" s="21">
        <f>EXP(-LN(2)/2)*AW151+(1-EXP(-LN(2)/2))/(LN(2)/2)*AQ152*AT152*VLOOKUP('Données projet'!$B$10,Paramètres!$A$1:$I$89,3,0)*0.475*44/12</f>
        <v>5.2810468456349169E-19</v>
      </c>
      <c r="AX152" s="21">
        <f t="shared" si="114"/>
        <v>34.429658922739669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267</v>
      </c>
      <c r="BE152" s="13">
        <f>BD152*VLOOKUP('Données projet'!$B$11,Paramètres!$A$1:$I$89,3,0)*VLOOKUP('Données projet'!$B$11,Paramètres!$A$1:$I$89,5,0)</f>
        <v>279.06840000000005</v>
      </c>
      <c r="BF152" s="13">
        <f t="shared" si="145"/>
        <v>66.770096850895143</v>
      </c>
      <c r="BG152" s="20">
        <f t="shared" si="115"/>
        <v>602.33538201530905</v>
      </c>
      <c r="BH152" s="59">
        <f t="shared" si="116"/>
        <v>895.66871534864231</v>
      </c>
      <c r="BI152" s="59">
        <f ca="1">AVERAGE(OFFSET($BH$3,0,0,'Données projet'!$E$11+1,1))-AVERAGE(OFFSET($H$3,0,0,'Données projet'!$E$11+1,1))</f>
        <v>319.97102066931524</v>
      </c>
      <c r="BJ152" s="59">
        <f t="shared" si="146"/>
        <v>190.48958701476397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44.530916984717969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44.530916984717969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152.40696942350093</v>
      </c>
      <c r="T153" s="59">
        <f t="shared" si="142"/>
        <v>368.99390365472789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795.00000000000068</v>
      </c>
      <c r="AJ153" s="13">
        <f>AI153*VLOOKUP('Données projet'!$B$10,Paramètres!$A$1:$I$89,3,0)*VLOOKUP('Données projet'!$B$10,Paramètres!$A$1:$I$89,5,0)</f>
        <v>372.06000000000029</v>
      </c>
      <c r="AK153" s="13">
        <f t="shared" si="143"/>
        <v>86.088609967897526</v>
      </c>
      <c r="AL153" s="20">
        <f t="shared" si="112"/>
        <v>797.94216236075533</v>
      </c>
      <c r="AM153" s="59">
        <f t="shared" si="113"/>
        <v>1091.2754956940887</v>
      </c>
      <c r="AN153" s="59">
        <f ca="1">AVERAGE(OFFSET($AM$3,0,0,'Données projet'!$E$10+1,1))-AVERAGE(OFFSET($H$3,0,0,'Données projet'!$E$10+1,1))</f>
        <v>379.12827535040157</v>
      </c>
      <c r="AO153" s="59">
        <f t="shared" si="144"/>
        <v>317.29813413796956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32.143173537600305</v>
      </c>
      <c r="AV153" s="21">
        <f>EXP(-LN(2)/25)*AV152+(1-EXP(-LN(2)/25))/(LN(2)/25)*Calculateur!AQ153*Calculateur!AS153*VLOOKUP('Données projet'!$B$10,Paramètres!$A$1:$I$89,3,0)*0.475*44/12</f>
        <v>1.5986266694108764</v>
      </c>
      <c r="AW153" s="21">
        <f>EXP(-LN(2)/2)*AW152+(1-EXP(-LN(2)/2))/(LN(2)/2)*AQ153*AT153*VLOOKUP('Données projet'!$B$10,Paramètres!$A$1:$I$89,3,0)*0.475*44/12</f>
        <v>3.7342640363122763E-19</v>
      </c>
      <c r="AX153" s="21">
        <f t="shared" si="114"/>
        <v>33.741800207011181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267</v>
      </c>
      <c r="BE153" s="13">
        <f>BD153*VLOOKUP('Données projet'!$B$11,Paramètres!$A$1:$I$89,3,0)*VLOOKUP('Données projet'!$B$11,Paramètres!$A$1:$I$89,5,0)</f>
        <v>279.06840000000005</v>
      </c>
      <c r="BF153" s="13">
        <f t="shared" si="145"/>
        <v>66.770096850895143</v>
      </c>
      <c r="BG153" s="20">
        <f t="shared" si="115"/>
        <v>602.33538201530905</v>
      </c>
      <c r="BH153" s="59">
        <f t="shared" si="116"/>
        <v>895.66871534864231</v>
      </c>
      <c r="BI153" s="59">
        <f ca="1">AVERAGE(OFFSET($BH$3,0,0,'Données projet'!$E$11+1,1))-AVERAGE(OFFSET($H$3,0,0,'Données projet'!$E$11+1,1))</f>
        <v>319.97102066931524</v>
      </c>
      <c r="BJ153" s="59">
        <f t="shared" si="146"/>
        <v>190.48958701476397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43.657692863825069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43.657692863825069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152.40696942350093</v>
      </c>
      <c r="T154" s="59">
        <f t="shared" si="142"/>
        <v>368.99390365472789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795.00000000000068</v>
      </c>
      <c r="AJ154" s="13">
        <f>AI154*VLOOKUP('Données projet'!$B$10,Paramètres!$A$1:$I$89,3,0)*VLOOKUP('Données projet'!$B$10,Paramètres!$A$1:$I$89,5,0)</f>
        <v>372.06000000000029</v>
      </c>
      <c r="AK154" s="13">
        <f t="shared" ref="AK154:AK203" si="164">EXP(-1.0587+0.8836*LN(AJ154)+0.284)</f>
        <v>86.088609967897526</v>
      </c>
      <c r="AL154" s="20">
        <f t="shared" ref="AL154:AL203" si="165">(AJ154+AK154)*0.475*44/12</f>
        <v>797.94216236075533</v>
      </c>
      <c r="AM154" s="59">
        <f t="shared" si="113"/>
        <v>1091.2754956940887</v>
      </c>
      <c r="AN154" s="59">
        <f ca="1">AVERAGE(OFFSET($AM$3,0,0,'Données projet'!$E$10+1,1))-AVERAGE(OFFSET($H$3,0,0,'Données projet'!$E$10+1,1))</f>
        <v>379.12827535040157</v>
      </c>
      <c r="AO154" s="59">
        <f t="shared" si="144"/>
        <v>317.29813413796956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31.512865509927948</v>
      </c>
      <c r="AV154" s="21">
        <f>EXP(-LN(2)/25)*AV153+(1-EXP(-LN(2)/25))/(LN(2)/25)*Calculateur!AQ154*Calculateur!AS154*VLOOKUP('Données projet'!$B$10,Paramètres!$A$1:$I$89,3,0)*0.475*44/12</f>
        <v>1.5549121390677132</v>
      </c>
      <c r="AW154" s="21">
        <f>EXP(-LN(2)/2)*AW153+(1-EXP(-LN(2)/2))/(LN(2)/2)*AQ154*AT154*VLOOKUP('Données projet'!$B$10,Paramètres!$A$1:$I$89,3,0)*0.475*44/12</f>
        <v>2.6405234228174585E-19</v>
      </c>
      <c r="AX154" s="21">
        <f t="shared" ref="AX154:AX203" si="166">SUM(AU154:AW154)</f>
        <v>33.067777648995659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267</v>
      </c>
      <c r="BE154" s="13">
        <f>BD154*VLOOKUP('Données projet'!$B$11,Paramètres!$A$1:$I$89,3,0)*VLOOKUP('Données projet'!$B$11,Paramètres!$A$1:$I$89,5,0)</f>
        <v>279.06840000000005</v>
      </c>
      <c r="BF154" s="13">
        <f t="shared" ref="BF154:BF203" si="167">EXP(-1.0587+0.8836*LN(BE154)+0.284)</f>
        <v>66.770096850895143</v>
      </c>
      <c r="BG154" s="20">
        <f t="shared" ref="BG154:BG203" si="168">(BE154+BF154)*0.475*44/12</f>
        <v>602.33538201530905</v>
      </c>
      <c r="BH154" s="59">
        <f t="shared" si="116"/>
        <v>895.66871534864231</v>
      </c>
      <c r="BI154" s="59">
        <f ca="1">AVERAGE(OFFSET($BH$3,0,0,'Données projet'!$E$11+1,1))-AVERAGE(OFFSET($H$3,0,0,'Données projet'!$E$11+1,1))</f>
        <v>319.97102066931524</v>
      </c>
      <c r="BJ154" s="59">
        <f t="shared" si="146"/>
        <v>190.48958701476397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42.801592135328754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42.801592135328754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152.40696942350093</v>
      </c>
      <c r="T155" s="59">
        <f t="shared" si="142"/>
        <v>368.99390365472789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795.00000000000068</v>
      </c>
      <c r="AJ155" s="13">
        <f>AI155*VLOOKUP('Données projet'!$B$10,Paramètres!$A$1:$I$89,3,0)*VLOOKUP('Données projet'!$B$10,Paramètres!$A$1:$I$89,5,0)</f>
        <v>372.06000000000029</v>
      </c>
      <c r="AK155" s="13">
        <f t="shared" si="164"/>
        <v>86.088609967897526</v>
      </c>
      <c r="AL155" s="20">
        <f t="shared" si="165"/>
        <v>797.94216236075533</v>
      </c>
      <c r="AM155" s="59">
        <f t="shared" si="113"/>
        <v>1091.2754956940887</v>
      </c>
      <c r="AN155" s="59">
        <f ca="1">AVERAGE(OFFSET($AM$3,0,0,'Données projet'!$E$10+1,1))-AVERAGE(OFFSET($H$3,0,0,'Données projet'!$E$10+1,1))</f>
        <v>379.12827535040157</v>
      </c>
      <c r="AO155" s="59">
        <f t="shared" si="144"/>
        <v>317.29813413796956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30.894917438228312</v>
      </c>
      <c r="AV155" s="21">
        <f>EXP(-LN(2)/25)*AV154+(1-EXP(-LN(2)/25))/(LN(2)/25)*Calculateur!AQ155*Calculateur!AS155*VLOOKUP('Données projet'!$B$10,Paramètres!$A$1:$I$89,3,0)*0.475*44/12</f>
        <v>1.512392984855631</v>
      </c>
      <c r="AW155" s="21">
        <f>EXP(-LN(2)/2)*AW154+(1-EXP(-LN(2)/2))/(LN(2)/2)*AQ155*AT155*VLOOKUP('Données projet'!$B$10,Paramètres!$A$1:$I$89,3,0)*0.475*44/12</f>
        <v>1.8671320181561381E-19</v>
      </c>
      <c r="AX155" s="21">
        <f t="shared" si="166"/>
        <v>32.407310423083942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267</v>
      </c>
      <c r="BE155" s="13">
        <f>BD155*VLOOKUP('Données projet'!$B$11,Paramètres!$A$1:$I$89,3,0)*VLOOKUP('Données projet'!$B$11,Paramètres!$A$1:$I$89,5,0)</f>
        <v>279.06840000000005</v>
      </c>
      <c r="BF155" s="13">
        <f t="shared" si="167"/>
        <v>66.770096850895143</v>
      </c>
      <c r="BG155" s="20">
        <f t="shared" si="168"/>
        <v>602.33538201530905</v>
      </c>
      <c r="BH155" s="59">
        <f t="shared" si="116"/>
        <v>895.66871534864231</v>
      </c>
      <c r="BI155" s="59">
        <f ca="1">AVERAGE(OFFSET($BH$3,0,0,'Données projet'!$E$11+1,1))-AVERAGE(OFFSET($H$3,0,0,'Données projet'!$E$11+1,1))</f>
        <v>319.97102066931524</v>
      </c>
      <c r="BJ155" s="59">
        <f t="shared" si="146"/>
        <v>190.48958701476397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41.962279019948369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41.962279019948369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152.40696942350093</v>
      </c>
      <c r="T156" s="59">
        <f t="shared" si="142"/>
        <v>368.99390365472789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795.00000000000068</v>
      </c>
      <c r="AJ156" s="13">
        <f>AI156*VLOOKUP('Données projet'!$B$10,Paramètres!$A$1:$I$89,3,0)*VLOOKUP('Données projet'!$B$10,Paramètres!$A$1:$I$89,5,0)</f>
        <v>372.06000000000029</v>
      </c>
      <c r="AK156" s="13">
        <f t="shared" si="164"/>
        <v>86.088609967897526</v>
      </c>
      <c r="AL156" s="20">
        <f t="shared" si="165"/>
        <v>797.94216236075533</v>
      </c>
      <c r="AM156" s="59">
        <f t="shared" si="113"/>
        <v>1091.2754956940887</v>
      </c>
      <c r="AN156" s="59">
        <f ca="1">AVERAGE(OFFSET($AM$3,0,0,'Données projet'!$E$10+1,1))-AVERAGE(OFFSET($H$3,0,0,'Données projet'!$E$10+1,1))</f>
        <v>379.12827535040157</v>
      </c>
      <c r="AO156" s="59">
        <f t="shared" si="144"/>
        <v>317.29813413796956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30.289086951303599</v>
      </c>
      <c r="AV156" s="21">
        <f>EXP(-LN(2)/25)*AV155+(1-EXP(-LN(2)/25))/(LN(2)/25)*Calculateur!AQ156*Calculateur!AS156*VLOOKUP('Données projet'!$B$10,Paramètres!$A$1:$I$89,3,0)*0.475*44/12</f>
        <v>1.4710365191514634</v>
      </c>
      <c r="AW156" s="21">
        <f>EXP(-LN(2)/2)*AW155+(1-EXP(-LN(2)/2))/(LN(2)/2)*AQ156*AT156*VLOOKUP('Données projet'!$B$10,Paramètres!$A$1:$I$89,3,0)*0.475*44/12</f>
        <v>1.3202617114087292E-19</v>
      </c>
      <c r="AX156" s="21">
        <f t="shared" si="166"/>
        <v>31.760123470455063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267</v>
      </c>
      <c r="BE156" s="13">
        <f>BD156*VLOOKUP('Données projet'!$B$11,Paramètres!$A$1:$I$89,3,0)*VLOOKUP('Données projet'!$B$11,Paramètres!$A$1:$I$89,5,0)</f>
        <v>279.06840000000005</v>
      </c>
      <c r="BF156" s="13">
        <f t="shared" si="167"/>
        <v>66.770096850895143</v>
      </c>
      <c r="BG156" s="20">
        <f t="shared" si="168"/>
        <v>602.33538201530905</v>
      </c>
      <c r="BH156" s="59">
        <f t="shared" si="116"/>
        <v>895.66871534864231</v>
      </c>
      <c r="BI156" s="59">
        <f ca="1">AVERAGE(OFFSET($BH$3,0,0,'Données projet'!$E$11+1,1))-AVERAGE(OFFSET($H$3,0,0,'Données projet'!$E$11+1,1))</f>
        <v>319.97102066931524</v>
      </c>
      <c r="BJ156" s="59">
        <f t="shared" si="146"/>
        <v>190.48958701476397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41.139424322830138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41.139424322830138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152.40696942350093</v>
      </c>
      <c r="T157" s="59">
        <f t="shared" si="142"/>
        <v>368.99390365472789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795.00000000000068</v>
      </c>
      <c r="AJ157" s="13">
        <f>AI157*VLOOKUP('Données projet'!$B$10,Paramètres!$A$1:$I$89,3,0)*VLOOKUP('Données projet'!$B$10,Paramètres!$A$1:$I$89,5,0)</f>
        <v>372.06000000000029</v>
      </c>
      <c r="AK157" s="13">
        <f t="shared" si="164"/>
        <v>86.088609967897526</v>
      </c>
      <c r="AL157" s="20">
        <f t="shared" si="165"/>
        <v>797.94216236075533</v>
      </c>
      <c r="AM157" s="59">
        <f t="shared" si="113"/>
        <v>1091.2754956940887</v>
      </c>
      <c r="AN157" s="59">
        <f ca="1">AVERAGE(OFFSET($AM$3,0,0,'Données projet'!$E$10+1,1))-AVERAGE(OFFSET($H$3,0,0,'Données projet'!$E$10+1,1))</f>
        <v>379.12827535040157</v>
      </c>
      <c r="AO157" s="59">
        <f t="shared" si="144"/>
        <v>317.29813413796956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29.695136430707368</v>
      </c>
      <c r="AV157" s="21">
        <f>EXP(-LN(2)/25)*AV156+(1-EXP(-LN(2)/25))/(LN(2)/25)*Calculateur!AQ157*Calculateur!AS157*VLOOKUP('Données projet'!$B$10,Paramètres!$A$1:$I$89,3,0)*0.475*44/12</f>
        <v>1.4308109481768181</v>
      </c>
      <c r="AW157" s="21">
        <f>EXP(-LN(2)/2)*AW156+(1-EXP(-LN(2)/2))/(LN(2)/2)*AQ157*AT157*VLOOKUP('Données projet'!$B$10,Paramètres!$A$1:$I$89,3,0)*0.475*44/12</f>
        <v>9.3356600907806906E-20</v>
      </c>
      <c r="AX157" s="21">
        <f t="shared" si="166"/>
        <v>31.125947378884185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267</v>
      </c>
      <c r="BE157" s="13">
        <f>BD157*VLOOKUP('Données projet'!$B$11,Paramètres!$A$1:$I$89,3,0)*VLOOKUP('Données projet'!$B$11,Paramètres!$A$1:$I$89,5,0)</f>
        <v>279.06840000000005</v>
      </c>
      <c r="BF157" s="13">
        <f t="shared" si="167"/>
        <v>66.770096850895143</v>
      </c>
      <c r="BG157" s="20">
        <f t="shared" si="168"/>
        <v>602.33538201530905</v>
      </c>
      <c r="BH157" s="59">
        <f t="shared" si="116"/>
        <v>895.66871534864231</v>
      </c>
      <c r="BI157" s="59">
        <f ca="1">AVERAGE(OFFSET($BH$3,0,0,'Données projet'!$E$11+1,1))-AVERAGE(OFFSET($H$3,0,0,'Données projet'!$E$11+1,1))</f>
        <v>319.97102066931524</v>
      </c>
      <c r="BJ157" s="59">
        <f t="shared" si="146"/>
        <v>190.48958701476397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40.33270530443059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40.33270530443059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152.40696942350093</v>
      </c>
      <c r="T158" s="59">
        <f t="shared" si="142"/>
        <v>368.99390365472789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795.00000000000068</v>
      </c>
      <c r="AJ158" s="13">
        <f>AI158*VLOOKUP('Données projet'!$B$10,Paramètres!$A$1:$I$89,3,0)*VLOOKUP('Données projet'!$B$10,Paramètres!$A$1:$I$89,5,0)</f>
        <v>372.06000000000029</v>
      </c>
      <c r="AK158" s="13">
        <f t="shared" si="164"/>
        <v>86.088609967897526</v>
      </c>
      <c r="AL158" s="20">
        <f t="shared" si="165"/>
        <v>797.94216236075533</v>
      </c>
      <c r="AM158" s="59">
        <f t="shared" si="113"/>
        <v>1091.2754956940887</v>
      </c>
      <c r="AN158" s="59">
        <f ca="1">AVERAGE(OFFSET($AM$3,0,0,'Données projet'!$E$10+1,1))-AVERAGE(OFFSET($H$3,0,0,'Données projet'!$E$10+1,1))</f>
        <v>379.12827535040157</v>
      </c>
      <c r="AO158" s="59">
        <f t="shared" si="144"/>
        <v>317.29813413796956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29.112832917545983</v>
      </c>
      <c r="AV158" s="21">
        <f>EXP(-LN(2)/25)*AV157+(1-EXP(-LN(2)/25))/(LN(2)/25)*Calculateur!AQ158*Calculateur!AS158*VLOOKUP('Données projet'!$B$10,Paramètres!$A$1:$I$89,3,0)*0.475*44/12</f>
        <v>1.3916853475558455</v>
      </c>
      <c r="AW158" s="21">
        <f>EXP(-LN(2)/2)*AW157+(1-EXP(-LN(2)/2))/(LN(2)/2)*AQ158*AT158*VLOOKUP('Données projet'!$B$10,Paramètres!$A$1:$I$89,3,0)*0.475*44/12</f>
        <v>6.6013085570436462E-20</v>
      </c>
      <c r="AX158" s="21">
        <f t="shared" si="166"/>
        <v>30.504518265101829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267</v>
      </c>
      <c r="BE158" s="13">
        <f>BD158*VLOOKUP('Données projet'!$B$11,Paramètres!$A$1:$I$89,3,0)*VLOOKUP('Données projet'!$B$11,Paramètres!$A$1:$I$89,5,0)</f>
        <v>279.06840000000005</v>
      </c>
      <c r="BF158" s="13">
        <f t="shared" si="167"/>
        <v>66.770096850895143</v>
      </c>
      <c r="BG158" s="20">
        <f t="shared" si="168"/>
        <v>602.33538201530905</v>
      </c>
      <c r="BH158" s="59">
        <f t="shared" si="116"/>
        <v>895.66871534864231</v>
      </c>
      <c r="BI158" s="59">
        <f ca="1">AVERAGE(OFFSET($BH$3,0,0,'Données projet'!$E$11+1,1))-AVERAGE(OFFSET($H$3,0,0,'Données projet'!$E$11+1,1))</f>
        <v>319.97102066931524</v>
      </c>
      <c r="BJ158" s="59">
        <f t="shared" si="146"/>
        <v>190.48958701476397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39.541805553931844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39.541805553931844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152.40696942350093</v>
      </c>
      <c r="T159" s="59">
        <f t="shared" si="142"/>
        <v>368.99390365472789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795.00000000000068</v>
      </c>
      <c r="AJ159" s="13">
        <f>AI159*VLOOKUP('Données projet'!$B$10,Paramètres!$A$1:$I$89,3,0)*VLOOKUP('Données projet'!$B$10,Paramètres!$A$1:$I$89,5,0)</f>
        <v>372.06000000000029</v>
      </c>
      <c r="AK159" s="13">
        <f t="shared" si="164"/>
        <v>86.088609967897526</v>
      </c>
      <c r="AL159" s="20">
        <f t="shared" si="165"/>
        <v>797.94216236075533</v>
      </c>
      <c r="AM159" s="59">
        <f t="shared" si="113"/>
        <v>1091.2754956940887</v>
      </c>
      <c r="AN159" s="59">
        <f ca="1">AVERAGE(OFFSET($AM$3,0,0,'Données projet'!$E$10+1,1))-AVERAGE(OFFSET($H$3,0,0,'Données projet'!$E$10+1,1))</f>
        <v>379.12827535040157</v>
      </c>
      <c r="AO159" s="59">
        <f t="shared" si="144"/>
        <v>317.29813413796956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28.541948021107622</v>
      </c>
      <c r="AV159" s="21">
        <f>EXP(-LN(2)/25)*AV158+(1-EXP(-LN(2)/25))/(LN(2)/25)*Calculateur!AQ159*Calculateur!AS159*VLOOKUP('Données projet'!$B$10,Paramètres!$A$1:$I$89,3,0)*0.475*44/12</f>
        <v>1.3536296385413793</v>
      </c>
      <c r="AW159" s="21">
        <f>EXP(-LN(2)/2)*AW158+(1-EXP(-LN(2)/2))/(LN(2)/2)*AQ159*AT159*VLOOKUP('Données projet'!$B$10,Paramètres!$A$1:$I$89,3,0)*0.475*44/12</f>
        <v>4.6678300453903453E-20</v>
      </c>
      <c r="AX159" s="21">
        <f t="shared" si="166"/>
        <v>29.895577659649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267</v>
      </c>
      <c r="BE159" s="13">
        <f>BD159*VLOOKUP('Données projet'!$B$11,Paramètres!$A$1:$I$89,3,0)*VLOOKUP('Données projet'!$B$11,Paramètres!$A$1:$I$89,5,0)</f>
        <v>279.06840000000005</v>
      </c>
      <c r="BF159" s="13">
        <f t="shared" si="167"/>
        <v>66.770096850895143</v>
      </c>
      <c r="BG159" s="20">
        <f t="shared" si="168"/>
        <v>602.33538201530905</v>
      </c>
      <c r="BH159" s="59">
        <f t="shared" si="116"/>
        <v>895.66871534864231</v>
      </c>
      <c r="BI159" s="59">
        <f ca="1">AVERAGE(OFFSET($BH$3,0,0,'Données projet'!$E$11+1,1))-AVERAGE(OFFSET($H$3,0,0,'Données projet'!$E$11+1,1))</f>
        <v>319.97102066931524</v>
      </c>
      <c r="BJ159" s="59">
        <f t="shared" si="146"/>
        <v>190.48958701476397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38.766414865139161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38.766414865139161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152.40696942350093</v>
      </c>
      <c r="T160" s="59">
        <f t="shared" si="142"/>
        <v>368.99390365472789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795.00000000000068</v>
      </c>
      <c r="AJ160" s="13">
        <f>AI160*VLOOKUP('Données projet'!$B$10,Paramètres!$A$1:$I$89,3,0)*VLOOKUP('Données projet'!$B$10,Paramètres!$A$1:$I$89,5,0)</f>
        <v>372.06000000000029</v>
      </c>
      <c r="AK160" s="13">
        <f t="shared" si="164"/>
        <v>86.088609967897526</v>
      </c>
      <c r="AL160" s="20">
        <f t="shared" si="165"/>
        <v>797.94216236075533</v>
      </c>
      <c r="AM160" s="59">
        <f t="shared" si="113"/>
        <v>1091.2754956940887</v>
      </c>
      <c r="AN160" s="59">
        <f ca="1">AVERAGE(OFFSET($AM$3,0,0,'Données projet'!$E$10+1,1))-AVERAGE(OFFSET($H$3,0,0,'Données projet'!$E$10+1,1))</f>
        <v>379.12827535040157</v>
      </c>
      <c r="AO160" s="59">
        <f t="shared" si="144"/>
        <v>317.29813413796956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27.982257829283011</v>
      </c>
      <c r="AV160" s="21">
        <f>EXP(-LN(2)/25)*AV159+(1-EXP(-LN(2)/25))/(LN(2)/25)*Calculateur!AQ160*Calculateur!AS160*VLOOKUP('Données projet'!$B$10,Paramètres!$A$1:$I$89,3,0)*0.475*44/12</f>
        <v>1.3166145648911765</v>
      </c>
      <c r="AW160" s="21">
        <f>EXP(-LN(2)/2)*AW159+(1-EXP(-LN(2)/2))/(LN(2)/2)*AQ160*AT160*VLOOKUP('Données projet'!$B$10,Paramètres!$A$1:$I$89,3,0)*0.475*44/12</f>
        <v>3.3006542785218231E-20</v>
      </c>
      <c r="AX160" s="21">
        <f t="shared" si="166"/>
        <v>29.298872394174186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267</v>
      </c>
      <c r="BE160" s="13">
        <f>BD160*VLOOKUP('Données projet'!$B$11,Paramètres!$A$1:$I$89,3,0)*VLOOKUP('Données projet'!$B$11,Paramètres!$A$1:$I$89,5,0)</f>
        <v>279.06840000000005</v>
      </c>
      <c r="BF160" s="13">
        <f t="shared" si="167"/>
        <v>66.770096850895143</v>
      </c>
      <c r="BG160" s="20">
        <f t="shared" si="168"/>
        <v>602.33538201530905</v>
      </c>
      <c r="BH160" s="59">
        <f t="shared" si="116"/>
        <v>895.66871534864231</v>
      </c>
      <c r="BI160" s="59">
        <f ca="1">AVERAGE(OFFSET($BH$3,0,0,'Données projet'!$E$11+1,1))-AVERAGE(OFFSET($H$3,0,0,'Données projet'!$E$11+1,1))</f>
        <v>319.97102066931524</v>
      </c>
      <c r="BJ160" s="59">
        <f t="shared" si="146"/>
        <v>190.48958701476397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38.006229114812079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38.006229114812079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152.40696942350093</v>
      </c>
      <c r="T161" s="59">
        <f t="shared" si="142"/>
        <v>368.99390365472789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795.00000000000068</v>
      </c>
      <c r="AJ161" s="13">
        <f>AI161*VLOOKUP('Données projet'!$B$10,Paramètres!$A$1:$I$89,3,0)*VLOOKUP('Données projet'!$B$10,Paramètres!$A$1:$I$89,5,0)</f>
        <v>372.06000000000029</v>
      </c>
      <c r="AK161" s="13">
        <f t="shared" si="164"/>
        <v>86.088609967897526</v>
      </c>
      <c r="AL161" s="20">
        <f t="shared" si="165"/>
        <v>797.94216236075533</v>
      </c>
      <c r="AM161" s="59">
        <f t="shared" si="113"/>
        <v>1091.2754956940887</v>
      </c>
      <c r="AN161" s="59">
        <f ca="1">AVERAGE(OFFSET($AM$3,0,0,'Données projet'!$E$10+1,1))-AVERAGE(OFFSET($H$3,0,0,'Données projet'!$E$10+1,1))</f>
        <v>379.12827535040157</v>
      </c>
      <c r="AO161" s="59">
        <f t="shared" si="144"/>
        <v>317.29813413796956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27.433542820742773</v>
      </c>
      <c r="AV161" s="21">
        <f>EXP(-LN(2)/25)*AV160+(1-EXP(-LN(2)/25))/(LN(2)/25)*Calculateur!AQ161*Calculateur!AS161*VLOOKUP('Données projet'!$B$10,Paramètres!$A$1:$I$89,3,0)*0.475*44/12</f>
        <v>1.2806116703764765</v>
      </c>
      <c r="AW161" s="21">
        <f>EXP(-LN(2)/2)*AW160+(1-EXP(-LN(2)/2))/(LN(2)/2)*AQ161*AT161*VLOOKUP('Données projet'!$B$10,Paramètres!$A$1:$I$89,3,0)*0.475*44/12</f>
        <v>2.3339150226951727E-20</v>
      </c>
      <c r="AX161" s="21">
        <f t="shared" si="166"/>
        <v>28.714154491119249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267</v>
      </c>
      <c r="BE161" s="13">
        <f>BD161*VLOOKUP('Données projet'!$B$11,Paramètres!$A$1:$I$89,3,0)*VLOOKUP('Données projet'!$B$11,Paramètres!$A$1:$I$89,5,0)</f>
        <v>279.06840000000005</v>
      </c>
      <c r="BF161" s="13">
        <f t="shared" si="167"/>
        <v>66.770096850895143</v>
      </c>
      <c r="BG161" s="20">
        <f t="shared" si="168"/>
        <v>602.33538201530905</v>
      </c>
      <c r="BH161" s="59">
        <f t="shared" si="116"/>
        <v>895.66871534864231</v>
      </c>
      <c r="BI161" s="59">
        <f ca="1">AVERAGE(OFFSET($BH$3,0,0,'Données projet'!$E$11+1,1))-AVERAGE(OFFSET($H$3,0,0,'Données projet'!$E$11+1,1))</f>
        <v>319.97102066931524</v>
      </c>
      <c r="BJ161" s="59">
        <f t="shared" si="146"/>
        <v>190.48958701476397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37.260950143381393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37.260950143381393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152.40696942350093</v>
      </c>
      <c r="T162" s="59">
        <f t="shared" si="142"/>
        <v>368.99390365472789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795.00000000000068</v>
      </c>
      <c r="AJ162" s="13">
        <f>AI162*VLOOKUP('Données projet'!$B$10,Paramètres!$A$1:$I$89,3,0)*VLOOKUP('Données projet'!$B$10,Paramètres!$A$1:$I$89,5,0)</f>
        <v>372.06000000000029</v>
      </c>
      <c r="AK162" s="13">
        <f t="shared" si="164"/>
        <v>86.088609967897526</v>
      </c>
      <c r="AL162" s="20">
        <f t="shared" si="165"/>
        <v>797.94216236075533</v>
      </c>
      <c r="AM162" s="59">
        <f t="shared" si="113"/>
        <v>1091.2754956940887</v>
      </c>
      <c r="AN162" s="59">
        <f ca="1">AVERAGE(OFFSET($AM$3,0,0,'Données projet'!$E$10+1,1))-AVERAGE(OFFSET($H$3,0,0,'Données projet'!$E$10+1,1))</f>
        <v>379.12827535040157</v>
      </c>
      <c r="AO162" s="59">
        <f t="shared" si="144"/>
        <v>317.29813413796956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26.895587778836898</v>
      </c>
      <c r="AV162" s="21">
        <f>EXP(-LN(2)/25)*AV161+(1-EXP(-LN(2)/25))/(LN(2)/25)*Calculateur!AQ162*Calculateur!AS162*VLOOKUP('Données projet'!$B$10,Paramètres!$A$1:$I$89,3,0)*0.475*44/12</f>
        <v>1.2455932769055909</v>
      </c>
      <c r="AW162" s="21">
        <f>EXP(-LN(2)/2)*AW161+(1-EXP(-LN(2)/2))/(LN(2)/2)*AQ162*AT162*VLOOKUP('Données projet'!$B$10,Paramètres!$A$1:$I$89,3,0)*0.475*44/12</f>
        <v>1.6503271392609115E-20</v>
      </c>
      <c r="AX162" s="21">
        <f t="shared" si="166"/>
        <v>28.141181055742489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267</v>
      </c>
      <c r="BE162" s="13">
        <f>BD162*VLOOKUP('Données projet'!$B$11,Paramètres!$A$1:$I$89,3,0)*VLOOKUP('Données projet'!$B$11,Paramètres!$A$1:$I$89,5,0)</f>
        <v>279.06840000000005</v>
      </c>
      <c r="BF162" s="13">
        <f t="shared" si="167"/>
        <v>66.770096850895143</v>
      </c>
      <c r="BG162" s="20">
        <f t="shared" si="168"/>
        <v>602.33538201530905</v>
      </c>
      <c r="BH162" s="59">
        <f t="shared" si="116"/>
        <v>895.66871534864231</v>
      </c>
      <c r="BI162" s="59">
        <f ca="1">AVERAGE(OFFSET($BH$3,0,0,'Données projet'!$E$11+1,1))-AVERAGE(OFFSET($H$3,0,0,'Données projet'!$E$11+1,1))</f>
        <v>319.97102066931524</v>
      </c>
      <c r="BJ162" s="59">
        <f t="shared" si="146"/>
        <v>190.48958701476397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36.530285638005175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36.530285638005175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152.40696942350093</v>
      </c>
      <c r="T163" s="59">
        <f t="shared" si="142"/>
        <v>368.99390365472789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795.00000000000068</v>
      </c>
      <c r="AJ163" s="13">
        <f>AI163*VLOOKUP('Données projet'!$B$10,Paramètres!$A$1:$I$89,3,0)*VLOOKUP('Données projet'!$B$10,Paramètres!$A$1:$I$89,5,0)</f>
        <v>372.06000000000029</v>
      </c>
      <c r="AK163" s="13">
        <f t="shared" si="164"/>
        <v>86.088609967897526</v>
      </c>
      <c r="AL163" s="20">
        <f t="shared" si="165"/>
        <v>797.94216236075533</v>
      </c>
      <c r="AM163" s="59">
        <f t="shared" si="113"/>
        <v>1091.2754956940887</v>
      </c>
      <c r="AN163" s="59">
        <f ca="1">AVERAGE(OFFSET($AM$3,0,0,'Données projet'!$E$10+1,1))-AVERAGE(OFFSET($H$3,0,0,'Données projet'!$E$10+1,1))</f>
        <v>379.12827535040157</v>
      </c>
      <c r="AO163" s="59">
        <f t="shared" si="144"/>
        <v>317.29813413796956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26.368181707182622</v>
      </c>
      <c r="AV163" s="21">
        <f>EXP(-LN(2)/25)*AV162+(1-EXP(-LN(2)/25))/(LN(2)/25)*Calculateur!AQ163*Calculateur!AS163*VLOOKUP('Données projet'!$B$10,Paramètres!$A$1:$I$89,3,0)*0.475*44/12</f>
        <v>1.2115324632457039</v>
      </c>
      <c r="AW163" s="21">
        <f>EXP(-LN(2)/2)*AW162+(1-EXP(-LN(2)/2))/(LN(2)/2)*AQ163*AT163*VLOOKUP('Données projet'!$B$10,Paramètres!$A$1:$I$89,3,0)*0.475*44/12</f>
        <v>1.1669575113475863E-20</v>
      </c>
      <c r="AX163" s="21">
        <f t="shared" si="166"/>
        <v>27.579714170428325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267</v>
      </c>
      <c r="BE163" s="13">
        <f>BD163*VLOOKUP('Données projet'!$B$11,Paramètres!$A$1:$I$89,3,0)*VLOOKUP('Données projet'!$B$11,Paramètres!$A$1:$I$89,5,0)</f>
        <v>279.06840000000005</v>
      </c>
      <c r="BF163" s="13">
        <f t="shared" si="167"/>
        <v>66.770096850895143</v>
      </c>
      <c r="BG163" s="20">
        <f t="shared" si="168"/>
        <v>602.33538201530905</v>
      </c>
      <c r="BH163" s="59">
        <f t="shared" si="116"/>
        <v>895.66871534864231</v>
      </c>
      <c r="BI163" s="59">
        <f ca="1">AVERAGE(OFFSET($BH$3,0,0,'Données projet'!$E$11+1,1))-AVERAGE(OFFSET($H$3,0,0,'Données projet'!$E$11+1,1))</f>
        <v>319.97102066931524</v>
      </c>
      <c r="BJ163" s="59">
        <f t="shared" si="146"/>
        <v>190.48958701476397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35.813949017918041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35.813949017918041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152.40696942350093</v>
      </c>
      <c r="T164" s="59">
        <f t="shared" si="142"/>
        <v>368.99390365472789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795.00000000000068</v>
      </c>
      <c r="AJ164" s="13">
        <f>AI164*VLOOKUP('Données projet'!$B$10,Paramètres!$A$1:$I$89,3,0)*VLOOKUP('Données projet'!$B$10,Paramètres!$A$1:$I$89,5,0)</f>
        <v>372.06000000000029</v>
      </c>
      <c r="AK164" s="13">
        <f t="shared" si="164"/>
        <v>86.088609967897526</v>
      </c>
      <c r="AL164" s="20">
        <f t="shared" si="165"/>
        <v>797.94216236075533</v>
      </c>
      <c r="AM164" s="59">
        <f t="shared" si="113"/>
        <v>1091.2754956940887</v>
      </c>
      <c r="AN164" s="59">
        <f ca="1">AVERAGE(OFFSET($AM$3,0,0,'Données projet'!$E$10+1,1))-AVERAGE(OFFSET($H$3,0,0,'Données projet'!$E$10+1,1))</f>
        <v>379.12827535040157</v>
      </c>
      <c r="AO164" s="59">
        <f t="shared" si="144"/>
        <v>317.29813413796956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25.851117746907548</v>
      </c>
      <c r="AV164" s="21">
        <f>EXP(-LN(2)/25)*AV163+(1-EXP(-LN(2)/25))/(LN(2)/25)*Calculateur!AQ164*Calculateur!AS164*VLOOKUP('Données projet'!$B$10,Paramètres!$A$1:$I$89,3,0)*0.475*44/12</f>
        <v>1.1784030443265268</v>
      </c>
      <c r="AW164" s="21">
        <f>EXP(-LN(2)/2)*AW163+(1-EXP(-LN(2)/2))/(LN(2)/2)*AQ164*AT164*VLOOKUP('Données projet'!$B$10,Paramètres!$A$1:$I$89,3,0)*0.475*44/12</f>
        <v>8.2516356963045577E-21</v>
      </c>
      <c r="AX164" s="21">
        <f t="shared" si="166"/>
        <v>27.029520791234074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267</v>
      </c>
      <c r="BE164" s="13">
        <f>BD164*VLOOKUP('Données projet'!$B$11,Paramètres!$A$1:$I$89,3,0)*VLOOKUP('Données projet'!$B$11,Paramètres!$A$1:$I$89,5,0)</f>
        <v>279.06840000000005</v>
      </c>
      <c r="BF164" s="13">
        <f t="shared" si="167"/>
        <v>66.770096850895143</v>
      </c>
      <c r="BG164" s="20">
        <f t="shared" si="168"/>
        <v>602.33538201530905</v>
      </c>
      <c r="BH164" s="59">
        <f t="shared" si="116"/>
        <v>895.66871534864231</v>
      </c>
      <c r="BI164" s="59">
        <f ca="1">AVERAGE(OFFSET($BH$3,0,0,'Données projet'!$E$11+1,1))-AVERAGE(OFFSET($H$3,0,0,'Données projet'!$E$11+1,1))</f>
        <v>319.97102066931524</v>
      </c>
      <c r="BJ164" s="59">
        <f t="shared" si="146"/>
        <v>190.48958701476397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35.111659322028622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35.111659322028622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152.40696942350093</v>
      </c>
      <c r="T165" s="59">
        <f t="shared" si="142"/>
        <v>368.99390365472789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795.00000000000068</v>
      </c>
      <c r="AJ165" s="13">
        <f>AI165*VLOOKUP('Données projet'!$B$10,Paramètres!$A$1:$I$89,3,0)*VLOOKUP('Données projet'!$B$10,Paramètres!$A$1:$I$89,5,0)</f>
        <v>372.06000000000029</v>
      </c>
      <c r="AK165" s="13">
        <f t="shared" si="164"/>
        <v>86.088609967897526</v>
      </c>
      <c r="AL165" s="20">
        <f t="shared" si="165"/>
        <v>797.94216236075533</v>
      </c>
      <c r="AM165" s="59">
        <f t="shared" si="113"/>
        <v>1091.2754956940887</v>
      </c>
      <c r="AN165" s="59">
        <f ca="1">AVERAGE(OFFSET($AM$3,0,0,'Données projet'!$E$10+1,1))-AVERAGE(OFFSET($H$3,0,0,'Données projet'!$E$10+1,1))</f>
        <v>379.12827535040157</v>
      </c>
      <c r="AO165" s="59">
        <f t="shared" si="144"/>
        <v>317.29813413796956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25.344193095515593</v>
      </c>
      <c r="AV165" s="21">
        <f>EXP(-LN(2)/25)*AV164+(1-EXP(-LN(2)/25))/(LN(2)/25)*Calculateur!AQ165*Calculateur!AS165*VLOOKUP('Données projet'!$B$10,Paramètres!$A$1:$I$89,3,0)*0.475*44/12</f>
        <v>1.1461795511098951</v>
      </c>
      <c r="AW165" s="21">
        <f>EXP(-LN(2)/2)*AW164+(1-EXP(-LN(2)/2))/(LN(2)/2)*AQ165*AT165*VLOOKUP('Données projet'!$B$10,Paramètres!$A$1:$I$89,3,0)*0.475*44/12</f>
        <v>5.8347875567379317E-21</v>
      </c>
      <c r="AX165" s="21">
        <f t="shared" si="166"/>
        <v>26.490372646625488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267</v>
      </c>
      <c r="BE165" s="13">
        <f>BD165*VLOOKUP('Données projet'!$B$11,Paramètres!$A$1:$I$89,3,0)*VLOOKUP('Données projet'!$B$11,Paramètres!$A$1:$I$89,5,0)</f>
        <v>279.06840000000005</v>
      </c>
      <c r="BF165" s="13">
        <f t="shared" si="167"/>
        <v>66.770096850895143</v>
      </c>
      <c r="BG165" s="20">
        <f t="shared" si="168"/>
        <v>602.33538201530905</v>
      </c>
      <c r="BH165" s="59">
        <f t="shared" si="116"/>
        <v>895.66871534864231</v>
      </c>
      <c r="BI165" s="59">
        <f ca="1">AVERAGE(OFFSET($BH$3,0,0,'Données projet'!$E$11+1,1))-AVERAGE(OFFSET($H$3,0,0,'Données projet'!$E$11+1,1))</f>
        <v>319.97102066931524</v>
      </c>
      <c r="BJ165" s="59">
        <f t="shared" si="146"/>
        <v>190.48958701476397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34.423141098721175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34.423141098721175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152.40696942350093</v>
      </c>
      <c r="T166" s="59">
        <f t="shared" si="142"/>
        <v>368.99390365472789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795.00000000000068</v>
      </c>
      <c r="AJ166" s="13">
        <f>AI166*VLOOKUP('Données projet'!$B$10,Paramètres!$A$1:$I$89,3,0)*VLOOKUP('Données projet'!$B$10,Paramètres!$A$1:$I$89,5,0)</f>
        <v>372.06000000000029</v>
      </c>
      <c r="AK166" s="13">
        <f t="shared" si="164"/>
        <v>86.088609967897526</v>
      </c>
      <c r="AL166" s="20">
        <f t="shared" si="165"/>
        <v>797.94216236075533</v>
      </c>
      <c r="AM166" s="59">
        <f t="shared" si="113"/>
        <v>1091.2754956940887</v>
      </c>
      <c r="AN166" s="59">
        <f ca="1">AVERAGE(OFFSET($AM$3,0,0,'Données projet'!$E$10+1,1))-AVERAGE(OFFSET($H$3,0,0,'Données projet'!$E$10+1,1))</f>
        <v>379.12827535040157</v>
      </c>
      <c r="AO166" s="59">
        <f t="shared" si="144"/>
        <v>317.29813413796956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24.847208927343928</v>
      </c>
      <c r="AV166" s="21">
        <f>EXP(-LN(2)/25)*AV165+(1-EXP(-LN(2)/25))/(LN(2)/25)*Calculateur!AQ166*Calculateur!AS166*VLOOKUP('Données projet'!$B$10,Paramètres!$A$1:$I$89,3,0)*0.475*44/12</f>
        <v>1.1148372110098321</v>
      </c>
      <c r="AW166" s="21">
        <f>EXP(-LN(2)/2)*AW165+(1-EXP(-LN(2)/2))/(LN(2)/2)*AQ166*AT166*VLOOKUP('Données projet'!$B$10,Paramètres!$A$1:$I$89,3,0)*0.475*44/12</f>
        <v>4.1258178481522789E-21</v>
      </c>
      <c r="AX166" s="21">
        <f t="shared" si="166"/>
        <v>25.96204613835376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267</v>
      </c>
      <c r="BE166" s="13">
        <f>BD166*VLOOKUP('Données projet'!$B$11,Paramètres!$A$1:$I$89,3,0)*VLOOKUP('Données projet'!$B$11,Paramètres!$A$1:$I$89,5,0)</f>
        <v>279.06840000000005</v>
      </c>
      <c r="BF166" s="13">
        <f t="shared" si="167"/>
        <v>66.770096850895143</v>
      </c>
      <c r="BG166" s="20">
        <f t="shared" si="168"/>
        <v>602.33538201530905</v>
      </c>
      <c r="BH166" s="59">
        <f t="shared" si="116"/>
        <v>895.66871534864231</v>
      </c>
      <c r="BI166" s="59">
        <f ca="1">AVERAGE(OFFSET($BH$3,0,0,'Données projet'!$E$11+1,1))-AVERAGE(OFFSET($H$3,0,0,'Données projet'!$E$11+1,1))</f>
        <v>319.97102066931524</v>
      </c>
      <c r="BJ166" s="59">
        <f t="shared" si="146"/>
        <v>190.48958701476397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33.748124297818137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33.748124297818137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152.40696942350093</v>
      </c>
      <c r="T167" s="59">
        <f t="shared" si="142"/>
        <v>368.99390365472789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795.00000000000068</v>
      </c>
      <c r="AJ167" s="13">
        <f>AI167*VLOOKUP('Données projet'!$B$10,Paramètres!$A$1:$I$89,3,0)*VLOOKUP('Données projet'!$B$10,Paramètres!$A$1:$I$89,5,0)</f>
        <v>372.06000000000029</v>
      </c>
      <c r="AK167" s="13">
        <f t="shared" si="164"/>
        <v>86.088609967897526</v>
      </c>
      <c r="AL167" s="20">
        <f t="shared" si="165"/>
        <v>797.94216236075533</v>
      </c>
      <c r="AM167" s="59">
        <f t="shared" si="113"/>
        <v>1091.2754956940887</v>
      </c>
      <c r="AN167" s="59">
        <f ca="1">AVERAGE(OFFSET($AM$3,0,0,'Données projet'!$E$10+1,1))-AVERAGE(OFFSET($H$3,0,0,'Données projet'!$E$10+1,1))</f>
        <v>379.12827535040157</v>
      </c>
      <c r="AO167" s="59">
        <f t="shared" si="144"/>
        <v>317.29813413796956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24.359970315579698</v>
      </c>
      <c r="AV167" s="21">
        <f>EXP(-LN(2)/25)*AV166+(1-EXP(-LN(2)/25))/(LN(2)/25)*Calculateur!AQ167*Calculateur!AS167*VLOOKUP('Données projet'!$B$10,Paramètres!$A$1:$I$89,3,0)*0.475*44/12</f>
        <v>1.0843519288480274</v>
      </c>
      <c r="AW167" s="21">
        <f>EXP(-LN(2)/2)*AW166+(1-EXP(-LN(2)/2))/(LN(2)/2)*AQ167*AT167*VLOOKUP('Données projet'!$B$10,Paramètres!$A$1:$I$89,3,0)*0.475*44/12</f>
        <v>2.9173937783689658E-21</v>
      </c>
      <c r="AX167" s="21">
        <f t="shared" si="166"/>
        <v>25.444322244427724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267</v>
      </c>
      <c r="BE167" s="13">
        <f>BD167*VLOOKUP('Données projet'!$B$11,Paramètres!$A$1:$I$89,3,0)*VLOOKUP('Données projet'!$B$11,Paramètres!$A$1:$I$89,5,0)</f>
        <v>279.06840000000005</v>
      </c>
      <c r="BF167" s="13">
        <f t="shared" si="167"/>
        <v>66.770096850895143</v>
      </c>
      <c r="BG167" s="20">
        <f t="shared" si="168"/>
        <v>602.33538201530905</v>
      </c>
      <c r="BH167" s="59">
        <f t="shared" si="116"/>
        <v>895.66871534864231</v>
      </c>
      <c r="BI167" s="59">
        <f ca="1">AVERAGE(OFFSET($BH$3,0,0,'Données projet'!$E$11+1,1))-AVERAGE(OFFSET($H$3,0,0,'Données projet'!$E$11+1,1))</f>
        <v>319.97102066931524</v>
      </c>
      <c r="BJ167" s="59">
        <f t="shared" si="146"/>
        <v>190.48958701476397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33.086344164661213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33.086344164661213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152.40696942350093</v>
      </c>
      <c r="T168" s="59">
        <f t="shared" si="142"/>
        <v>368.99390365472789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795.00000000000068</v>
      </c>
      <c r="AJ168" s="13">
        <f>AI168*VLOOKUP('Données projet'!$B$10,Paramètres!$A$1:$I$89,3,0)*VLOOKUP('Données projet'!$B$10,Paramètres!$A$1:$I$89,5,0)</f>
        <v>372.06000000000029</v>
      </c>
      <c r="AK168" s="13">
        <f t="shared" si="164"/>
        <v>86.088609967897526</v>
      </c>
      <c r="AL168" s="20">
        <f t="shared" si="165"/>
        <v>797.94216236075533</v>
      </c>
      <c r="AM168" s="59">
        <f t="shared" si="113"/>
        <v>1091.2754956940887</v>
      </c>
      <c r="AN168" s="59">
        <f ca="1">AVERAGE(OFFSET($AM$3,0,0,'Données projet'!$E$10+1,1))-AVERAGE(OFFSET($H$3,0,0,'Données projet'!$E$10+1,1))</f>
        <v>379.12827535040157</v>
      </c>
      <c r="AO168" s="59">
        <f t="shared" si="144"/>
        <v>317.29813413796956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23.882286155805957</v>
      </c>
      <c r="AV168" s="21">
        <f>EXP(-LN(2)/25)*AV167+(1-EXP(-LN(2)/25))/(LN(2)/25)*Calculateur!AQ168*Calculateur!AS168*VLOOKUP('Données projet'!$B$10,Paramètres!$A$1:$I$89,3,0)*0.475*44/12</f>
        <v>1.0547002683300886</v>
      </c>
      <c r="AW168" s="21">
        <f>EXP(-LN(2)/2)*AW167+(1-EXP(-LN(2)/2))/(LN(2)/2)*AQ168*AT168*VLOOKUP('Données projet'!$B$10,Paramètres!$A$1:$I$89,3,0)*0.475*44/12</f>
        <v>2.0629089240761394E-21</v>
      </c>
      <c r="AX168" s="21">
        <f t="shared" si="166"/>
        <v>24.936986424136045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267</v>
      </c>
      <c r="BE168" s="13">
        <f>BD168*VLOOKUP('Données projet'!$B$11,Paramètres!$A$1:$I$89,3,0)*VLOOKUP('Données projet'!$B$11,Paramètres!$A$1:$I$89,5,0)</f>
        <v>279.06840000000005</v>
      </c>
      <c r="BF168" s="13">
        <f t="shared" si="167"/>
        <v>66.770096850895143</v>
      </c>
      <c r="BG168" s="20">
        <f t="shared" si="168"/>
        <v>602.33538201530905</v>
      </c>
      <c r="BH168" s="59">
        <f t="shared" si="116"/>
        <v>895.66871534864231</v>
      </c>
      <c r="BI168" s="59">
        <f ca="1">AVERAGE(OFFSET($BH$3,0,0,'Données projet'!$E$11+1,1))-AVERAGE(OFFSET($H$3,0,0,'Données projet'!$E$11+1,1))</f>
        <v>319.97102066931524</v>
      </c>
      <c r="BJ168" s="59">
        <f t="shared" si="146"/>
        <v>190.48958701476397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32.437541136269473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32.437541136269473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152.40696942350093</v>
      </c>
      <c r="T169" s="59">
        <f t="shared" si="142"/>
        <v>368.99390365472789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795.00000000000068</v>
      </c>
      <c r="AJ169" s="13">
        <f>AI169*VLOOKUP('Données projet'!$B$10,Paramètres!$A$1:$I$89,3,0)*VLOOKUP('Données projet'!$B$10,Paramètres!$A$1:$I$89,5,0)</f>
        <v>372.06000000000029</v>
      </c>
      <c r="AK169" s="13">
        <f t="shared" si="164"/>
        <v>86.088609967897526</v>
      </c>
      <c r="AL169" s="20">
        <f t="shared" si="165"/>
        <v>797.94216236075533</v>
      </c>
      <c r="AM169" s="59">
        <f t="shared" si="113"/>
        <v>1091.2754956940887</v>
      </c>
      <c r="AN169" s="59">
        <f ca="1">AVERAGE(OFFSET($AM$3,0,0,'Données projet'!$E$10+1,1))-AVERAGE(OFFSET($H$3,0,0,'Données projet'!$E$10+1,1))</f>
        <v>379.12827535040157</v>
      </c>
      <c r="AO169" s="59">
        <f t="shared" si="144"/>
        <v>317.29813413796956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23.413969091046809</v>
      </c>
      <c r="AV169" s="21">
        <f>EXP(-LN(2)/25)*AV168+(1-EXP(-LN(2)/25))/(LN(2)/25)*Calculateur!AQ169*Calculateur!AS169*VLOOKUP('Données projet'!$B$10,Paramètres!$A$1:$I$89,3,0)*0.475*44/12</f>
        <v>1.0258594340283258</v>
      </c>
      <c r="AW169" s="21">
        <f>EXP(-LN(2)/2)*AW168+(1-EXP(-LN(2)/2))/(LN(2)/2)*AQ169*AT169*VLOOKUP('Données projet'!$B$10,Paramètres!$A$1:$I$89,3,0)*0.475*44/12</f>
        <v>1.4586968891844829E-21</v>
      </c>
      <c r="AX169" s="21">
        <f t="shared" si="166"/>
        <v>24.439828525075136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267</v>
      </c>
      <c r="BE169" s="13">
        <f>BD169*VLOOKUP('Données projet'!$B$11,Paramètres!$A$1:$I$89,3,0)*VLOOKUP('Données projet'!$B$11,Paramètres!$A$1:$I$89,5,0)</f>
        <v>279.06840000000005</v>
      </c>
      <c r="BF169" s="13">
        <f t="shared" si="167"/>
        <v>66.770096850895143</v>
      </c>
      <c r="BG169" s="20">
        <f t="shared" si="168"/>
        <v>602.33538201530905</v>
      </c>
      <c r="BH169" s="59">
        <f t="shared" si="116"/>
        <v>895.66871534864231</v>
      </c>
      <c r="BI169" s="59">
        <f ca="1">AVERAGE(OFFSET($BH$3,0,0,'Données projet'!$E$11+1,1))-AVERAGE(OFFSET($H$3,0,0,'Données projet'!$E$11+1,1))</f>
        <v>319.97102066931524</v>
      </c>
      <c r="BJ169" s="59">
        <f t="shared" si="146"/>
        <v>190.48958701476397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31.80146073953372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31.80146073953372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152.40696942350093</v>
      </c>
      <c r="T170" s="59">
        <f t="shared" si="142"/>
        <v>368.99390365472789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795.00000000000068</v>
      </c>
      <c r="AJ170" s="13">
        <f>AI170*VLOOKUP('Données projet'!$B$10,Paramètres!$A$1:$I$89,3,0)*VLOOKUP('Données projet'!$B$10,Paramètres!$A$1:$I$89,5,0)</f>
        <v>372.06000000000029</v>
      </c>
      <c r="AK170" s="13">
        <f t="shared" si="164"/>
        <v>86.088609967897526</v>
      </c>
      <c r="AL170" s="20">
        <f t="shared" si="165"/>
        <v>797.94216236075533</v>
      </c>
      <c r="AM170" s="59">
        <f t="shared" si="113"/>
        <v>1091.2754956940887</v>
      </c>
      <c r="AN170" s="59">
        <f ca="1">AVERAGE(OFFSET($AM$3,0,0,'Données projet'!$E$10+1,1))-AVERAGE(OFFSET($H$3,0,0,'Données projet'!$E$10+1,1))</f>
        <v>379.12827535040157</v>
      </c>
      <c r="AO170" s="59">
        <f t="shared" si="144"/>
        <v>317.29813413796956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22.954835438282384</v>
      </c>
      <c r="AV170" s="21">
        <f>EXP(-LN(2)/25)*AV169+(1-EXP(-LN(2)/25))/(LN(2)/25)*Calculateur!AQ170*Calculateur!AS170*VLOOKUP('Données projet'!$B$10,Paramètres!$A$1:$I$89,3,0)*0.475*44/12</f>
        <v>0.99780725385721825</v>
      </c>
      <c r="AW170" s="21">
        <f>EXP(-LN(2)/2)*AW169+(1-EXP(-LN(2)/2))/(LN(2)/2)*AQ170*AT170*VLOOKUP('Données projet'!$B$10,Paramètres!$A$1:$I$89,3,0)*0.475*44/12</f>
        <v>1.0314544620380697E-21</v>
      </c>
      <c r="AX170" s="21">
        <f t="shared" si="166"/>
        <v>23.952642692139602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267</v>
      </c>
      <c r="BE170" s="13">
        <f>BD170*VLOOKUP('Données projet'!$B$11,Paramètres!$A$1:$I$89,3,0)*VLOOKUP('Données projet'!$B$11,Paramètres!$A$1:$I$89,5,0)</f>
        <v>279.06840000000005</v>
      </c>
      <c r="BF170" s="13">
        <f t="shared" si="167"/>
        <v>66.770096850895143</v>
      </c>
      <c r="BG170" s="20">
        <f t="shared" si="168"/>
        <v>602.33538201530905</v>
      </c>
      <c r="BH170" s="59">
        <f t="shared" si="116"/>
        <v>895.66871534864231</v>
      </c>
      <c r="BI170" s="59">
        <f ca="1">AVERAGE(OFFSET($BH$3,0,0,'Données projet'!$E$11+1,1))-AVERAGE(OFFSET($H$3,0,0,'Données projet'!$E$11+1,1))</f>
        <v>319.97102066931524</v>
      </c>
      <c r="BJ170" s="59">
        <f t="shared" si="146"/>
        <v>190.48958701476397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31.177853491407223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31.177853491407223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152.40696942350093</v>
      </c>
      <c r="T171" s="59">
        <f t="shared" si="142"/>
        <v>368.99390365472789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795.00000000000068</v>
      </c>
      <c r="AJ171" s="13">
        <f>AI171*VLOOKUP('Données projet'!$B$10,Paramètres!$A$1:$I$89,3,0)*VLOOKUP('Données projet'!$B$10,Paramètres!$A$1:$I$89,5,0)</f>
        <v>372.06000000000029</v>
      </c>
      <c r="AK171" s="13">
        <f t="shared" si="164"/>
        <v>86.088609967897526</v>
      </c>
      <c r="AL171" s="20">
        <f t="shared" si="165"/>
        <v>797.94216236075533</v>
      </c>
      <c r="AM171" s="59">
        <f t="shared" si="113"/>
        <v>1091.2754956940887</v>
      </c>
      <c r="AN171" s="59">
        <f ca="1">AVERAGE(OFFSET($AM$3,0,0,'Données projet'!$E$10+1,1))-AVERAGE(OFFSET($H$3,0,0,'Données projet'!$E$10+1,1))</f>
        <v>379.12827535040157</v>
      </c>
      <c r="AO171" s="59">
        <f t="shared" si="144"/>
        <v>317.29813413796956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22.504705116404793</v>
      </c>
      <c r="AV171" s="21">
        <f>EXP(-LN(2)/25)*AV170+(1-EXP(-LN(2)/25))/(LN(2)/25)*Calculateur!AQ171*Calculateur!AS171*VLOOKUP('Données projet'!$B$10,Paramètres!$A$1:$I$89,3,0)*0.475*44/12</f>
        <v>0.97052216202808961</v>
      </c>
      <c r="AW171" s="21">
        <f>EXP(-LN(2)/2)*AW170+(1-EXP(-LN(2)/2))/(LN(2)/2)*AQ171*AT171*VLOOKUP('Données projet'!$B$10,Paramètres!$A$1:$I$89,3,0)*0.475*44/12</f>
        <v>7.2934844459224146E-22</v>
      </c>
      <c r="AX171" s="21">
        <f t="shared" si="166"/>
        <v>23.475227278432882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267</v>
      </c>
      <c r="BE171" s="13">
        <f>BD171*VLOOKUP('Données projet'!$B$11,Paramètres!$A$1:$I$89,3,0)*VLOOKUP('Données projet'!$B$11,Paramètres!$A$1:$I$89,5,0)</f>
        <v>279.06840000000005</v>
      </c>
      <c r="BF171" s="13">
        <f t="shared" si="167"/>
        <v>66.770096850895143</v>
      </c>
      <c r="BG171" s="20">
        <f t="shared" si="168"/>
        <v>602.33538201530905</v>
      </c>
      <c r="BH171" s="59">
        <f t="shared" si="116"/>
        <v>895.66871534864231</v>
      </c>
      <c r="BI171" s="59">
        <f ca="1">AVERAGE(OFFSET($BH$3,0,0,'Données projet'!$E$11+1,1))-AVERAGE(OFFSET($H$3,0,0,'Données projet'!$E$11+1,1))</f>
        <v>319.97102066931524</v>
      </c>
      <c r="BJ171" s="59">
        <f t="shared" si="146"/>
        <v>190.48958701476397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30.566474801053623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30.566474801053623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152.40696942350093</v>
      </c>
      <c r="T172" s="59">
        <f t="shared" si="142"/>
        <v>368.99390365472789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795.00000000000068</v>
      </c>
      <c r="AJ172" s="13">
        <f>AI172*VLOOKUP('Données projet'!$B$10,Paramètres!$A$1:$I$89,3,0)*VLOOKUP('Données projet'!$B$10,Paramètres!$A$1:$I$89,5,0)</f>
        <v>372.06000000000029</v>
      </c>
      <c r="AK172" s="13">
        <f t="shared" si="164"/>
        <v>86.088609967897526</v>
      </c>
      <c r="AL172" s="20">
        <f t="shared" si="165"/>
        <v>797.94216236075533</v>
      </c>
      <c r="AM172" s="59">
        <f t="shared" si="113"/>
        <v>1091.2754956940887</v>
      </c>
      <c r="AN172" s="59">
        <f ca="1">AVERAGE(OFFSET($AM$3,0,0,'Données projet'!$E$10+1,1))-AVERAGE(OFFSET($H$3,0,0,'Données projet'!$E$10+1,1))</f>
        <v>379.12827535040157</v>
      </c>
      <c r="AO172" s="59">
        <f t="shared" si="144"/>
        <v>317.29813413796956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22.063401575586834</v>
      </c>
      <c r="AV172" s="21">
        <f>EXP(-LN(2)/25)*AV171+(1-EXP(-LN(2)/25))/(LN(2)/25)*Calculateur!AQ172*Calculateur!AS172*VLOOKUP('Données projet'!$B$10,Paramètres!$A$1:$I$89,3,0)*0.475*44/12</f>
        <v>0.9439831824698891</v>
      </c>
      <c r="AW172" s="21">
        <f>EXP(-LN(2)/2)*AW171+(1-EXP(-LN(2)/2))/(LN(2)/2)*AQ172*AT172*VLOOKUP('Données projet'!$B$10,Paramètres!$A$1:$I$89,3,0)*0.475*44/12</f>
        <v>5.1572723101903486E-22</v>
      </c>
      <c r="AX172" s="21">
        <f t="shared" si="166"/>
        <v>23.007384758056723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267</v>
      </c>
      <c r="BE172" s="13">
        <f>BD172*VLOOKUP('Données projet'!$B$11,Paramètres!$A$1:$I$89,3,0)*VLOOKUP('Données projet'!$B$11,Paramètres!$A$1:$I$89,5,0)</f>
        <v>279.06840000000005</v>
      </c>
      <c r="BF172" s="13">
        <f t="shared" si="167"/>
        <v>66.770096850895143</v>
      </c>
      <c r="BG172" s="20">
        <f t="shared" si="168"/>
        <v>602.33538201530905</v>
      </c>
      <c r="BH172" s="59">
        <f t="shared" si="116"/>
        <v>895.66871534864231</v>
      </c>
      <c r="BI172" s="59">
        <f ca="1">AVERAGE(OFFSET($BH$3,0,0,'Données projet'!$E$11+1,1))-AVERAGE(OFFSET($H$3,0,0,'Données projet'!$E$11+1,1))</f>
        <v>319.97102066931524</v>
      </c>
      <c r="BJ172" s="59">
        <f t="shared" si="146"/>
        <v>190.48958701476397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29.967084873913677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29.967084873913677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152.40696942350093</v>
      </c>
      <c r="T173" s="59">
        <f t="shared" si="142"/>
        <v>368.99390365472789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795.00000000000068</v>
      </c>
      <c r="AJ173" s="13">
        <f>AI173*VLOOKUP('Données projet'!$B$10,Paramètres!$A$1:$I$89,3,0)*VLOOKUP('Données projet'!$B$10,Paramètres!$A$1:$I$89,5,0)</f>
        <v>372.06000000000029</v>
      </c>
      <c r="AK173" s="13">
        <f t="shared" si="164"/>
        <v>86.088609967897526</v>
      </c>
      <c r="AL173" s="20">
        <f t="shared" si="165"/>
        <v>797.94216236075533</v>
      </c>
      <c r="AM173" s="59">
        <f t="shared" si="113"/>
        <v>1091.2754956940887</v>
      </c>
      <c r="AN173" s="59">
        <f ca="1">AVERAGE(OFFSET($AM$3,0,0,'Données projet'!$E$10+1,1))-AVERAGE(OFFSET($H$3,0,0,'Données projet'!$E$10+1,1))</f>
        <v>379.12827535040157</v>
      </c>
      <c r="AO173" s="59">
        <f t="shared" si="144"/>
        <v>317.29813413796956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21.630751728035733</v>
      </c>
      <c r="AV173" s="21">
        <f>EXP(-LN(2)/25)*AV172+(1-EXP(-LN(2)/25))/(LN(2)/25)*Calculateur!AQ173*Calculateur!AS173*VLOOKUP('Données projet'!$B$10,Paramètres!$A$1:$I$89,3,0)*0.475*44/12</f>
        <v>0.91816991270333193</v>
      </c>
      <c r="AW173" s="21">
        <f>EXP(-LN(2)/2)*AW172+(1-EXP(-LN(2)/2))/(LN(2)/2)*AQ173*AT173*VLOOKUP('Données projet'!$B$10,Paramètres!$A$1:$I$89,3,0)*0.475*44/12</f>
        <v>3.6467422229612073E-22</v>
      </c>
      <c r="AX173" s="21">
        <f t="shared" si="166"/>
        <v>22.548921640739064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267</v>
      </c>
      <c r="BE173" s="13">
        <f>BD173*VLOOKUP('Données projet'!$B$11,Paramètres!$A$1:$I$89,3,0)*VLOOKUP('Données projet'!$B$11,Paramètres!$A$1:$I$89,5,0)</f>
        <v>279.06840000000005</v>
      </c>
      <c r="BF173" s="13">
        <f t="shared" si="167"/>
        <v>66.770096850895143</v>
      </c>
      <c r="BG173" s="20">
        <f t="shared" si="168"/>
        <v>602.33538201530905</v>
      </c>
      <c r="BH173" s="59">
        <f t="shared" si="116"/>
        <v>895.66871534864231</v>
      </c>
      <c r="BI173" s="59">
        <f ca="1">AVERAGE(OFFSET($BH$3,0,0,'Données projet'!$E$11+1,1))-AVERAGE(OFFSET($H$3,0,0,'Données projet'!$E$11+1,1))</f>
        <v>319.97102066931524</v>
      </c>
      <c r="BJ173" s="59">
        <f t="shared" si="146"/>
        <v>190.48958701476397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29.379448617653189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29.379448617653189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152.40696942350093</v>
      </c>
      <c r="T174" s="59">
        <f t="shared" si="142"/>
        <v>368.99390365472789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795.00000000000068</v>
      </c>
      <c r="AJ174" s="13">
        <f>AI174*VLOOKUP('Données projet'!$B$10,Paramètres!$A$1:$I$89,3,0)*VLOOKUP('Données projet'!$B$10,Paramètres!$A$1:$I$89,5,0)</f>
        <v>372.06000000000029</v>
      </c>
      <c r="AK174" s="13">
        <f t="shared" si="164"/>
        <v>86.088609967897526</v>
      </c>
      <c r="AL174" s="20">
        <f t="shared" si="165"/>
        <v>797.94216236075533</v>
      </c>
      <c r="AM174" s="59">
        <f t="shared" si="113"/>
        <v>1091.2754956940887</v>
      </c>
      <c r="AN174" s="59">
        <f ca="1">AVERAGE(OFFSET($AM$3,0,0,'Données projet'!$E$10+1,1))-AVERAGE(OFFSET($H$3,0,0,'Données projet'!$E$10+1,1))</f>
        <v>379.12827535040157</v>
      </c>
      <c r="AO174" s="59">
        <f t="shared" si="144"/>
        <v>317.29813413796956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21.206585880104761</v>
      </c>
      <c r="AV174" s="21">
        <f>EXP(-LN(2)/25)*AV173+(1-EXP(-LN(2)/25))/(LN(2)/25)*Calculateur!AQ174*Calculateur!AS174*VLOOKUP('Données projet'!$B$10,Paramètres!$A$1:$I$89,3,0)*0.475*44/12</f>
        <v>0.89306250815600208</v>
      </c>
      <c r="AW174" s="21">
        <f>EXP(-LN(2)/2)*AW173+(1-EXP(-LN(2)/2))/(LN(2)/2)*AQ174*AT174*VLOOKUP('Données projet'!$B$10,Paramètres!$A$1:$I$89,3,0)*0.475*44/12</f>
        <v>2.5786361550951743E-22</v>
      </c>
      <c r="AX174" s="21">
        <f t="shared" si="166"/>
        <v>22.099648388260764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267</v>
      </c>
      <c r="BE174" s="13">
        <f>BD174*VLOOKUP('Données projet'!$B$11,Paramètres!$A$1:$I$89,3,0)*VLOOKUP('Données projet'!$B$11,Paramètres!$A$1:$I$89,5,0)</f>
        <v>279.06840000000005</v>
      </c>
      <c r="BF174" s="13">
        <f t="shared" si="167"/>
        <v>66.770096850895143</v>
      </c>
      <c r="BG174" s="20">
        <f t="shared" si="168"/>
        <v>602.33538201530905</v>
      </c>
      <c r="BH174" s="59">
        <f t="shared" si="116"/>
        <v>895.66871534864231</v>
      </c>
      <c r="BI174" s="59">
        <f ca="1">AVERAGE(OFFSET($BH$3,0,0,'Données projet'!$E$11+1,1))-AVERAGE(OFFSET($H$3,0,0,'Données projet'!$E$11+1,1))</f>
        <v>319.97102066931524</v>
      </c>
      <c r="BJ174" s="59">
        <f t="shared" si="146"/>
        <v>190.48958701476397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28.803335549955243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28.803335549955243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152.40696942350093</v>
      </c>
      <c r="T175" s="59">
        <f t="shared" si="142"/>
        <v>368.99390365472789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795.00000000000068</v>
      </c>
      <c r="AJ175" s="13">
        <f>AI175*VLOOKUP('Données projet'!$B$10,Paramètres!$A$1:$I$89,3,0)*VLOOKUP('Données projet'!$B$10,Paramètres!$A$1:$I$89,5,0)</f>
        <v>372.06000000000029</v>
      </c>
      <c r="AK175" s="13">
        <f t="shared" si="164"/>
        <v>86.088609967897526</v>
      </c>
      <c r="AL175" s="20">
        <f t="shared" si="165"/>
        <v>797.94216236075533</v>
      </c>
      <c r="AM175" s="59">
        <f t="shared" si="113"/>
        <v>1091.2754956940887</v>
      </c>
      <c r="AN175" s="59">
        <f ca="1">AVERAGE(OFFSET($AM$3,0,0,'Données projet'!$E$10+1,1))-AVERAGE(OFFSET($H$3,0,0,'Données projet'!$E$10+1,1))</f>
        <v>379.12827535040157</v>
      </c>
      <c r="AO175" s="59">
        <f t="shared" si="144"/>
        <v>317.29813413796956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20.790737665736096</v>
      </c>
      <c r="AV175" s="21">
        <f>EXP(-LN(2)/25)*AV174+(1-EXP(-LN(2)/25))/(LN(2)/25)*Calculateur!AQ175*Calculateur!AS175*VLOOKUP('Données projet'!$B$10,Paramètres!$A$1:$I$89,3,0)*0.475*44/12</f>
        <v>0.86864166690636002</v>
      </c>
      <c r="AW175" s="21">
        <f>EXP(-LN(2)/2)*AW174+(1-EXP(-LN(2)/2))/(LN(2)/2)*AQ175*AT175*VLOOKUP('Données projet'!$B$10,Paramètres!$A$1:$I$89,3,0)*0.475*44/12</f>
        <v>1.8233711114806036E-22</v>
      </c>
      <c r="AX175" s="21">
        <f t="shared" si="166"/>
        <v>21.659379332642455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267</v>
      </c>
      <c r="BE175" s="13">
        <f>BD175*VLOOKUP('Données projet'!$B$11,Paramètres!$A$1:$I$89,3,0)*VLOOKUP('Données projet'!$B$11,Paramètres!$A$1:$I$89,5,0)</f>
        <v>279.06840000000005</v>
      </c>
      <c r="BF175" s="13">
        <f t="shared" si="167"/>
        <v>66.770096850895143</v>
      </c>
      <c r="BG175" s="20">
        <f t="shared" si="168"/>
        <v>602.33538201530905</v>
      </c>
      <c r="BH175" s="59">
        <f t="shared" si="116"/>
        <v>895.66871534864231</v>
      </c>
      <c r="BI175" s="59">
        <f ca="1">AVERAGE(OFFSET($BH$3,0,0,'Données projet'!$E$11+1,1))-AVERAGE(OFFSET($H$3,0,0,'Données projet'!$E$11+1,1))</f>
        <v>319.97102066931524</v>
      </c>
      <c r="BJ175" s="59">
        <f t="shared" si="146"/>
        <v>190.48958701476397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28.238519708120581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28.238519708120581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152.40696942350093</v>
      </c>
      <c r="T176" s="59">
        <f t="shared" si="142"/>
        <v>368.99390365472789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795.00000000000068</v>
      </c>
      <c r="AJ176" s="13">
        <f>AI176*VLOOKUP('Données projet'!$B$10,Paramètres!$A$1:$I$89,3,0)*VLOOKUP('Données projet'!$B$10,Paramètres!$A$1:$I$89,5,0)</f>
        <v>372.06000000000029</v>
      </c>
      <c r="AK176" s="13">
        <f t="shared" si="164"/>
        <v>86.088609967897526</v>
      </c>
      <c r="AL176" s="20">
        <f t="shared" si="165"/>
        <v>797.94216236075533</v>
      </c>
      <c r="AM176" s="59">
        <f t="shared" si="113"/>
        <v>1091.2754956940887</v>
      </c>
      <c r="AN176" s="59">
        <f ca="1">AVERAGE(OFFSET($AM$3,0,0,'Données projet'!$E$10+1,1))-AVERAGE(OFFSET($H$3,0,0,'Données projet'!$E$10+1,1))</f>
        <v>379.12827535040157</v>
      </c>
      <c r="AO176" s="59">
        <f t="shared" si="144"/>
        <v>317.29813413796956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20.383043981208832</v>
      </c>
      <c r="AV176" s="21">
        <f>EXP(-LN(2)/25)*AV175+(1-EXP(-LN(2)/25))/(LN(2)/25)*Calculateur!AQ176*Calculateur!AS176*VLOOKUP('Données projet'!$B$10,Paramètres!$A$1:$I$89,3,0)*0.475*44/12</f>
        <v>0.84488861484492561</v>
      </c>
      <c r="AW176" s="21">
        <f>EXP(-LN(2)/2)*AW175+(1-EXP(-LN(2)/2))/(LN(2)/2)*AQ176*AT176*VLOOKUP('Données projet'!$B$10,Paramètres!$A$1:$I$89,3,0)*0.475*44/12</f>
        <v>1.2893180775475871E-22</v>
      </c>
      <c r="AX176" s="21">
        <f t="shared" si="166"/>
        <v>21.227932596053758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267</v>
      </c>
      <c r="BE176" s="13">
        <f>BD176*VLOOKUP('Données projet'!$B$11,Paramètres!$A$1:$I$89,3,0)*VLOOKUP('Données projet'!$B$11,Paramètres!$A$1:$I$89,5,0)</f>
        <v>279.06840000000005</v>
      </c>
      <c r="BF176" s="13">
        <f t="shared" si="167"/>
        <v>66.770096850895143</v>
      </c>
      <c r="BG176" s="20">
        <f t="shared" si="168"/>
        <v>602.33538201530905</v>
      </c>
      <c r="BH176" s="59">
        <f t="shared" si="116"/>
        <v>895.66871534864231</v>
      </c>
      <c r="BI176" s="59">
        <f ca="1">AVERAGE(OFFSET($BH$3,0,0,'Données projet'!$E$11+1,1))-AVERAGE(OFFSET($H$3,0,0,'Données projet'!$E$11+1,1))</f>
        <v>319.97102066931524</v>
      </c>
      <c r="BJ176" s="59">
        <f t="shared" si="146"/>
        <v>190.48958701476397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27.684779560440649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27.684779560440649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152.40696942350093</v>
      </c>
      <c r="T177" s="59">
        <f t="shared" si="142"/>
        <v>368.99390365472789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795.00000000000068</v>
      </c>
      <c r="AJ177" s="13">
        <f>AI177*VLOOKUP('Données projet'!$B$10,Paramètres!$A$1:$I$89,3,0)*VLOOKUP('Données projet'!$B$10,Paramètres!$A$1:$I$89,5,0)</f>
        <v>372.06000000000029</v>
      </c>
      <c r="AK177" s="13">
        <f t="shared" si="164"/>
        <v>86.088609967897526</v>
      </c>
      <c r="AL177" s="20">
        <f t="shared" si="165"/>
        <v>797.94216236075533</v>
      </c>
      <c r="AM177" s="59">
        <f t="shared" si="113"/>
        <v>1091.2754956940887</v>
      </c>
      <c r="AN177" s="59">
        <f ca="1">AVERAGE(OFFSET($AM$3,0,0,'Données projet'!$E$10+1,1))-AVERAGE(OFFSET($H$3,0,0,'Données projet'!$E$10+1,1))</f>
        <v>379.12827535040157</v>
      </c>
      <c r="AO177" s="59">
        <f t="shared" si="144"/>
        <v>317.29813413796956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19.983344921166555</v>
      </c>
      <c r="AV177" s="21">
        <f>EXP(-LN(2)/25)*AV176+(1-EXP(-LN(2)/25))/(LN(2)/25)*Calculateur!AQ177*Calculateur!AS177*VLOOKUP('Données projet'!$B$10,Paramètres!$A$1:$I$89,3,0)*0.475*44/12</f>
        <v>0.82178509124122989</v>
      </c>
      <c r="AW177" s="21">
        <f>EXP(-LN(2)/2)*AW176+(1-EXP(-LN(2)/2))/(LN(2)/2)*AQ177*AT177*VLOOKUP('Données projet'!$B$10,Paramètres!$A$1:$I$89,3,0)*0.475*44/12</f>
        <v>9.1168555574030182E-23</v>
      </c>
      <c r="AX177" s="21">
        <f t="shared" si="166"/>
        <v>20.805130012407787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267</v>
      </c>
      <c r="BE177" s="13">
        <f>BD177*VLOOKUP('Données projet'!$B$11,Paramètres!$A$1:$I$89,3,0)*VLOOKUP('Données projet'!$B$11,Paramètres!$A$1:$I$89,5,0)</f>
        <v>279.06840000000005</v>
      </c>
      <c r="BF177" s="13">
        <f t="shared" si="167"/>
        <v>66.770096850895143</v>
      </c>
      <c r="BG177" s="20">
        <f t="shared" si="168"/>
        <v>602.33538201530905</v>
      </c>
      <c r="BH177" s="59">
        <f t="shared" si="116"/>
        <v>895.66871534864231</v>
      </c>
      <c r="BI177" s="59">
        <f ca="1">AVERAGE(OFFSET($BH$3,0,0,'Données projet'!$E$11+1,1))-AVERAGE(OFFSET($H$3,0,0,'Données projet'!$E$11+1,1))</f>
        <v>319.97102066931524</v>
      </c>
      <c r="BJ177" s="59">
        <f t="shared" si="146"/>
        <v>190.48958701476397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27.14189791930858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27.14189791930858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152.40696942350093</v>
      </c>
      <c r="T178" s="59">
        <f t="shared" si="142"/>
        <v>368.99390365472789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795.00000000000068</v>
      </c>
      <c r="AJ178" s="13">
        <f>AI178*VLOOKUP('Données projet'!$B$10,Paramètres!$A$1:$I$89,3,0)*VLOOKUP('Données projet'!$B$10,Paramètres!$A$1:$I$89,5,0)</f>
        <v>372.06000000000029</v>
      </c>
      <c r="AK178" s="13">
        <f t="shared" si="164"/>
        <v>86.088609967897526</v>
      </c>
      <c r="AL178" s="20">
        <f t="shared" si="165"/>
        <v>797.94216236075533</v>
      </c>
      <c r="AM178" s="59">
        <f t="shared" si="113"/>
        <v>1091.2754956940887</v>
      </c>
      <c r="AN178" s="59">
        <f ca="1">AVERAGE(OFFSET($AM$3,0,0,'Données projet'!$E$10+1,1))-AVERAGE(OFFSET($H$3,0,0,'Données projet'!$E$10+1,1))</f>
        <v>379.12827535040157</v>
      </c>
      <c r="AO178" s="59">
        <f t="shared" si="144"/>
        <v>317.29813413796956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19.591483715899354</v>
      </c>
      <c r="AV178" s="21">
        <f>EXP(-LN(2)/25)*AV177+(1-EXP(-LN(2)/25))/(LN(2)/25)*Calculateur!AQ178*Calculateur!AS178*VLOOKUP('Données projet'!$B$10,Paramètres!$A$1:$I$89,3,0)*0.475*44/12</f>
        <v>0.79931333470543875</v>
      </c>
      <c r="AW178" s="21">
        <f>EXP(-LN(2)/2)*AW177+(1-EXP(-LN(2)/2))/(LN(2)/2)*AQ178*AT178*VLOOKUP('Données projet'!$B$10,Paramètres!$A$1:$I$89,3,0)*0.475*44/12</f>
        <v>6.4465903877379357E-23</v>
      </c>
      <c r="AX178" s="21">
        <f t="shared" si="166"/>
        <v>20.390797050604792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267</v>
      </c>
      <c r="BE178" s="13">
        <f>BD178*VLOOKUP('Données projet'!$B$11,Paramètres!$A$1:$I$89,3,0)*VLOOKUP('Données projet'!$B$11,Paramètres!$A$1:$I$89,5,0)</f>
        <v>279.06840000000005</v>
      </c>
      <c r="BF178" s="13">
        <f t="shared" si="167"/>
        <v>66.770096850895143</v>
      </c>
      <c r="BG178" s="20">
        <f t="shared" si="168"/>
        <v>602.33538201530905</v>
      </c>
      <c r="BH178" s="59">
        <f t="shared" si="116"/>
        <v>895.66871534864231</v>
      </c>
      <c r="BI178" s="59">
        <f ca="1">AVERAGE(OFFSET($BH$3,0,0,'Données projet'!$E$11+1,1))-AVERAGE(OFFSET($H$3,0,0,'Données projet'!$E$11+1,1))</f>
        <v>319.97102066931524</v>
      </c>
      <c r="BJ178" s="59">
        <f t="shared" si="146"/>
        <v>190.48958701476397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26.609661856034005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26.609661856034005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152.40696942350093</v>
      </c>
      <c r="T179" s="59">
        <f t="shared" si="142"/>
        <v>368.99390365472789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795.00000000000068</v>
      </c>
      <c r="AJ179" s="13">
        <f>AI179*VLOOKUP('Données projet'!$B$10,Paramètres!$A$1:$I$89,3,0)*VLOOKUP('Données projet'!$B$10,Paramètres!$A$1:$I$89,5,0)</f>
        <v>372.06000000000029</v>
      </c>
      <c r="AK179" s="13">
        <f t="shared" si="164"/>
        <v>86.088609967897526</v>
      </c>
      <c r="AL179" s="20">
        <f t="shared" si="165"/>
        <v>797.94216236075533</v>
      </c>
      <c r="AM179" s="59">
        <f t="shared" si="113"/>
        <v>1091.2754956940887</v>
      </c>
      <c r="AN179" s="59">
        <f ca="1">AVERAGE(OFFSET($AM$3,0,0,'Données projet'!$E$10+1,1))-AVERAGE(OFFSET($H$3,0,0,'Données projet'!$E$10+1,1))</f>
        <v>379.12827535040157</v>
      </c>
      <c r="AO179" s="59">
        <f t="shared" si="144"/>
        <v>317.29813413796956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19.207306669855708</v>
      </c>
      <c r="AV179" s="21">
        <f>EXP(-LN(2)/25)*AV178+(1-EXP(-LN(2)/25))/(LN(2)/25)*Calculateur!AQ179*Calculateur!AS179*VLOOKUP('Données projet'!$B$10,Paramètres!$A$1:$I$89,3,0)*0.475*44/12</f>
        <v>0.77745606953385715</v>
      </c>
      <c r="AW179" s="21">
        <f>EXP(-LN(2)/2)*AW178+(1-EXP(-LN(2)/2))/(LN(2)/2)*AQ179*AT179*VLOOKUP('Données projet'!$B$10,Paramètres!$A$1:$I$89,3,0)*0.475*44/12</f>
        <v>4.5584277787015091E-23</v>
      </c>
      <c r="AX179" s="21">
        <f t="shared" si="166"/>
        <v>19.984762739389566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267</v>
      </c>
      <c r="BE179" s="13">
        <f>BD179*VLOOKUP('Données projet'!$B$11,Paramètres!$A$1:$I$89,3,0)*VLOOKUP('Données projet'!$B$11,Paramètres!$A$1:$I$89,5,0)</f>
        <v>279.06840000000005</v>
      </c>
      <c r="BF179" s="13">
        <f t="shared" si="167"/>
        <v>66.770096850895143</v>
      </c>
      <c r="BG179" s="20">
        <f t="shared" si="168"/>
        <v>602.33538201530905</v>
      </c>
      <c r="BH179" s="59">
        <f t="shared" si="116"/>
        <v>895.66871534864231</v>
      </c>
      <c r="BI179" s="59">
        <f ca="1">AVERAGE(OFFSET($BH$3,0,0,'Données projet'!$E$11+1,1))-AVERAGE(OFFSET($H$3,0,0,'Données projet'!$E$11+1,1))</f>
        <v>319.97102066931524</v>
      </c>
      <c r="BJ179" s="59">
        <f t="shared" si="146"/>
        <v>190.48958701476397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26.087862617328302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26.087862617328302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152.40696942350093</v>
      </c>
      <c r="T180" s="59">
        <f t="shared" si="142"/>
        <v>368.99390365472789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795.00000000000068</v>
      </c>
      <c r="AJ180" s="13">
        <f>AI180*VLOOKUP('Données projet'!$B$10,Paramètres!$A$1:$I$89,3,0)*VLOOKUP('Données projet'!$B$10,Paramètres!$A$1:$I$89,5,0)</f>
        <v>372.06000000000029</v>
      </c>
      <c r="AK180" s="13">
        <f t="shared" si="164"/>
        <v>86.088609967897526</v>
      </c>
      <c r="AL180" s="20">
        <f t="shared" si="165"/>
        <v>797.94216236075533</v>
      </c>
      <c r="AM180" s="59">
        <f t="shared" si="113"/>
        <v>1091.2754956940887</v>
      </c>
      <c r="AN180" s="59">
        <f ca="1">AVERAGE(OFFSET($AM$3,0,0,'Données projet'!$E$10+1,1))-AVERAGE(OFFSET($H$3,0,0,'Données projet'!$E$10+1,1))</f>
        <v>379.12827535040157</v>
      </c>
      <c r="AO180" s="59">
        <f t="shared" si="144"/>
        <v>317.29813413796956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18.830663101360116</v>
      </c>
      <c r="AV180" s="21">
        <f>EXP(-LN(2)/25)*AV179+(1-EXP(-LN(2)/25))/(LN(2)/25)*Calculateur!AQ180*Calculateur!AS180*VLOOKUP('Données projet'!$B$10,Paramètres!$A$1:$I$89,3,0)*0.475*44/12</f>
        <v>0.75619649242781606</v>
      </c>
      <c r="AW180" s="21">
        <f>EXP(-LN(2)/2)*AW179+(1-EXP(-LN(2)/2))/(LN(2)/2)*AQ180*AT180*VLOOKUP('Données projet'!$B$10,Paramètres!$A$1:$I$89,3,0)*0.475*44/12</f>
        <v>3.2232951938689679E-23</v>
      </c>
      <c r="AX180" s="21">
        <f t="shared" si="166"/>
        <v>19.586859593787931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267</v>
      </c>
      <c r="BE180" s="13">
        <f>BD180*VLOOKUP('Données projet'!$B$11,Paramètres!$A$1:$I$89,3,0)*VLOOKUP('Données projet'!$B$11,Paramètres!$A$1:$I$89,5,0)</f>
        <v>279.06840000000005</v>
      </c>
      <c r="BF180" s="13">
        <f t="shared" si="167"/>
        <v>66.770096850895143</v>
      </c>
      <c r="BG180" s="20">
        <f t="shared" si="168"/>
        <v>602.33538201530905</v>
      </c>
      <c r="BH180" s="59">
        <f t="shared" si="116"/>
        <v>895.66871534864231</v>
      </c>
      <c r="BI180" s="59">
        <f ca="1">AVERAGE(OFFSET($BH$3,0,0,'Données projet'!$E$11+1,1))-AVERAGE(OFFSET($H$3,0,0,'Données projet'!$E$11+1,1))</f>
        <v>319.97102066931524</v>
      </c>
      <c r="BJ180" s="59">
        <f t="shared" si="146"/>
        <v>190.48958701476397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25.576295543427509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25.576295543427509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152.40696942350093</v>
      </c>
      <c r="T181" s="59">
        <f t="shared" si="142"/>
        <v>368.99390365472789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795.00000000000068</v>
      </c>
      <c r="AJ181" s="13">
        <f>AI181*VLOOKUP('Données projet'!$B$10,Paramètres!$A$1:$I$89,3,0)*VLOOKUP('Données projet'!$B$10,Paramètres!$A$1:$I$89,5,0)</f>
        <v>372.06000000000029</v>
      </c>
      <c r="AK181" s="13">
        <f t="shared" si="164"/>
        <v>86.088609967897526</v>
      </c>
      <c r="AL181" s="20">
        <f t="shared" si="165"/>
        <v>797.94216236075533</v>
      </c>
      <c r="AM181" s="59">
        <f t="shared" si="113"/>
        <v>1091.2754956940887</v>
      </c>
      <c r="AN181" s="59">
        <f ca="1">AVERAGE(OFFSET($AM$3,0,0,'Données projet'!$E$10+1,1))-AVERAGE(OFFSET($H$3,0,0,'Données projet'!$E$10+1,1))</f>
        <v>379.12827535040157</v>
      </c>
      <c r="AO181" s="59">
        <f t="shared" si="144"/>
        <v>317.29813413796956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18.461405283512832</v>
      </c>
      <c r="AV181" s="21">
        <f>EXP(-LN(2)/25)*AV180+(1-EXP(-LN(2)/25))/(LN(2)/25)*Calculateur!AQ181*Calculateur!AS181*VLOOKUP('Données projet'!$B$10,Paramètres!$A$1:$I$89,3,0)*0.475*44/12</f>
        <v>0.73551825957573225</v>
      </c>
      <c r="AW181" s="21">
        <f>EXP(-LN(2)/2)*AW180+(1-EXP(-LN(2)/2))/(LN(2)/2)*AQ181*AT181*VLOOKUP('Données projet'!$B$10,Paramètres!$A$1:$I$89,3,0)*0.475*44/12</f>
        <v>2.2792138893507546E-23</v>
      </c>
      <c r="AX181" s="21">
        <f t="shared" si="166"/>
        <v>19.196923543088563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267</v>
      </c>
      <c r="BE181" s="13">
        <f>BD181*VLOOKUP('Données projet'!$B$11,Paramètres!$A$1:$I$89,3,0)*VLOOKUP('Données projet'!$B$11,Paramètres!$A$1:$I$89,5,0)</f>
        <v>279.06840000000005</v>
      </c>
      <c r="BF181" s="13">
        <f t="shared" si="167"/>
        <v>66.770096850895143</v>
      </c>
      <c r="BG181" s="20">
        <f t="shared" si="168"/>
        <v>602.33538201530905</v>
      </c>
      <c r="BH181" s="59">
        <f t="shared" si="116"/>
        <v>895.66871534864231</v>
      </c>
      <c r="BI181" s="59">
        <f ca="1">AVERAGE(OFFSET($BH$3,0,0,'Données projet'!$E$11+1,1))-AVERAGE(OFFSET($H$3,0,0,'Données projet'!$E$11+1,1))</f>
        <v>319.97102066931524</v>
      </c>
      <c r="BJ181" s="59">
        <f t="shared" si="146"/>
        <v>190.48958701476397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25.074759987820805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25.074759987820805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152.40696942350093</v>
      </c>
      <c r="T182" s="59">
        <f t="shared" si="142"/>
        <v>368.99390365472789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795.00000000000068</v>
      </c>
      <c r="AJ182" s="13">
        <f>AI182*VLOOKUP('Données projet'!$B$10,Paramètres!$A$1:$I$89,3,0)*VLOOKUP('Données projet'!$B$10,Paramètres!$A$1:$I$89,5,0)</f>
        <v>372.06000000000029</v>
      </c>
      <c r="AK182" s="13">
        <f t="shared" si="164"/>
        <v>86.088609967897526</v>
      </c>
      <c r="AL182" s="20">
        <f t="shared" si="165"/>
        <v>797.94216236075533</v>
      </c>
      <c r="AM182" s="59">
        <f t="shared" si="113"/>
        <v>1091.2754956940887</v>
      </c>
      <c r="AN182" s="59">
        <f ca="1">AVERAGE(OFFSET($AM$3,0,0,'Données projet'!$E$10+1,1))-AVERAGE(OFFSET($H$3,0,0,'Données projet'!$E$10+1,1))</f>
        <v>379.12827535040157</v>
      </c>
      <c r="AO182" s="59">
        <f t="shared" si="144"/>
        <v>317.29813413796956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18.099388386248503</v>
      </c>
      <c r="AV182" s="21">
        <f>EXP(-LN(2)/25)*AV181+(1-EXP(-LN(2)/25))/(LN(2)/25)*Calculateur!AQ182*Calculateur!AS182*VLOOKUP('Données projet'!$B$10,Paramètres!$A$1:$I$89,3,0)*0.475*44/12</f>
        <v>0.7154054740884096</v>
      </c>
      <c r="AW182" s="21">
        <f>EXP(-LN(2)/2)*AW181+(1-EXP(-LN(2)/2))/(LN(2)/2)*AQ182*AT182*VLOOKUP('Données projet'!$B$10,Paramètres!$A$1:$I$89,3,0)*0.475*44/12</f>
        <v>1.6116475969344839E-23</v>
      </c>
      <c r="AX182" s="21">
        <f t="shared" si="166"/>
        <v>18.814793860336913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267</v>
      </c>
      <c r="BE182" s="13">
        <f>BD182*VLOOKUP('Données projet'!$B$11,Paramètres!$A$1:$I$89,3,0)*VLOOKUP('Données projet'!$B$11,Paramètres!$A$1:$I$89,5,0)</f>
        <v>279.06840000000005</v>
      </c>
      <c r="BF182" s="13">
        <f t="shared" si="167"/>
        <v>66.770096850895143</v>
      </c>
      <c r="BG182" s="20">
        <f t="shared" si="168"/>
        <v>602.33538201530905</v>
      </c>
      <c r="BH182" s="59">
        <f t="shared" si="116"/>
        <v>895.66871534864231</v>
      </c>
      <c r="BI182" s="59">
        <f ca="1">AVERAGE(OFFSET($BH$3,0,0,'Données projet'!$E$11+1,1))-AVERAGE(OFFSET($H$3,0,0,'Données projet'!$E$11+1,1))</f>
        <v>319.97102066931524</v>
      </c>
      <c r="BJ182" s="59">
        <f t="shared" si="146"/>
        <v>190.48958701476397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24.583059238553066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24.583059238553066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152.40696942350093</v>
      </c>
      <c r="T183" s="59">
        <f t="shared" si="142"/>
        <v>368.99390365472789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795.00000000000068</v>
      </c>
      <c r="AJ183" s="13">
        <f>AI183*VLOOKUP('Données projet'!$B$10,Paramètres!$A$1:$I$89,3,0)*VLOOKUP('Données projet'!$B$10,Paramètres!$A$1:$I$89,5,0)</f>
        <v>372.06000000000029</v>
      </c>
      <c r="AK183" s="13">
        <f t="shared" si="164"/>
        <v>86.088609967897526</v>
      </c>
      <c r="AL183" s="20">
        <f t="shared" si="165"/>
        <v>797.94216236075533</v>
      </c>
      <c r="AM183" s="59">
        <f t="shared" si="113"/>
        <v>1091.2754956940887</v>
      </c>
      <c r="AN183" s="59">
        <f ca="1">AVERAGE(OFFSET($AM$3,0,0,'Données projet'!$E$10+1,1))-AVERAGE(OFFSET($H$3,0,0,'Données projet'!$E$10+1,1))</f>
        <v>379.12827535040157</v>
      </c>
      <c r="AO183" s="59">
        <f t="shared" si="144"/>
        <v>317.29813413796956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17.744470419531023</v>
      </c>
      <c r="AV183" s="21">
        <f>EXP(-LN(2)/25)*AV182+(1-EXP(-LN(2)/25))/(LN(2)/25)*Calculateur!AQ183*Calculateur!AS183*VLOOKUP('Données projet'!$B$10,Paramètres!$A$1:$I$89,3,0)*0.475*44/12</f>
        <v>0.69584267377792319</v>
      </c>
      <c r="AW183" s="21">
        <f>EXP(-LN(2)/2)*AW182+(1-EXP(-LN(2)/2))/(LN(2)/2)*AQ183*AT183*VLOOKUP('Données projet'!$B$10,Paramètres!$A$1:$I$89,3,0)*0.475*44/12</f>
        <v>1.1396069446753773E-23</v>
      </c>
      <c r="AX183" s="21">
        <f t="shared" si="166"/>
        <v>18.440313093308948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267</v>
      </c>
      <c r="BE183" s="13">
        <f>BD183*VLOOKUP('Données projet'!$B$11,Paramètres!$A$1:$I$89,3,0)*VLOOKUP('Données projet'!$B$11,Paramètres!$A$1:$I$89,5,0)</f>
        <v>279.06840000000005</v>
      </c>
      <c r="BF183" s="13">
        <f t="shared" si="167"/>
        <v>66.770096850895143</v>
      </c>
      <c r="BG183" s="20">
        <f t="shared" si="168"/>
        <v>602.33538201530905</v>
      </c>
      <c r="BH183" s="59">
        <f t="shared" si="116"/>
        <v>895.66871534864231</v>
      </c>
      <c r="BI183" s="59">
        <f ca="1">AVERAGE(OFFSET($BH$3,0,0,'Données projet'!$E$11+1,1))-AVERAGE(OFFSET($H$3,0,0,'Données projet'!$E$11+1,1))</f>
        <v>319.97102066931524</v>
      </c>
      <c r="BJ183" s="59">
        <f t="shared" si="146"/>
        <v>190.48958701476397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24.101000441070624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24.101000441070624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152.40696942350093</v>
      </c>
      <c r="T184" s="59">
        <f t="shared" si="142"/>
        <v>368.99390365472789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795.00000000000068</v>
      </c>
      <c r="AJ184" s="13">
        <f>AI184*VLOOKUP('Données projet'!$B$10,Paramètres!$A$1:$I$89,3,0)*VLOOKUP('Données projet'!$B$10,Paramètres!$A$1:$I$89,5,0)</f>
        <v>372.06000000000029</v>
      </c>
      <c r="AK184" s="13">
        <f t="shared" si="164"/>
        <v>86.088609967897526</v>
      </c>
      <c r="AL184" s="20">
        <f t="shared" si="165"/>
        <v>797.94216236075533</v>
      </c>
      <c r="AM184" s="59">
        <f t="shared" si="113"/>
        <v>1091.2754956940887</v>
      </c>
      <c r="AN184" s="59">
        <f ca="1">AVERAGE(OFFSET($AM$3,0,0,'Données projet'!$E$10+1,1))-AVERAGE(OFFSET($H$3,0,0,'Données projet'!$E$10+1,1))</f>
        <v>379.12827535040157</v>
      </c>
      <c r="AO184" s="59">
        <f t="shared" si="144"/>
        <v>317.29813413796956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17.396512177662288</v>
      </c>
      <c r="AV184" s="21">
        <f>EXP(-LN(2)/25)*AV183+(1-EXP(-LN(2)/25))/(LN(2)/25)*Calculateur!AQ184*Calculateur!AS184*VLOOKUP('Données projet'!$B$10,Paramètres!$A$1:$I$89,3,0)*0.475*44/12</f>
        <v>0.67681481927069009</v>
      </c>
      <c r="AW184" s="21">
        <f>EXP(-LN(2)/2)*AW183+(1-EXP(-LN(2)/2))/(LN(2)/2)*AQ184*AT184*VLOOKUP('Données projet'!$B$10,Paramètres!$A$1:$I$89,3,0)*0.475*44/12</f>
        <v>8.0582379846724196E-24</v>
      </c>
      <c r="AX184" s="21">
        <f t="shared" si="166"/>
        <v>18.073326996932977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267</v>
      </c>
      <c r="BE184" s="13">
        <f>BD184*VLOOKUP('Données projet'!$B$11,Paramètres!$A$1:$I$89,3,0)*VLOOKUP('Données projet'!$B$11,Paramètres!$A$1:$I$89,5,0)</f>
        <v>279.06840000000005</v>
      </c>
      <c r="BF184" s="13">
        <f t="shared" si="167"/>
        <v>66.770096850895143</v>
      </c>
      <c r="BG184" s="20">
        <f t="shared" si="168"/>
        <v>602.33538201530905</v>
      </c>
      <c r="BH184" s="59">
        <f t="shared" si="116"/>
        <v>895.66871534864231</v>
      </c>
      <c r="BI184" s="59">
        <f ca="1">AVERAGE(OFFSET($BH$3,0,0,'Données projet'!$E$11+1,1))-AVERAGE(OFFSET($H$3,0,0,'Données projet'!$E$11+1,1))</f>
        <v>319.97102066931524</v>
      </c>
      <c r="BJ184" s="59">
        <f t="shared" si="146"/>
        <v>190.48958701476397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23.628394522579978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23.628394522579978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152.40696942350093</v>
      </c>
      <c r="T185" s="59">
        <f t="shared" si="142"/>
        <v>368.99390365472789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795.00000000000068</v>
      </c>
      <c r="AJ185" s="13">
        <f>AI185*VLOOKUP('Données projet'!$B$10,Paramètres!$A$1:$I$89,3,0)*VLOOKUP('Données projet'!$B$10,Paramètres!$A$1:$I$89,5,0)</f>
        <v>372.06000000000029</v>
      </c>
      <c r="AK185" s="13">
        <f t="shared" si="164"/>
        <v>86.088609967897526</v>
      </c>
      <c r="AL185" s="20">
        <f t="shared" si="165"/>
        <v>797.94216236075533</v>
      </c>
      <c r="AM185" s="59">
        <f t="shared" si="113"/>
        <v>1091.2754956940887</v>
      </c>
      <c r="AN185" s="59">
        <f ca="1">AVERAGE(OFFSET($AM$3,0,0,'Données projet'!$E$10+1,1))-AVERAGE(OFFSET($H$3,0,0,'Données projet'!$E$10+1,1))</f>
        <v>379.12827535040157</v>
      </c>
      <c r="AO185" s="59">
        <f t="shared" si="144"/>
        <v>317.29813413796956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17.055377184683028</v>
      </c>
      <c r="AV185" s="21">
        <f>EXP(-LN(2)/25)*AV184+(1-EXP(-LN(2)/25))/(LN(2)/25)*Calculateur!AQ185*Calculateur!AS185*VLOOKUP('Données projet'!$B$10,Paramètres!$A$1:$I$89,3,0)*0.475*44/12</f>
        <v>0.65830728244558856</v>
      </c>
      <c r="AW185" s="21">
        <f>EXP(-LN(2)/2)*AW184+(1-EXP(-LN(2)/2))/(LN(2)/2)*AQ185*AT185*VLOOKUP('Données projet'!$B$10,Paramètres!$A$1:$I$89,3,0)*0.475*44/12</f>
        <v>5.6980347233768864E-24</v>
      </c>
      <c r="AX185" s="21">
        <f t="shared" si="166"/>
        <v>17.713684467128616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267</v>
      </c>
      <c r="BE185" s="13">
        <f>BD185*VLOOKUP('Données projet'!$B$11,Paramètres!$A$1:$I$89,3,0)*VLOOKUP('Données projet'!$B$11,Paramètres!$A$1:$I$89,5,0)</f>
        <v>279.06840000000005</v>
      </c>
      <c r="BF185" s="13">
        <f t="shared" si="167"/>
        <v>66.770096850895143</v>
      </c>
      <c r="BG185" s="20">
        <f t="shared" si="168"/>
        <v>602.33538201530905</v>
      </c>
      <c r="BH185" s="59">
        <f t="shared" si="116"/>
        <v>895.66871534864231</v>
      </c>
      <c r="BI185" s="59">
        <f ca="1">AVERAGE(OFFSET($BH$3,0,0,'Données projet'!$E$11+1,1))-AVERAGE(OFFSET($H$3,0,0,'Données projet'!$E$11+1,1))</f>
        <v>319.97102066931524</v>
      </c>
      <c r="BJ185" s="59">
        <f t="shared" si="146"/>
        <v>190.48958701476397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23.165056117889787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23.165056117889787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152.40696942350093</v>
      </c>
      <c r="T186" s="59">
        <f t="shared" si="142"/>
        <v>368.99390365472789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795.00000000000068</v>
      </c>
      <c r="AJ186" s="13">
        <f>AI186*VLOOKUP('Données projet'!$B$10,Paramètres!$A$1:$I$89,3,0)*VLOOKUP('Données projet'!$B$10,Paramètres!$A$1:$I$89,5,0)</f>
        <v>372.06000000000029</v>
      </c>
      <c r="AK186" s="13">
        <f t="shared" si="164"/>
        <v>86.088609967897526</v>
      </c>
      <c r="AL186" s="20">
        <f t="shared" si="165"/>
        <v>797.94216236075533</v>
      </c>
      <c r="AM186" s="59">
        <f t="shared" si="113"/>
        <v>1091.2754956940887</v>
      </c>
      <c r="AN186" s="59">
        <f ca="1">AVERAGE(OFFSET($AM$3,0,0,'Données projet'!$E$10+1,1))-AVERAGE(OFFSET($H$3,0,0,'Données projet'!$E$10+1,1))</f>
        <v>379.12827535040157</v>
      </c>
      <c r="AO186" s="59">
        <f t="shared" si="144"/>
        <v>317.29813413796956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16.720931640844292</v>
      </c>
      <c r="AV186" s="21">
        <f>EXP(-LN(2)/25)*AV185+(1-EXP(-LN(2)/25))/(LN(2)/25)*Calculateur!AQ186*Calculateur!AS186*VLOOKUP('Données projet'!$B$10,Paramètres!$A$1:$I$89,3,0)*0.475*44/12</f>
        <v>0.64030583518823858</v>
      </c>
      <c r="AW186" s="21">
        <f>EXP(-LN(2)/2)*AW185+(1-EXP(-LN(2)/2))/(LN(2)/2)*AQ186*AT186*VLOOKUP('Données projet'!$B$10,Paramètres!$A$1:$I$89,3,0)*0.475*44/12</f>
        <v>4.0291189923362098E-24</v>
      </c>
      <c r="AX186" s="21">
        <f t="shared" si="166"/>
        <v>17.361237476032532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267</v>
      </c>
      <c r="BE186" s="13">
        <f>BD186*VLOOKUP('Données projet'!$B$11,Paramètres!$A$1:$I$89,3,0)*VLOOKUP('Données projet'!$B$11,Paramètres!$A$1:$I$89,5,0)</f>
        <v>279.06840000000005</v>
      </c>
      <c r="BF186" s="13">
        <f t="shared" si="167"/>
        <v>66.770096850895143</v>
      </c>
      <c r="BG186" s="20">
        <f t="shared" si="168"/>
        <v>602.33538201530905</v>
      </c>
      <c r="BH186" s="59">
        <f t="shared" si="116"/>
        <v>895.66871534864231</v>
      </c>
      <c r="BI186" s="59">
        <f ca="1">AVERAGE(OFFSET($BH$3,0,0,'Données projet'!$E$11+1,1))-AVERAGE(OFFSET($H$3,0,0,'Données projet'!$E$11+1,1))</f>
        <v>319.97102066931524</v>
      </c>
      <c r="BJ186" s="59">
        <f t="shared" si="146"/>
        <v>190.48958701476397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22.710803496707047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22.710803496707047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152.40696942350093</v>
      </c>
      <c r="T187" s="59">
        <f t="shared" si="142"/>
        <v>368.99390365472789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795.00000000000068</v>
      </c>
      <c r="AJ187" s="13">
        <f>AI187*VLOOKUP('Données projet'!$B$10,Paramètres!$A$1:$I$89,3,0)*VLOOKUP('Données projet'!$B$10,Paramètres!$A$1:$I$89,5,0)</f>
        <v>372.06000000000029</v>
      </c>
      <c r="AK187" s="13">
        <f t="shared" si="164"/>
        <v>86.088609967897526</v>
      </c>
      <c r="AL187" s="20">
        <f t="shared" si="165"/>
        <v>797.94216236075533</v>
      </c>
      <c r="AM187" s="59">
        <f t="shared" si="113"/>
        <v>1091.2754956940887</v>
      </c>
      <c r="AN187" s="59">
        <f ca="1">AVERAGE(OFFSET($AM$3,0,0,'Données projet'!$E$10+1,1))-AVERAGE(OFFSET($H$3,0,0,'Données projet'!$E$10+1,1))</f>
        <v>379.12827535040157</v>
      </c>
      <c r="AO187" s="59">
        <f t="shared" si="144"/>
        <v>317.29813413796956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16.393044370128592</v>
      </c>
      <c r="AV187" s="21">
        <f>EXP(-LN(2)/25)*AV186+(1-EXP(-LN(2)/25))/(LN(2)/25)*Calculateur!AQ187*Calculateur!AS187*VLOOKUP('Données projet'!$B$10,Paramètres!$A$1:$I$89,3,0)*0.475*44/12</f>
        <v>0.62279663845279576</v>
      </c>
      <c r="AW187" s="21">
        <f>EXP(-LN(2)/2)*AW186+(1-EXP(-LN(2)/2))/(LN(2)/2)*AQ187*AT187*VLOOKUP('Données projet'!$B$10,Paramètres!$A$1:$I$89,3,0)*0.475*44/12</f>
        <v>2.8490173616884432E-24</v>
      </c>
      <c r="AX187" s="21">
        <f t="shared" si="166"/>
        <v>17.01584100858139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267</v>
      </c>
      <c r="BE187" s="13">
        <f>BD187*VLOOKUP('Données projet'!$B$11,Paramètres!$A$1:$I$89,3,0)*VLOOKUP('Données projet'!$B$11,Paramètres!$A$1:$I$89,5,0)</f>
        <v>279.06840000000005</v>
      </c>
      <c r="BF187" s="13">
        <f t="shared" si="167"/>
        <v>66.770096850895143</v>
      </c>
      <c r="BG187" s="20">
        <f t="shared" si="168"/>
        <v>602.33538201530905</v>
      </c>
      <c r="BH187" s="59">
        <f t="shared" si="116"/>
        <v>895.66871534864231</v>
      </c>
      <c r="BI187" s="59">
        <f ca="1">AVERAGE(OFFSET($BH$3,0,0,'Données projet'!$E$11+1,1))-AVERAGE(OFFSET($H$3,0,0,'Données projet'!$E$11+1,1))</f>
        <v>319.97102066931524</v>
      </c>
      <c r="BJ187" s="59">
        <f t="shared" si="146"/>
        <v>190.48958701476397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22.265458492358963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22.265458492358963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152.40696942350093</v>
      </c>
      <c r="T188" s="59">
        <f t="shared" si="142"/>
        <v>368.99390365472789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795.00000000000068</v>
      </c>
      <c r="AJ188" s="13">
        <f>AI188*VLOOKUP('Données projet'!$B$10,Paramètres!$A$1:$I$89,3,0)*VLOOKUP('Données projet'!$B$10,Paramètres!$A$1:$I$89,5,0)</f>
        <v>372.06000000000029</v>
      </c>
      <c r="AK188" s="13">
        <f t="shared" si="164"/>
        <v>86.088609967897526</v>
      </c>
      <c r="AL188" s="20">
        <f t="shared" si="165"/>
        <v>797.94216236075533</v>
      </c>
      <c r="AM188" s="59">
        <f t="shared" si="113"/>
        <v>1091.2754956940887</v>
      </c>
      <c r="AN188" s="59">
        <f ca="1">AVERAGE(OFFSET($AM$3,0,0,'Données projet'!$E$10+1,1))-AVERAGE(OFFSET($H$3,0,0,'Données projet'!$E$10+1,1))</f>
        <v>379.12827535040157</v>
      </c>
      <c r="AO188" s="59">
        <f t="shared" si="144"/>
        <v>317.29813413796956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16.071586768800142</v>
      </c>
      <c r="AV188" s="21">
        <f>EXP(-LN(2)/25)*AV187+(1-EXP(-LN(2)/25))/(LN(2)/25)*Calculateur!AQ188*Calculateur!AS188*VLOOKUP('Données projet'!$B$10,Paramètres!$A$1:$I$89,3,0)*0.475*44/12</f>
        <v>0.60576623162285226</v>
      </c>
      <c r="AW188" s="21">
        <f>EXP(-LN(2)/2)*AW187+(1-EXP(-LN(2)/2))/(LN(2)/2)*AQ188*AT188*VLOOKUP('Données projet'!$B$10,Paramètres!$A$1:$I$89,3,0)*0.475*44/12</f>
        <v>2.0145594961681049E-24</v>
      </c>
      <c r="AX188" s="21">
        <f t="shared" si="166"/>
        <v>16.677353000422993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267</v>
      </c>
      <c r="BE188" s="13">
        <f>BD188*VLOOKUP('Données projet'!$B$11,Paramètres!$A$1:$I$89,3,0)*VLOOKUP('Données projet'!$B$11,Paramètres!$A$1:$I$89,5,0)</f>
        <v>279.06840000000005</v>
      </c>
      <c r="BF188" s="13">
        <f t="shared" si="167"/>
        <v>66.770096850895143</v>
      </c>
      <c r="BG188" s="20">
        <f t="shared" si="168"/>
        <v>602.33538201530905</v>
      </c>
      <c r="BH188" s="59">
        <f t="shared" si="116"/>
        <v>895.66871534864231</v>
      </c>
      <c r="BI188" s="59">
        <f ca="1">AVERAGE(OFFSET($BH$3,0,0,'Données projet'!$E$11+1,1))-AVERAGE(OFFSET($H$3,0,0,'Données projet'!$E$11+1,1))</f>
        <v>319.97102066931524</v>
      </c>
      <c r="BJ188" s="59">
        <f t="shared" si="146"/>
        <v>190.48958701476397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21.828846431912513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21.828846431912513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152.40696942350093</v>
      </c>
      <c r="T189" s="59">
        <f t="shared" si="142"/>
        <v>368.99390365472789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795.00000000000068</v>
      </c>
      <c r="AJ189" s="13">
        <f>AI189*VLOOKUP('Données projet'!$B$10,Paramètres!$A$1:$I$89,3,0)*VLOOKUP('Données projet'!$B$10,Paramètres!$A$1:$I$89,5,0)</f>
        <v>372.06000000000029</v>
      </c>
      <c r="AK189" s="13">
        <f t="shared" si="164"/>
        <v>86.088609967897526</v>
      </c>
      <c r="AL189" s="20">
        <f t="shared" si="165"/>
        <v>797.94216236075533</v>
      </c>
      <c r="AM189" s="59">
        <f t="shared" si="113"/>
        <v>1091.2754956940887</v>
      </c>
      <c r="AN189" s="59">
        <f ca="1">AVERAGE(OFFSET($AM$3,0,0,'Données projet'!$E$10+1,1))-AVERAGE(OFFSET($H$3,0,0,'Données projet'!$E$10+1,1))</f>
        <v>379.12827535040157</v>
      </c>
      <c r="AO189" s="59">
        <f t="shared" si="144"/>
        <v>317.29813413796956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15.756432754963964</v>
      </c>
      <c r="AV189" s="21">
        <f>EXP(-LN(2)/25)*AV188+(1-EXP(-LN(2)/25))/(LN(2)/25)*Calculateur!AQ189*Calculateur!AS189*VLOOKUP('Données projet'!$B$10,Paramètres!$A$1:$I$89,3,0)*0.475*44/12</f>
        <v>0.58920152216326371</v>
      </c>
      <c r="AW189" s="21">
        <f>EXP(-LN(2)/2)*AW188+(1-EXP(-LN(2)/2))/(LN(2)/2)*AQ189*AT189*VLOOKUP('Données projet'!$B$10,Paramètres!$A$1:$I$89,3,0)*0.475*44/12</f>
        <v>1.4245086808442216E-24</v>
      </c>
      <c r="AX189" s="21">
        <f t="shared" si="166"/>
        <v>16.345634277127228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267</v>
      </c>
      <c r="BE189" s="13">
        <f>BD189*VLOOKUP('Données projet'!$B$11,Paramètres!$A$1:$I$89,3,0)*VLOOKUP('Données projet'!$B$11,Paramètres!$A$1:$I$89,5,0)</f>
        <v>279.06840000000005</v>
      </c>
      <c r="BF189" s="13">
        <f t="shared" si="167"/>
        <v>66.770096850895143</v>
      </c>
      <c r="BG189" s="20">
        <f t="shared" si="168"/>
        <v>602.33538201530905</v>
      </c>
      <c r="BH189" s="59">
        <f t="shared" si="116"/>
        <v>895.66871534864231</v>
      </c>
      <c r="BI189" s="59">
        <f ca="1">AVERAGE(OFFSET($BH$3,0,0,'Données projet'!$E$11+1,1))-AVERAGE(OFFSET($H$3,0,0,'Données projet'!$E$11+1,1))</f>
        <v>319.97102066931524</v>
      </c>
      <c r="BJ189" s="59">
        <f t="shared" si="146"/>
        <v>190.48958701476397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21.400796067664356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21.400796067664356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152.40696942350093</v>
      </c>
      <c r="T190" s="59">
        <f t="shared" si="142"/>
        <v>368.99390365472789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795.00000000000068</v>
      </c>
      <c r="AJ190" s="13">
        <f>AI190*VLOOKUP('Données projet'!$B$10,Paramètres!$A$1:$I$89,3,0)*VLOOKUP('Données projet'!$B$10,Paramètres!$A$1:$I$89,5,0)</f>
        <v>372.06000000000029</v>
      </c>
      <c r="AK190" s="13">
        <f t="shared" si="164"/>
        <v>86.088609967897526</v>
      </c>
      <c r="AL190" s="20">
        <f t="shared" si="165"/>
        <v>797.94216236075533</v>
      </c>
      <c r="AM190" s="59">
        <f t="shared" si="113"/>
        <v>1091.2754956940887</v>
      </c>
      <c r="AN190" s="59">
        <f ca="1">AVERAGE(OFFSET($AM$3,0,0,'Données projet'!$E$10+1,1))-AVERAGE(OFFSET($H$3,0,0,'Données projet'!$E$10+1,1))</f>
        <v>379.12827535040157</v>
      </c>
      <c r="AO190" s="59">
        <f t="shared" si="144"/>
        <v>317.29813413796956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15.447458719114145</v>
      </c>
      <c r="AV190" s="21">
        <f>EXP(-LN(2)/25)*AV189+(1-EXP(-LN(2)/25))/(LN(2)/25)*Calculateur!AQ190*Calculateur!AS190*VLOOKUP('Données projet'!$B$10,Paramètres!$A$1:$I$89,3,0)*0.475*44/12</f>
        <v>0.57308977555494789</v>
      </c>
      <c r="AW190" s="21">
        <f>EXP(-LN(2)/2)*AW189+(1-EXP(-LN(2)/2))/(LN(2)/2)*AQ190*AT190*VLOOKUP('Données projet'!$B$10,Paramètres!$A$1:$I$89,3,0)*0.475*44/12</f>
        <v>1.0072797480840525E-24</v>
      </c>
      <c r="AX190" s="21">
        <f t="shared" si="166"/>
        <v>16.020548494669093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267</v>
      </c>
      <c r="BE190" s="13">
        <f>BD190*VLOOKUP('Données projet'!$B$11,Paramètres!$A$1:$I$89,3,0)*VLOOKUP('Données projet'!$B$11,Paramètres!$A$1:$I$89,5,0)</f>
        <v>279.06840000000005</v>
      </c>
      <c r="BF190" s="13">
        <f t="shared" si="167"/>
        <v>66.770096850895143</v>
      </c>
      <c r="BG190" s="20">
        <f t="shared" si="168"/>
        <v>602.33538201530905</v>
      </c>
      <c r="BH190" s="59">
        <f t="shared" si="116"/>
        <v>895.66871534864231</v>
      </c>
      <c r="BI190" s="59">
        <f ca="1">AVERAGE(OFFSET($BH$3,0,0,'Données projet'!$E$11+1,1))-AVERAGE(OFFSET($H$3,0,0,'Données projet'!$E$11+1,1))</f>
        <v>319.97102066931524</v>
      </c>
      <c r="BJ190" s="59">
        <f t="shared" si="146"/>
        <v>190.48958701476397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20.981139509974163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20.981139509974163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152.40696942350093</v>
      </c>
      <c r="T191" s="59">
        <f t="shared" si="142"/>
        <v>368.99390365472789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795.00000000000068</v>
      </c>
      <c r="AJ191" s="13">
        <f>AI191*VLOOKUP('Données projet'!$B$10,Paramètres!$A$1:$I$89,3,0)*VLOOKUP('Données projet'!$B$10,Paramètres!$A$1:$I$89,5,0)</f>
        <v>372.06000000000029</v>
      </c>
      <c r="AK191" s="13">
        <f t="shared" si="164"/>
        <v>86.088609967897526</v>
      </c>
      <c r="AL191" s="20">
        <f t="shared" si="165"/>
        <v>797.94216236075533</v>
      </c>
      <c r="AM191" s="59">
        <f t="shared" si="113"/>
        <v>1091.2754956940887</v>
      </c>
      <c r="AN191" s="59">
        <f ca="1">AVERAGE(OFFSET($AM$3,0,0,'Données projet'!$E$10+1,1))-AVERAGE(OFFSET($H$3,0,0,'Données projet'!$E$10+1,1))</f>
        <v>379.12827535040157</v>
      </c>
      <c r="AO191" s="59">
        <f t="shared" si="144"/>
        <v>317.29813413796956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15.144543475651789</v>
      </c>
      <c r="AV191" s="21">
        <f>EXP(-LN(2)/25)*AV190+(1-EXP(-LN(2)/25))/(LN(2)/25)*Calculateur!AQ191*Calculateur!AS191*VLOOKUP('Données projet'!$B$10,Paramètres!$A$1:$I$89,3,0)*0.475*44/12</f>
        <v>0.5574186055049164</v>
      </c>
      <c r="AW191" s="21">
        <f>EXP(-LN(2)/2)*AW190+(1-EXP(-LN(2)/2))/(LN(2)/2)*AQ191*AT191*VLOOKUP('Données projet'!$B$10,Paramètres!$A$1:$I$89,3,0)*0.475*44/12</f>
        <v>7.122543404221108E-25</v>
      </c>
      <c r="AX191" s="21">
        <f t="shared" si="166"/>
        <v>15.701962081156704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267</v>
      </c>
      <c r="BE191" s="13">
        <f>BD191*VLOOKUP('Données projet'!$B$11,Paramètres!$A$1:$I$89,3,0)*VLOOKUP('Données projet'!$B$11,Paramètres!$A$1:$I$89,5,0)</f>
        <v>279.06840000000005</v>
      </c>
      <c r="BF191" s="13">
        <f t="shared" si="167"/>
        <v>66.770096850895143</v>
      </c>
      <c r="BG191" s="20">
        <f t="shared" si="168"/>
        <v>602.33538201530905</v>
      </c>
      <c r="BH191" s="59">
        <f t="shared" si="116"/>
        <v>895.66871534864231</v>
      </c>
      <c r="BI191" s="59">
        <f ca="1">AVERAGE(OFFSET($BH$3,0,0,'Données projet'!$E$11+1,1))-AVERAGE(OFFSET($H$3,0,0,'Données projet'!$E$11+1,1))</f>
        <v>319.97102066931524</v>
      </c>
      <c r="BJ191" s="59">
        <f t="shared" si="146"/>
        <v>190.48958701476397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20.569712161415048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20.569712161415048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152.40696942350093</v>
      </c>
      <c r="T192" s="59">
        <f t="shared" si="142"/>
        <v>368.99390365472789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795.00000000000068</v>
      </c>
      <c r="AJ192" s="13">
        <f>AI192*VLOOKUP('Données projet'!$B$10,Paramètres!$A$1:$I$89,3,0)*VLOOKUP('Données projet'!$B$10,Paramètres!$A$1:$I$89,5,0)</f>
        <v>372.06000000000029</v>
      </c>
      <c r="AK192" s="13">
        <f t="shared" si="164"/>
        <v>86.088609967897526</v>
      </c>
      <c r="AL192" s="20">
        <f t="shared" si="165"/>
        <v>797.94216236075533</v>
      </c>
      <c r="AM192" s="59">
        <f t="shared" si="113"/>
        <v>1091.2754956940887</v>
      </c>
      <c r="AN192" s="59">
        <f ca="1">AVERAGE(OFFSET($AM$3,0,0,'Données projet'!$E$10+1,1))-AVERAGE(OFFSET($H$3,0,0,'Données projet'!$E$10+1,1))</f>
        <v>379.12827535040157</v>
      </c>
      <c r="AO192" s="59">
        <f t="shared" si="144"/>
        <v>317.29813413796956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14.847568215353673</v>
      </c>
      <c r="AV192" s="21">
        <f>EXP(-LN(2)/25)*AV191+(1-EXP(-LN(2)/25))/(LN(2)/25)*Calculateur!AQ192*Calculateur!AS192*VLOOKUP('Données projet'!$B$10,Paramètres!$A$1:$I$89,3,0)*0.475*44/12</f>
        <v>0.54217596442401395</v>
      </c>
      <c r="AW192" s="21">
        <f>EXP(-LN(2)/2)*AW191+(1-EXP(-LN(2)/2))/(LN(2)/2)*AQ192*AT192*VLOOKUP('Données projet'!$B$10,Paramètres!$A$1:$I$89,3,0)*0.475*44/12</f>
        <v>5.0363987404202623E-25</v>
      </c>
      <c r="AX192" s="21">
        <f t="shared" si="166"/>
        <v>15.389744179777688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267</v>
      </c>
      <c r="BE192" s="13">
        <f>BD192*VLOOKUP('Données projet'!$B$11,Paramètres!$A$1:$I$89,3,0)*VLOOKUP('Données projet'!$B$11,Paramètres!$A$1:$I$89,5,0)</f>
        <v>279.06840000000005</v>
      </c>
      <c r="BF192" s="13">
        <f t="shared" si="167"/>
        <v>66.770096850895143</v>
      </c>
      <c r="BG192" s="20">
        <f t="shared" si="168"/>
        <v>602.33538201530905</v>
      </c>
      <c r="BH192" s="59">
        <f t="shared" si="116"/>
        <v>895.66871534864231</v>
      </c>
      <c r="BI192" s="59">
        <f ca="1">AVERAGE(OFFSET($BH$3,0,0,'Données projet'!$E$11+1,1))-AVERAGE(OFFSET($H$3,0,0,'Données projet'!$E$11+1,1))</f>
        <v>319.97102066931524</v>
      </c>
      <c r="BJ192" s="59">
        <f t="shared" si="146"/>
        <v>190.48958701476397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20.166352652215274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20.166352652215274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152.40696942350093</v>
      </c>
      <c r="T193" s="59">
        <f t="shared" si="142"/>
        <v>368.99390365472789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795.00000000000068</v>
      </c>
      <c r="AJ193" s="13">
        <f>AI193*VLOOKUP('Données projet'!$B$10,Paramètres!$A$1:$I$89,3,0)*VLOOKUP('Données projet'!$B$10,Paramètres!$A$1:$I$89,5,0)</f>
        <v>372.06000000000029</v>
      </c>
      <c r="AK193" s="13">
        <f t="shared" si="164"/>
        <v>86.088609967897526</v>
      </c>
      <c r="AL193" s="20">
        <f t="shared" si="165"/>
        <v>797.94216236075533</v>
      </c>
      <c r="AM193" s="59">
        <f t="shared" si="113"/>
        <v>1091.2754956940887</v>
      </c>
      <c r="AN193" s="59">
        <f ca="1">AVERAGE(OFFSET($AM$3,0,0,'Données projet'!$E$10+1,1))-AVERAGE(OFFSET($H$3,0,0,'Données projet'!$E$10+1,1))</f>
        <v>379.12827535040157</v>
      </c>
      <c r="AO193" s="59">
        <f t="shared" si="144"/>
        <v>317.29813413796956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14.556416458772981</v>
      </c>
      <c r="AV193" s="21">
        <f>EXP(-LN(2)/25)*AV192+(1-EXP(-LN(2)/25))/(LN(2)/25)*Calculateur!AQ193*Calculateur!AS193*VLOOKUP('Données projet'!$B$10,Paramètres!$A$1:$I$89,3,0)*0.475*44/12</f>
        <v>0.5273501341650445</v>
      </c>
      <c r="AW193" s="21">
        <f>EXP(-LN(2)/2)*AW192+(1-EXP(-LN(2)/2))/(LN(2)/2)*AQ193*AT193*VLOOKUP('Données projet'!$B$10,Paramètres!$A$1:$I$89,3,0)*0.475*44/12</f>
        <v>3.561271702110554E-25</v>
      </c>
      <c r="AX193" s="21">
        <f t="shared" si="166"/>
        <v>15.083766592938025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267</v>
      </c>
      <c r="BE193" s="13">
        <f>BD193*VLOOKUP('Données projet'!$B$11,Paramètres!$A$1:$I$89,3,0)*VLOOKUP('Données projet'!$B$11,Paramètres!$A$1:$I$89,5,0)</f>
        <v>279.06840000000005</v>
      </c>
      <c r="BF193" s="13">
        <f t="shared" si="167"/>
        <v>66.770096850895143</v>
      </c>
      <c r="BG193" s="20">
        <f t="shared" si="168"/>
        <v>602.33538201530905</v>
      </c>
      <c r="BH193" s="59">
        <f t="shared" si="116"/>
        <v>895.66871534864231</v>
      </c>
      <c r="BI193" s="59">
        <f ca="1">AVERAGE(OFFSET($BH$3,0,0,'Données projet'!$E$11+1,1))-AVERAGE(OFFSET($H$3,0,0,'Données projet'!$E$11+1,1))</f>
        <v>319.97102066931524</v>
      </c>
      <c r="BJ193" s="59">
        <f t="shared" si="146"/>
        <v>190.48958701476397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19.770902776965901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19.770902776965901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152.40696942350093</v>
      </c>
      <c r="T194" s="59">
        <f t="shared" si="142"/>
        <v>368.99390365472789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795.00000000000068</v>
      </c>
      <c r="AJ194" s="13">
        <f>AI194*VLOOKUP('Données projet'!$B$10,Paramètres!$A$1:$I$89,3,0)*VLOOKUP('Données projet'!$B$10,Paramètres!$A$1:$I$89,5,0)</f>
        <v>372.06000000000029</v>
      </c>
      <c r="AK194" s="13">
        <f t="shared" si="164"/>
        <v>86.088609967897526</v>
      </c>
      <c r="AL194" s="20">
        <f t="shared" si="165"/>
        <v>797.94216236075533</v>
      </c>
      <c r="AM194" s="59">
        <f t="shared" si="113"/>
        <v>1091.2754956940887</v>
      </c>
      <c r="AN194" s="59">
        <f ca="1">AVERAGE(OFFSET($AM$3,0,0,'Données projet'!$E$10+1,1))-AVERAGE(OFFSET($H$3,0,0,'Données projet'!$E$10+1,1))</f>
        <v>379.12827535040157</v>
      </c>
      <c r="AO194" s="59">
        <f t="shared" si="144"/>
        <v>317.29813413796956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14.2709740105538</v>
      </c>
      <c r="AV194" s="21">
        <f>EXP(-LN(2)/25)*AV193+(1-EXP(-LN(2)/25))/(LN(2)/25)*Calculateur!AQ194*Calculateur!AS194*VLOOKUP('Données projet'!$B$10,Paramètres!$A$1:$I$89,3,0)*0.475*44/12</f>
        <v>0.51292971701416312</v>
      </c>
      <c r="AW194" s="21">
        <f>EXP(-LN(2)/2)*AW193+(1-EXP(-LN(2)/2))/(LN(2)/2)*AQ194*AT194*VLOOKUP('Données projet'!$B$10,Paramètres!$A$1:$I$89,3,0)*0.475*44/12</f>
        <v>2.5181993702101311E-25</v>
      </c>
      <c r="AX194" s="21">
        <f t="shared" si="166"/>
        <v>14.783903727567964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267</v>
      </c>
      <c r="BE194" s="13">
        <f>BD194*VLOOKUP('Données projet'!$B$11,Paramètres!$A$1:$I$89,3,0)*VLOOKUP('Données projet'!$B$11,Paramètres!$A$1:$I$89,5,0)</f>
        <v>279.06840000000005</v>
      </c>
      <c r="BF194" s="13">
        <f t="shared" si="167"/>
        <v>66.770096850895143</v>
      </c>
      <c r="BG194" s="20">
        <f t="shared" si="168"/>
        <v>602.33538201530905</v>
      </c>
      <c r="BH194" s="59">
        <f t="shared" si="116"/>
        <v>895.66871534864231</v>
      </c>
      <c r="BI194" s="59">
        <f ca="1">AVERAGE(OFFSET($BH$3,0,0,'Données projet'!$E$11+1,1))-AVERAGE(OFFSET($H$3,0,0,'Données projet'!$E$11+1,1))</f>
        <v>319.97102066931524</v>
      </c>
      <c r="BJ194" s="59">
        <f t="shared" si="146"/>
        <v>190.48958701476397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19.383207432569559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19.383207432569559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152.40696942350093</v>
      </c>
      <c r="T195" s="59">
        <f t="shared" si="142"/>
        <v>368.99390365472789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795.00000000000068</v>
      </c>
      <c r="AJ195" s="13">
        <f>AI195*VLOOKUP('Données projet'!$B$10,Paramètres!$A$1:$I$89,3,0)*VLOOKUP('Données projet'!$B$10,Paramètres!$A$1:$I$89,5,0)</f>
        <v>372.06000000000029</v>
      </c>
      <c r="AK195" s="13">
        <f t="shared" si="164"/>
        <v>86.088609967897526</v>
      </c>
      <c r="AL195" s="20">
        <f t="shared" si="165"/>
        <v>797.94216236075533</v>
      </c>
      <c r="AM195" s="59">
        <f t="shared" si="113"/>
        <v>1091.2754956940887</v>
      </c>
      <c r="AN195" s="59">
        <f ca="1">AVERAGE(OFFSET($AM$3,0,0,'Données projet'!$E$10+1,1))-AVERAGE(OFFSET($H$3,0,0,'Données projet'!$E$10+1,1))</f>
        <v>379.12827535040157</v>
      </c>
      <c r="AO195" s="59">
        <f t="shared" si="144"/>
        <v>317.29813413796956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13.991128914641495</v>
      </c>
      <c r="AV195" s="21">
        <f>EXP(-LN(2)/25)*AV194+(1-EXP(-LN(2)/25))/(LN(2)/25)*Calculateur!AQ195*Calculateur!AS195*VLOOKUP('Données projet'!$B$10,Paramètres!$A$1:$I$89,3,0)*0.475*44/12</f>
        <v>0.49890362692860935</v>
      </c>
      <c r="AW195" s="21">
        <f>EXP(-LN(2)/2)*AW194+(1-EXP(-LN(2)/2))/(LN(2)/2)*AQ195*AT195*VLOOKUP('Données projet'!$B$10,Paramètres!$A$1:$I$89,3,0)*0.475*44/12</f>
        <v>1.780635851055277E-25</v>
      </c>
      <c r="AX195" s="21">
        <f t="shared" si="166"/>
        <v>14.490032541570104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267</v>
      </c>
      <c r="BE195" s="13">
        <f>BD195*VLOOKUP('Données projet'!$B$11,Paramètres!$A$1:$I$89,3,0)*VLOOKUP('Données projet'!$B$11,Paramètres!$A$1:$I$89,5,0)</f>
        <v>279.06840000000005</v>
      </c>
      <c r="BF195" s="13">
        <f t="shared" si="167"/>
        <v>66.770096850895143</v>
      </c>
      <c r="BG195" s="20">
        <f t="shared" si="168"/>
        <v>602.33538201530905</v>
      </c>
      <c r="BH195" s="59">
        <f t="shared" si="116"/>
        <v>895.66871534864231</v>
      </c>
      <c r="BI195" s="59">
        <f ca="1">AVERAGE(OFFSET($BH$3,0,0,'Données projet'!$E$11+1,1))-AVERAGE(OFFSET($H$3,0,0,'Données projet'!$E$11+1,1))</f>
        <v>319.97102066931524</v>
      </c>
      <c r="BJ195" s="59">
        <f t="shared" si="146"/>
        <v>190.48958701476397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19.003114557406022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19.003114557406022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152.40696942350093</v>
      </c>
      <c r="T196" s="59">
        <f t="shared" si="142"/>
        <v>368.99390365472789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795.00000000000068</v>
      </c>
      <c r="AJ196" s="13">
        <f>AI196*VLOOKUP('Données projet'!$B$10,Paramètres!$A$1:$I$89,3,0)*VLOOKUP('Données projet'!$B$10,Paramètres!$A$1:$I$89,5,0)</f>
        <v>372.06000000000029</v>
      </c>
      <c r="AK196" s="13">
        <f t="shared" si="164"/>
        <v>86.088609967897526</v>
      </c>
      <c r="AL196" s="20">
        <f t="shared" si="165"/>
        <v>797.94216236075533</v>
      </c>
      <c r="AM196" s="59">
        <f t="shared" ref="AM196:AM203" si="193">AL196+(AD196+AE196)*44/12</f>
        <v>1091.2754956940887</v>
      </c>
      <c r="AN196" s="59">
        <f ca="1">AVERAGE(OFFSET($AM$3,0,0,'Données projet'!$E$10+1,1))-AVERAGE(OFFSET($H$3,0,0,'Données projet'!$E$10+1,1))</f>
        <v>379.12827535040157</v>
      </c>
      <c r="AO196" s="59">
        <f t="shared" si="144"/>
        <v>317.29813413796956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13.716771410371376</v>
      </c>
      <c r="AV196" s="21">
        <f>EXP(-LN(2)/25)*AV195+(1-EXP(-LN(2)/25))/(LN(2)/25)*Calculateur!AQ196*Calculateur!AS196*VLOOKUP('Données projet'!$B$10,Paramètres!$A$1:$I$89,3,0)*0.475*44/12</f>
        <v>0.48526108101404503</v>
      </c>
      <c r="AW196" s="21">
        <f>EXP(-LN(2)/2)*AW195+(1-EXP(-LN(2)/2))/(LN(2)/2)*AQ196*AT196*VLOOKUP('Données projet'!$B$10,Paramètres!$A$1:$I$89,3,0)*0.475*44/12</f>
        <v>1.2590996851050656E-25</v>
      </c>
      <c r="AX196" s="21">
        <f t="shared" si="166"/>
        <v>14.20203249138542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267</v>
      </c>
      <c r="BE196" s="13">
        <f>BD196*VLOOKUP('Données projet'!$B$11,Paramètres!$A$1:$I$89,3,0)*VLOOKUP('Données projet'!$B$11,Paramètres!$A$1:$I$89,5,0)</f>
        <v>279.06840000000005</v>
      </c>
      <c r="BF196" s="13">
        <f t="shared" si="167"/>
        <v>66.770096850895143</v>
      </c>
      <c r="BG196" s="20">
        <f t="shared" si="168"/>
        <v>602.33538201530905</v>
      </c>
      <c r="BH196" s="59">
        <f t="shared" ref="BH196:BH203" si="194">BG196+(AY196+AZ196)*44/12</f>
        <v>895.66871534864231</v>
      </c>
      <c r="BI196" s="59">
        <f ca="1">AVERAGE(OFFSET($BH$3,0,0,'Données projet'!$E$11+1,1))-AVERAGE(OFFSET($H$3,0,0,'Données projet'!$E$11+1,1))</f>
        <v>319.97102066931524</v>
      </c>
      <c r="BJ196" s="59">
        <f t="shared" si="146"/>
        <v>190.48958701476397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18.630475071690679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18.630475071690679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152.40696942350093</v>
      </c>
      <c r="T197" s="59">
        <f t="shared" ref="T197:T203" si="204">$T$3</f>
        <v>368.99390365472789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795.00000000000068</v>
      </c>
      <c r="AJ197" s="13">
        <f>AI197*VLOOKUP('Données projet'!$B$10,Paramètres!$A$1:$I$89,3,0)*VLOOKUP('Données projet'!$B$10,Paramètres!$A$1:$I$89,5,0)</f>
        <v>372.06000000000029</v>
      </c>
      <c r="AK197" s="13">
        <f t="shared" si="164"/>
        <v>86.088609967897526</v>
      </c>
      <c r="AL197" s="20">
        <f t="shared" si="165"/>
        <v>797.94216236075533</v>
      </c>
      <c r="AM197" s="59">
        <f t="shared" si="193"/>
        <v>1091.2754956940887</v>
      </c>
      <c r="AN197" s="59">
        <f ca="1">AVERAGE(OFFSET($AM$3,0,0,'Données projet'!$E$10+1,1))-AVERAGE(OFFSET($H$3,0,0,'Données projet'!$E$10+1,1))</f>
        <v>379.12827535040157</v>
      </c>
      <c r="AO197" s="59">
        <f t="shared" ref="AO197:AO203" si="205">$AO$3</f>
        <v>317.29813413796956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13.44779388941844</v>
      </c>
      <c r="AV197" s="21">
        <f>EXP(-LN(2)/25)*AV196+(1-EXP(-LN(2)/25))/(LN(2)/25)*Calculateur!AQ197*Calculateur!AS197*VLOOKUP('Données projet'!$B$10,Paramètres!$A$1:$I$89,3,0)*0.475*44/12</f>
        <v>0.47199159123494477</v>
      </c>
      <c r="AW197" s="21">
        <f>EXP(-LN(2)/2)*AW196+(1-EXP(-LN(2)/2))/(LN(2)/2)*AQ197*AT197*VLOOKUP('Données projet'!$B$10,Paramètres!$A$1:$I$89,3,0)*0.475*44/12</f>
        <v>8.903179255276385E-26</v>
      </c>
      <c r="AX197" s="21">
        <f t="shared" si="166"/>
        <v>13.919785480653385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267</v>
      </c>
      <c r="BE197" s="13">
        <f>BD197*VLOOKUP('Données projet'!$B$11,Paramètres!$A$1:$I$89,3,0)*VLOOKUP('Données projet'!$B$11,Paramètres!$A$1:$I$89,5,0)</f>
        <v>279.06840000000005</v>
      </c>
      <c r="BF197" s="13">
        <f t="shared" si="167"/>
        <v>66.770096850895143</v>
      </c>
      <c r="BG197" s="20">
        <f t="shared" si="168"/>
        <v>602.33538201530905</v>
      </c>
      <c r="BH197" s="59">
        <f t="shared" si="194"/>
        <v>895.66871534864231</v>
      </c>
      <c r="BI197" s="59">
        <f ca="1">AVERAGE(OFFSET($BH$3,0,0,'Données projet'!$E$11+1,1))-AVERAGE(OFFSET($H$3,0,0,'Données projet'!$E$11+1,1))</f>
        <v>319.97102066931524</v>
      </c>
      <c r="BJ197" s="59">
        <f t="shared" ref="BJ197:BJ203" si="206">$BJ$3</f>
        <v>190.48958701476397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18.26514281900257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18.26514281900257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152.40696942350093</v>
      </c>
      <c r="T198" s="59">
        <f t="shared" si="204"/>
        <v>368.99390365472789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795.00000000000068</v>
      </c>
      <c r="AJ198" s="13">
        <f>AI198*VLOOKUP('Données projet'!$B$10,Paramètres!$A$1:$I$89,3,0)*VLOOKUP('Données projet'!$B$10,Paramètres!$A$1:$I$89,5,0)</f>
        <v>372.06000000000029</v>
      </c>
      <c r="AK198" s="13">
        <f t="shared" si="164"/>
        <v>86.088609967897526</v>
      </c>
      <c r="AL198" s="20">
        <f t="shared" si="165"/>
        <v>797.94216236075533</v>
      </c>
      <c r="AM198" s="59">
        <f t="shared" si="193"/>
        <v>1091.2754956940887</v>
      </c>
      <c r="AN198" s="59">
        <f ca="1">AVERAGE(OFFSET($AM$3,0,0,'Données projet'!$E$10+1,1))-AVERAGE(OFFSET($H$3,0,0,'Données projet'!$E$10+1,1))</f>
        <v>379.12827535040157</v>
      </c>
      <c r="AO198" s="59">
        <f t="shared" si="205"/>
        <v>317.29813413796956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13.184090853591302</v>
      </c>
      <c r="AV198" s="21">
        <f>EXP(-LN(2)/25)*AV197+(1-EXP(-LN(2)/25))/(LN(2)/25)*Calculateur!AQ198*Calculateur!AS198*VLOOKUP('Données projet'!$B$10,Paramètres!$A$1:$I$89,3,0)*0.475*44/12</f>
        <v>0.45908495635166618</v>
      </c>
      <c r="AW198" s="21">
        <f>EXP(-LN(2)/2)*AW197+(1-EXP(-LN(2)/2))/(LN(2)/2)*AQ198*AT198*VLOOKUP('Données projet'!$B$10,Paramètres!$A$1:$I$89,3,0)*0.475*44/12</f>
        <v>6.2954984255253278E-26</v>
      </c>
      <c r="AX198" s="21">
        <f t="shared" si="166"/>
        <v>13.643175809942969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267</v>
      </c>
      <c r="BE198" s="13">
        <f>BD198*VLOOKUP('Données projet'!$B$11,Paramètres!$A$1:$I$89,3,0)*VLOOKUP('Données projet'!$B$11,Paramètres!$A$1:$I$89,5,0)</f>
        <v>279.06840000000005</v>
      </c>
      <c r="BF198" s="13">
        <f t="shared" si="167"/>
        <v>66.770096850895143</v>
      </c>
      <c r="BG198" s="20">
        <f t="shared" si="168"/>
        <v>602.33538201530905</v>
      </c>
      <c r="BH198" s="59">
        <f t="shared" si="194"/>
        <v>895.66871534864231</v>
      </c>
      <c r="BI198" s="59">
        <f ca="1">AVERAGE(OFFSET($BH$3,0,0,'Données projet'!$E$11+1,1))-AVERAGE(OFFSET($H$3,0,0,'Données projet'!$E$11+1,1))</f>
        <v>319.97102066931524</v>
      </c>
      <c r="BJ198" s="59">
        <f t="shared" si="206"/>
        <v>190.48958701476397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17.906974508959003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17.906974508959003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152.40696942350093</v>
      </c>
      <c r="T199" s="59">
        <f t="shared" si="204"/>
        <v>368.99390365472789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795.00000000000068</v>
      </c>
      <c r="AJ199" s="13">
        <f>AI199*VLOOKUP('Données projet'!$B$10,Paramètres!$A$1:$I$89,3,0)*VLOOKUP('Données projet'!$B$10,Paramètres!$A$1:$I$89,5,0)</f>
        <v>372.06000000000029</v>
      </c>
      <c r="AK199" s="13">
        <f t="shared" si="164"/>
        <v>86.088609967897526</v>
      </c>
      <c r="AL199" s="20">
        <f t="shared" si="165"/>
        <v>797.94216236075533</v>
      </c>
      <c r="AM199" s="59">
        <f t="shared" si="193"/>
        <v>1091.2754956940887</v>
      </c>
      <c r="AN199" s="59">
        <f ca="1">AVERAGE(OFFSET($AM$3,0,0,'Données projet'!$E$10+1,1))-AVERAGE(OFFSET($H$3,0,0,'Données projet'!$E$10+1,1))</f>
        <v>379.12827535040157</v>
      </c>
      <c r="AO199" s="59">
        <f t="shared" si="205"/>
        <v>317.29813413796956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12.925558873453765</v>
      </c>
      <c r="AV199" s="21">
        <f>EXP(-LN(2)/25)*AV198+(1-EXP(-LN(2)/25))/(LN(2)/25)*Calculateur!AQ199*Calculateur!AS199*VLOOKUP('Données projet'!$B$10,Paramètres!$A$1:$I$89,3,0)*0.475*44/12</f>
        <v>0.44653125407800126</v>
      </c>
      <c r="AW199" s="21">
        <f>EXP(-LN(2)/2)*AW198+(1-EXP(-LN(2)/2))/(LN(2)/2)*AQ199*AT199*VLOOKUP('Données projet'!$B$10,Paramètres!$A$1:$I$89,3,0)*0.475*44/12</f>
        <v>4.4515896276381925E-26</v>
      </c>
      <c r="AX199" s="21">
        <f t="shared" si="166"/>
        <v>13.372090127531767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267</v>
      </c>
      <c r="BE199" s="13">
        <f>BD199*VLOOKUP('Données projet'!$B$11,Paramètres!$A$1:$I$89,3,0)*VLOOKUP('Données projet'!$B$11,Paramètres!$A$1:$I$89,5,0)</f>
        <v>279.06840000000005</v>
      </c>
      <c r="BF199" s="13">
        <f t="shared" si="167"/>
        <v>66.770096850895143</v>
      </c>
      <c r="BG199" s="20">
        <f t="shared" si="168"/>
        <v>602.33538201530905</v>
      </c>
      <c r="BH199" s="59">
        <f t="shared" si="194"/>
        <v>895.66871534864231</v>
      </c>
      <c r="BI199" s="59">
        <f ca="1">AVERAGE(OFFSET($BH$3,0,0,'Données projet'!$E$11+1,1))-AVERAGE(OFFSET($H$3,0,0,'Données projet'!$E$11+1,1))</f>
        <v>319.97102066931524</v>
      </c>
      <c r="BJ199" s="59">
        <f t="shared" si="206"/>
        <v>190.48958701476397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17.555829661014293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17.555829661014293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152.40696942350093</v>
      </c>
      <c r="T200" s="59">
        <f t="shared" si="204"/>
        <v>368.99390365472789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795.00000000000068</v>
      </c>
      <c r="AJ200" s="13">
        <f>AI200*VLOOKUP('Données projet'!$B$10,Paramètres!$A$1:$I$89,3,0)*VLOOKUP('Données projet'!$B$10,Paramètres!$A$1:$I$89,5,0)</f>
        <v>372.06000000000029</v>
      </c>
      <c r="AK200" s="13">
        <f t="shared" si="164"/>
        <v>86.088609967897526</v>
      </c>
      <c r="AL200" s="20">
        <f t="shared" si="165"/>
        <v>797.94216236075533</v>
      </c>
      <c r="AM200" s="59">
        <f t="shared" si="193"/>
        <v>1091.2754956940887</v>
      </c>
      <c r="AN200" s="59">
        <f ca="1">AVERAGE(OFFSET($AM$3,0,0,'Données projet'!$E$10+1,1))-AVERAGE(OFFSET($H$3,0,0,'Données projet'!$E$10+1,1))</f>
        <v>379.12827535040157</v>
      </c>
      <c r="AO200" s="59">
        <f t="shared" si="205"/>
        <v>317.29813413796956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12.672096547757787</v>
      </c>
      <c r="AV200" s="21">
        <f>EXP(-LN(2)/25)*AV199+(1-EXP(-LN(2)/25))/(LN(2)/25)*Calculateur!AQ200*Calculateur!AS200*VLOOKUP('Données projet'!$B$10,Paramètres!$A$1:$I$89,3,0)*0.475*44/12</f>
        <v>0.43432083345318023</v>
      </c>
      <c r="AW200" s="21">
        <f>EXP(-LN(2)/2)*AW199+(1-EXP(-LN(2)/2))/(LN(2)/2)*AQ200*AT200*VLOOKUP('Données projet'!$B$10,Paramètres!$A$1:$I$89,3,0)*0.475*44/12</f>
        <v>3.1477492127626639E-26</v>
      </c>
      <c r="AX200" s="21">
        <f t="shared" si="166"/>
        <v>13.106417381210967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267</v>
      </c>
      <c r="BE200" s="13">
        <f>BD200*VLOOKUP('Données projet'!$B$11,Paramètres!$A$1:$I$89,3,0)*VLOOKUP('Données projet'!$B$11,Paramètres!$A$1:$I$89,5,0)</f>
        <v>279.06840000000005</v>
      </c>
      <c r="BF200" s="13">
        <f t="shared" si="167"/>
        <v>66.770096850895143</v>
      </c>
      <c r="BG200" s="20">
        <f t="shared" si="168"/>
        <v>602.33538201530905</v>
      </c>
      <c r="BH200" s="59">
        <f t="shared" si="194"/>
        <v>895.66871534864231</v>
      </c>
      <c r="BI200" s="59">
        <f ca="1">AVERAGE(OFFSET($BH$3,0,0,'Données projet'!$E$11+1,1))-AVERAGE(OFFSET($H$3,0,0,'Données projet'!$E$11+1,1))</f>
        <v>319.97102066931524</v>
      </c>
      <c r="BJ200" s="59">
        <f t="shared" si="206"/>
        <v>190.48958701476397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17.21157054936057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17.21157054936057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152.40696942350093</v>
      </c>
      <c r="T201" s="59">
        <f t="shared" si="204"/>
        <v>368.99390365472789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795.00000000000068</v>
      </c>
      <c r="AJ201" s="13">
        <f>AI201*VLOOKUP('Données projet'!$B$10,Paramètres!$A$1:$I$89,3,0)*VLOOKUP('Données projet'!$B$10,Paramètres!$A$1:$I$89,5,0)</f>
        <v>372.06000000000029</v>
      </c>
      <c r="AK201" s="13">
        <f t="shared" si="164"/>
        <v>86.088609967897526</v>
      </c>
      <c r="AL201" s="20">
        <f t="shared" si="165"/>
        <v>797.94216236075533</v>
      </c>
      <c r="AM201" s="59">
        <f t="shared" si="193"/>
        <v>1091.2754956940887</v>
      </c>
      <c r="AN201" s="59">
        <f ca="1">AVERAGE(OFFSET($AM$3,0,0,'Données projet'!$E$10+1,1))-AVERAGE(OFFSET($H$3,0,0,'Données projet'!$E$10+1,1))</f>
        <v>379.12827535040157</v>
      </c>
      <c r="AO201" s="59">
        <f t="shared" si="205"/>
        <v>317.29813413796956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12.423604463671955</v>
      </c>
      <c r="AV201" s="21">
        <f>EXP(-LN(2)/25)*AV200+(1-EXP(-LN(2)/25))/(LN(2)/25)*Calculateur!AQ201*Calculateur!AS201*VLOOKUP('Données projet'!$B$10,Paramètres!$A$1:$I$89,3,0)*0.475*44/12</f>
        <v>0.42244430742246303</v>
      </c>
      <c r="AW201" s="21">
        <f>EXP(-LN(2)/2)*AW200+(1-EXP(-LN(2)/2))/(LN(2)/2)*AQ201*AT201*VLOOKUP('Données projet'!$B$10,Paramètres!$A$1:$I$89,3,0)*0.475*44/12</f>
        <v>2.2257948138190962E-26</v>
      </c>
      <c r="AX201" s="21">
        <f t="shared" si="166"/>
        <v>12.846048771094418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267</v>
      </c>
      <c r="BE201" s="13">
        <f>BD201*VLOOKUP('Données projet'!$B$11,Paramètres!$A$1:$I$89,3,0)*VLOOKUP('Données projet'!$B$11,Paramètres!$A$1:$I$89,5,0)</f>
        <v>279.06840000000005</v>
      </c>
      <c r="BF201" s="13">
        <f t="shared" si="167"/>
        <v>66.770096850895143</v>
      </c>
      <c r="BG201" s="20">
        <f t="shared" si="168"/>
        <v>602.33538201530905</v>
      </c>
      <c r="BH201" s="59">
        <f t="shared" si="194"/>
        <v>895.66871534864231</v>
      </c>
      <c r="BI201" s="59">
        <f ca="1">AVERAGE(OFFSET($BH$3,0,0,'Données projet'!$E$11+1,1))-AVERAGE(OFFSET($H$3,0,0,'Données projet'!$E$11+1,1))</f>
        <v>319.97102066931524</v>
      </c>
      <c r="BJ201" s="59">
        <f t="shared" si="206"/>
        <v>190.48958701476397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16.874062148909051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16.874062148909051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152.40696942350093</v>
      </c>
      <c r="T202" s="59">
        <f t="shared" si="204"/>
        <v>368.99390365472789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795.00000000000068</v>
      </c>
      <c r="AJ202" s="13">
        <f>AI202*VLOOKUP('Données projet'!$B$10,Paramètres!$A$1:$I$89,3,0)*VLOOKUP('Données projet'!$B$10,Paramètres!$A$1:$I$89,5,0)</f>
        <v>372.06000000000029</v>
      </c>
      <c r="AK202" s="13">
        <f t="shared" si="164"/>
        <v>86.088609967897526</v>
      </c>
      <c r="AL202" s="20">
        <f t="shared" si="165"/>
        <v>797.94216236075533</v>
      </c>
      <c r="AM202" s="59">
        <f t="shared" si="193"/>
        <v>1091.2754956940887</v>
      </c>
      <c r="AN202" s="59">
        <f ca="1">AVERAGE(OFFSET($AM$3,0,0,'Données projet'!$E$10+1,1))-AVERAGE(OFFSET($H$3,0,0,'Données projet'!$E$10+1,1))</f>
        <v>379.12827535040157</v>
      </c>
      <c r="AO202" s="59">
        <f t="shared" si="205"/>
        <v>317.29813413796956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12.17998515778984</v>
      </c>
      <c r="AV202" s="21">
        <f>EXP(-LN(2)/25)*AV201+(1-EXP(-LN(2)/25))/(LN(2)/25)*Calculateur!AQ202*Calculateur!AS202*VLOOKUP('Données projet'!$B$10,Paramètres!$A$1:$I$89,3,0)*0.475*44/12</f>
        <v>0.41089254562061517</v>
      </c>
      <c r="AW202" s="21">
        <f>EXP(-LN(2)/2)*AW201+(1-EXP(-LN(2)/2))/(LN(2)/2)*AQ202*AT202*VLOOKUP('Données projet'!$B$10,Paramètres!$A$1:$I$89,3,0)*0.475*44/12</f>
        <v>1.573874606381332E-26</v>
      </c>
      <c r="AX202" s="21">
        <f t="shared" si="166"/>
        <v>12.590877703410456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267</v>
      </c>
      <c r="BE202" s="13">
        <f>BD202*VLOOKUP('Données projet'!$B$11,Paramètres!$A$1:$I$89,3,0)*VLOOKUP('Données projet'!$B$11,Paramètres!$A$1:$I$89,5,0)</f>
        <v>279.06840000000005</v>
      </c>
      <c r="BF202" s="13">
        <f t="shared" si="167"/>
        <v>66.770096850895143</v>
      </c>
      <c r="BG202" s="20">
        <f t="shared" si="168"/>
        <v>602.33538201530905</v>
      </c>
      <c r="BH202" s="59">
        <f t="shared" si="194"/>
        <v>895.66871534864231</v>
      </c>
      <c r="BI202" s="59">
        <f ca="1">AVERAGE(OFFSET($BH$3,0,0,'Données projet'!$E$11+1,1))-AVERAGE(OFFSET($H$3,0,0,'Données projet'!$E$11+1,1))</f>
        <v>319.97102066931524</v>
      </c>
      <c r="BJ202" s="59">
        <f t="shared" si="206"/>
        <v>190.48958701476397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16.543172082330589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16.543172082330589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152.40696942350093</v>
      </c>
      <c r="T203" s="59">
        <f t="shared" si="204"/>
        <v>368.99390365472789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795.00000000000068</v>
      </c>
      <c r="AJ203" s="13">
        <f>AI203*VLOOKUP('Données projet'!$B$10,Paramètres!$A$1:$I$89,3,0)*VLOOKUP('Données projet'!$B$10,Paramètres!$A$1:$I$89,5,0)</f>
        <v>372.06000000000029</v>
      </c>
      <c r="AK203" s="13">
        <f t="shared" si="164"/>
        <v>86.088609967897526</v>
      </c>
      <c r="AL203" s="20">
        <f t="shared" si="165"/>
        <v>797.94216236075533</v>
      </c>
      <c r="AM203" s="59">
        <f t="shared" si="193"/>
        <v>1091.2754956940887</v>
      </c>
      <c r="AN203" s="59">
        <f ca="1">AVERAGE(OFFSET($AM$3,0,0,'Données projet'!$E$10+1,1))-AVERAGE(OFFSET($H$3,0,0,'Données projet'!$E$10+1,1))</f>
        <v>379.12827535040157</v>
      </c>
      <c r="AO203" s="59">
        <f t="shared" si="205"/>
        <v>317.29813413796956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11.94114307790297</v>
      </c>
      <c r="AV203" s="21">
        <f>EXP(-LN(2)/25)*AV202+(1-EXP(-LN(2)/25))/(LN(2)/25)*Calculateur!AQ203*Calculateur!AS203*VLOOKUP('Données projet'!$B$10,Paramètres!$A$1:$I$89,3,0)*0.475*44/12</f>
        <v>0.3996566673527196</v>
      </c>
      <c r="AW203" s="21">
        <f>EXP(-LN(2)/2)*AW202+(1-EXP(-LN(2)/2))/(LN(2)/2)*AQ203*AT203*VLOOKUP('Données projet'!$B$10,Paramètres!$A$1:$I$89,3,0)*0.475*44/12</f>
        <v>1.1128974069095481E-26</v>
      </c>
      <c r="AX203" s="21">
        <f t="shared" si="166"/>
        <v>12.340799745255689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267</v>
      </c>
      <c r="BE203" s="13">
        <f>BD203*VLOOKUP('Données projet'!$B$11,Paramètres!$A$1:$I$89,3,0)*VLOOKUP('Données projet'!$B$11,Paramètres!$A$1:$I$89,5,0)</f>
        <v>279.06840000000005</v>
      </c>
      <c r="BF203" s="13">
        <f t="shared" si="167"/>
        <v>66.770096850895143</v>
      </c>
      <c r="BG203" s="20">
        <f t="shared" si="168"/>
        <v>602.33538201530905</v>
      </c>
      <c r="BH203" s="59">
        <f t="shared" si="194"/>
        <v>895.66871534864231</v>
      </c>
      <c r="BI203" s="59">
        <f ca="1">AVERAGE(OFFSET($BH$3,0,0,'Données projet'!$E$11+1,1))-AVERAGE(OFFSET($H$3,0,0,'Données projet'!$E$11+1,1))</f>
        <v>319.97102066931524</v>
      </c>
      <c r="BJ203" s="59">
        <f t="shared" si="206"/>
        <v>190.48958701476397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16.218770568134719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16.218770568134719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1.3167180204218134</v>
      </c>
      <c r="BA205" s="81">
        <f>EXP(LN('Données projet'!B88)/'Données projet'!A88)</f>
        <v>1.2054868146447177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4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5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4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6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6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5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4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5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3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5" t="s">
        <v>271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0.25</v>
      </c>
      <c r="C6" s="145">
        <f ca="1">IF(OR('Données projet'!B9="",'Données projet'!C9="",'Données projet'!C9=0%),0,Calculateur!S3)</f>
        <v>152.40696942350093</v>
      </c>
      <c r="D6" s="145">
        <f>IF(OR('Données projet'!B9="",'Données projet'!C9="",'Données projet'!C9=0%),0,Calculateur!T3)</f>
        <v>368.99390365472789</v>
      </c>
      <c r="E6" s="145">
        <f ca="1">MIN(C6,D6)</f>
        <v>152.40696942350093</v>
      </c>
      <c r="F6" s="145">
        <f ca="1">E6*B6</f>
        <v>38.101742355875231</v>
      </c>
      <c r="G6" s="145">
        <f ca="1">F6*(100%-'Données projet'!$C$24)*(100%-'Données projet'!$C$25)*(100%-'Données projet'!$C$26)*(100%-'Données projet'!$C$27)</f>
        <v>34.291568120287707</v>
      </c>
      <c r="H6" s="146">
        <f>IF(OR('Données projet'!B9="",'Données projet'!C9="",'Données projet'!C9=0%),0,AVERAGE(Calculateur!$AC$3:$AC$33)*B6)</f>
        <v>4.316683021218763</v>
      </c>
      <c r="I6" s="147">
        <f>H6*(100%-'Données projet'!$C$24)*(100%-'Données projet'!$C$25)*(100%-'Données projet'!$C$26)*(100%-'Données projet'!$C$27)</f>
        <v>3.8850147190968869</v>
      </c>
      <c r="J6" s="148">
        <f>IF(OR('Données projet'!B9="",'Données projet'!C9="",'Données projet'!C9=0%),0,SUM(Calculateur!$V$3:$V$33)*VLOOKUP('Données projet'!$B$9,Paramètres!$A$1:$I$89,9,0)*B6)</f>
        <v>65.194999999999993</v>
      </c>
      <c r="K6" s="149">
        <f>J6*(100%-'Données projet'!$C$24)*(100%-'Données projet'!$C$25)*(100%-'Données projet'!$C$26)*(100%-'Données projet'!$C$27)</f>
        <v>58.675499999999992</v>
      </c>
      <c r="L6" s="150">
        <f ca="1">G6+I6+K6</f>
        <v>96.852082839384593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Cèdre de l'Atlas</v>
      </c>
      <c r="B7" s="152">
        <f>'Données projet'!D10</f>
        <v>0.1</v>
      </c>
      <c r="C7" s="145">
        <f ca="1">IF(OR('Données projet'!B10="",'Données projet'!C10="",'Données projet'!C10=0%),0,Calculateur!AN3)</f>
        <v>379.12827535040157</v>
      </c>
      <c r="D7" s="145">
        <f>IF(OR('Données projet'!B10="",'Données projet'!C10="",'Données projet'!C10=0%),0,Calculateur!AO3)</f>
        <v>317.29813413796956</v>
      </c>
      <c r="E7" s="145">
        <f t="shared" ref="E7:E15" ca="1" si="0">MIN(C7,D7)</f>
        <v>317.29813413796956</v>
      </c>
      <c r="F7" s="145">
        <f t="shared" ref="F7:F15" ca="1" si="1">E7*B7</f>
        <v>31.729813413796958</v>
      </c>
      <c r="G7" s="145">
        <f ca="1">F7*(100%-'Données projet'!$C$24)*(100%-'Données projet'!$C$25)*(100%-'Données projet'!$C$26)*(100%-'Données projet'!$C$27)</f>
        <v>28.556832072417262</v>
      </c>
      <c r="H7" s="153">
        <f>IF(OR('Données projet'!B10="",'Données projet'!C10="",'Données projet'!C10=0%),0,AVERAGE(Calculateur!$AX$3:$AX$33)*B7)</f>
        <v>0.65560359239993682</v>
      </c>
      <c r="I7" s="147">
        <f>H7*(100%-'Données projet'!$C$24)*(100%-'Données projet'!$C$25)*(100%-'Données projet'!$C$26)*(100%-'Données projet'!$C$27)</f>
        <v>0.59004323315994311</v>
      </c>
      <c r="J7" s="148">
        <f>IF(OR('Données projet'!B10="",'Données projet'!C10="",'Données projet'!C10=0%),0,SUM(Calculateur!$AQ$3:$AQ$33)*VLOOKUP('Données projet'!$B$10,Paramètres!$A$1:$I$89,9,0)*B7)</f>
        <v>7.1379999999999999</v>
      </c>
      <c r="K7" s="149">
        <f>J7*(100%-'Données projet'!$C$24)*(100%-'Données projet'!$C$25)*(100%-'Données projet'!$C$26)*(100%-'Données projet'!$C$27)</f>
        <v>6.4241999999999999</v>
      </c>
      <c r="L7" s="150">
        <f t="shared" ref="L7:L15" ca="1" si="2">G7+I7+K7</f>
        <v>35.571075305577203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chevelu</v>
      </c>
      <c r="B8" s="152">
        <f>'Données projet'!D11</f>
        <v>0.15</v>
      </c>
      <c r="C8" s="145">
        <f ca="1">IF(OR('Données projet'!B11="",'Données projet'!C11="",'Données projet'!C11=0%),0,Calculateur!BI3)</f>
        <v>319.97102066931524</v>
      </c>
      <c r="D8" s="145">
        <f>IF(OR('Données projet'!B11="",'Données projet'!C11="",'Données projet'!C11=0%),0,Calculateur!BJ3)</f>
        <v>190.48958701476397</v>
      </c>
      <c r="E8" s="145">
        <f t="shared" ca="1" si="0"/>
        <v>190.48958701476397</v>
      </c>
      <c r="F8" s="145">
        <f t="shared" ca="1" si="1"/>
        <v>28.573438052214595</v>
      </c>
      <c r="G8" s="145">
        <f ca="1">F8*(100%-'Données projet'!$C$24)*(100%-'Données projet'!$C$25)*(100%-'Données projet'!$C$26)*(100%-'Données projet'!$C$27)</f>
        <v>25.716094246993137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1.0874999999999999</v>
      </c>
      <c r="K8" s="149">
        <f>J8*(100%-'Données projet'!$C$24)*(100%-'Données projet'!$C$25)*(100%-'Données projet'!$C$26)*(100%-'Données projet'!$C$27)</f>
        <v>0.9787499999999999</v>
      </c>
      <c r="L8" s="150">
        <f t="shared" ca="1" si="2"/>
        <v>26.694844246993139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98.404993821886791</v>
      </c>
      <c r="G16" s="164">
        <f t="shared" ca="1" si="3"/>
        <v>88.564494439698109</v>
      </c>
      <c r="H16" s="165">
        <f t="shared" si="3"/>
        <v>4.9722866136186994</v>
      </c>
      <c r="I16" s="165">
        <f t="shared" si="3"/>
        <v>4.4750579522568303</v>
      </c>
      <c r="J16" s="166">
        <f t="shared" si="3"/>
        <v>73.420500000000004</v>
      </c>
      <c r="K16" s="166">
        <f t="shared" si="3"/>
        <v>66.078450000000004</v>
      </c>
      <c r="L16" s="167">
        <f t="shared" ca="1" si="3"/>
        <v>159.11800239195495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7" t="s">
        <v>246</v>
      </c>
      <c r="G17" s="298"/>
      <c r="H17" s="298"/>
      <c r="I17" s="298"/>
      <c r="J17" s="298"/>
      <c r="K17" s="298"/>
      <c r="L17" s="29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4"/>
      <c r="G18" s="284"/>
      <c r="H18" s="284"/>
      <c r="I18" s="284"/>
      <c r="J18" s="284"/>
      <c r="K18" s="284"/>
      <c r="L18" s="28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C86" sqref="C8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5" t="s">
        <v>272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313" t="s">
        <v>253</v>
      </c>
      <c r="L4" s="314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2794.5754168015569</v>
      </c>
      <c r="U10" s="176">
        <f>'Données projet'!D9</f>
        <v>0.25</v>
      </c>
      <c r="V10" s="175">
        <f>U10*T10</f>
        <v>698.64385420038923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Cèdre de l'Atlas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-2534.8285714705457</v>
      </c>
      <c r="U11" s="176">
        <f>'Données projet'!D10</f>
        <v>0.1</v>
      </c>
      <c r="V11" s="175">
        <f t="shared" ref="V11" si="0">U11*T11</f>
        <v>-253.48285714705457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chevelu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-2624.6873235139419</v>
      </c>
      <c r="U12" s="176">
        <f>'Données projet'!D11</f>
        <v>0.15</v>
      </c>
      <c r="V12" s="175">
        <f t="shared" ref="V12:V19" si="1">U12*T12</f>
        <v>-393.7030985270913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6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6"/>
      <c r="H16" s="188"/>
      <c r="I16" s="189"/>
      <c r="J16" s="200"/>
      <c r="K16" s="206"/>
      <c r="L16" s="313" t="s">
        <v>254</v>
      </c>
      <c r="M16" s="314"/>
      <c r="N16" s="2">
        <v>60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1667.64</v>
      </c>
      <c r="F17" s="228"/>
      <c r="G17" s="316"/>
      <c r="J17" s="200"/>
      <c r="K17" s="206"/>
      <c r="L17" s="273" t="s">
        <v>289</v>
      </c>
      <c r="M17" s="275"/>
      <c r="N17" s="173">
        <f>VLOOKUP(N16,Calculateur!$A$2:$H$153,3,0)/VLOOKUP('Scénario référence'!$G$15,Paramètres!A1:I89,3,0)/VLOOKUP('Scénario référence'!$G$15,Paramètres!A1:I89,5,0)</f>
        <v>60.000000000000085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6"/>
      <c r="J18" s="200"/>
      <c r="K18" s="206"/>
      <c r="L18" s="273" t="s">
        <v>255</v>
      </c>
      <c r="M18" s="275"/>
      <c r="N18" s="190">
        <v>25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6"/>
      <c r="H19" s="210" t="s">
        <v>178</v>
      </c>
      <c r="I19" s="210" t="s">
        <v>287</v>
      </c>
      <c r="J19" s="91"/>
      <c r="K19" s="171"/>
      <c r="L19" s="313" t="s">
        <v>288</v>
      </c>
      <c r="M19" s="314"/>
      <c r="N19" s="177">
        <f>N17*N18</f>
        <v>1500.000000000002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6"/>
      <c r="H20" s="188">
        <v>0</v>
      </c>
      <c r="I20" s="189">
        <v>5969.28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480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480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480</v>
      </c>
      <c r="K23" s="206"/>
      <c r="L23" s="315" t="s">
        <v>260</v>
      </c>
      <c r="M23" s="315"/>
      <c r="N23" s="315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-3592.9335465142412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>
        <v>10</v>
      </c>
      <c r="D24" s="180">
        <f t="shared" ref="D24:D42" si="2">B24*C24</f>
        <v>340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53.466756210554962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-3646.4003027247963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>
        <v>18</v>
      </c>
      <c r="D29" s="180">
        <f t="shared" si="2"/>
        <v>774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>
        <v>28</v>
      </c>
      <c r="D34" s="180">
        <f t="shared" si="2"/>
        <v>1568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>
        <v>40</v>
      </c>
      <c r="D42" s="180">
        <f t="shared" si="2"/>
        <v>12360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Cèdre de l'Atlas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2954.64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0</v>
      </c>
      <c r="C54" s="189">
        <v>10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26</v>
      </c>
      <c r="C55" s="189">
        <v>10</v>
      </c>
      <c r="D55" s="177">
        <f t="shared" ref="D55:D73" si="4">B55*C55</f>
        <v>260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70</v>
      </c>
      <c r="C56" s="189">
        <v>10</v>
      </c>
      <c r="D56" s="177">
        <f t="shared" si="4"/>
        <v>700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70</v>
      </c>
      <c r="C57" s="189">
        <v>10</v>
      </c>
      <c r="D57" s="177">
        <f t="shared" si="4"/>
        <v>700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70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70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70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70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63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56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52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49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47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45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chevelu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2748.72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>
        <v>15</v>
      </c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8</v>
      </c>
      <c r="C86" s="189">
        <v>15</v>
      </c>
      <c r="D86" s="177">
        <f t="shared" ref="D86:D104" si="6">B86*C86</f>
        <v>120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21</v>
      </c>
      <c r="C87" s="189">
        <v>15</v>
      </c>
      <c r="D87" s="177">
        <f t="shared" si="6"/>
        <v>315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21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21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21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21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21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21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21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21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21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21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21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21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21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19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18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2023-09-20T13:34:24Z</dcterms:modified>
</cp:coreProperties>
</file>