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cuments\3_Reboisement\Reboisement Bardonnet_Anost (71)\"/>
    </mc:Choice>
  </mc:AlternateContent>
  <xr:revisionPtr revIDLastSave="0" documentId="13_ncr:1_{F6008282-61D8-4BC1-92B6-907910F78E82}" xr6:coauthVersionLast="47" xr6:coauthVersionMax="47" xr10:uidLastSave="{00000000-0000-0000-0000-000000000000}"/>
  <bookViews>
    <workbookView xWindow="-108" yWindow="-108" windowWidth="23256" windowHeight="12576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W21" i="2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HH44" i="2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EX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A86" i="2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FQ118" i="2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A121" i="2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HI122" i="2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EX124" i="2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C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B140" i="2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HJ154" i="2" s="1"/>
  <c r="AB154" i="2"/>
  <c r="EB154" i="2"/>
  <c r="EX154" i="2"/>
  <c r="AA154" i="2"/>
  <c r="EV154" i="2"/>
  <c r="EY154" i="2" s="1"/>
  <c r="EC154" i="2"/>
  <c r="ED154" i="2" s="1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DI154" i="2" l="1"/>
  <c r="EA155" i="2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D155" i="2" l="1"/>
  <c r="EB156" i="2"/>
  <c r="DH156" i="2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ED157" i="2" s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C158" i="2" l="1"/>
  <c r="HG158" i="2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D160" i="2" l="1"/>
  <c r="EX161" i="2"/>
  <c r="AB161" i="2"/>
  <c r="HG161" i="2"/>
  <c r="FS161" i="2"/>
  <c r="EB161" i="2"/>
  <c r="EA161" i="2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 l="1"/>
  <c r="EW162" i="2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D162" i="2" l="1"/>
  <c r="EY162" i="2"/>
  <c r="HH163" i="2"/>
  <c r="EV163" i="2"/>
  <c r="EB163" i="2"/>
  <c r="HG163" i="2"/>
  <c r="HI163" i="2"/>
  <c r="EA163" i="2"/>
  <c r="ED163" i="2" s="1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FR164" i="2" l="1"/>
  <c r="EY163" i="2"/>
  <c r="DH164" i="2"/>
  <c r="DI163" i="2"/>
  <c r="HG164" i="2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HG166" i="2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Y166" i="2" l="1"/>
  <c r="HJ166" i="2"/>
  <c r="EX167" i="2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HH169" i="2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D171" i="2" l="1"/>
  <c r="EY171" i="2"/>
  <c r="EV172" i="2"/>
  <c r="EW172" i="2"/>
  <c r="HG172" i="2"/>
  <c r="HI172" i="2"/>
  <c r="EA172" i="2"/>
  <c r="EB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ED172" i="2"/>
  <c r="EB173" i="2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ED174" i="2" l="1"/>
  <c r="AA175" i="2"/>
  <c r="EW175" i="2"/>
  <c r="EB175" i="2"/>
  <c r="HI175" i="2"/>
  <c r="EA175" i="2"/>
  <c r="FS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HH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FS177" i="2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D177" i="2" l="1"/>
  <c r="FQ178" i="2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 l="1"/>
  <c r="DF179" i="2"/>
  <c r="EB179" i="2"/>
  <c r="HI179" i="2"/>
  <c r="EV179" i="2"/>
  <c r="EA179" i="2"/>
  <c r="ED179" i="2" s="1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Y179" i="2" l="1"/>
  <c r="HI180" i="2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D180" i="2" l="1"/>
  <c r="HG181" i="2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 l="1"/>
  <c r="EY182" i="2"/>
  <c r="FS183" i="2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HI184" i="2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 l="1"/>
  <c r="EW185" i="2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C187" i="2" l="1"/>
  <c r="EY186" i="2"/>
  <c r="HG187" i="2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ED187" i="2" l="1"/>
  <c r="HI188" i="2"/>
  <c r="HH188" i="2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Y188" i="2" l="1"/>
  <c r="EB189" i="2"/>
  <c r="AA189" i="2"/>
  <c r="EV189" i="2"/>
  <c r="EY189" i="2" s="1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D189" i="2" l="1"/>
  <c r="HJ189" i="2"/>
  <c r="HH190" i="2"/>
  <c r="EV190" i="2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HG191" i="2"/>
  <c r="HH191" i="2"/>
  <c r="EW191" i="2"/>
  <c r="HI191" i="2"/>
  <c r="EC191" i="2"/>
  <c r="EX191" i="2"/>
  <c r="EY191" i="2" s="1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D192" i="2" l="1"/>
  <c r="EY192" i="2"/>
  <c r="HI193" i="2"/>
  <c r="FQ193" i="2"/>
  <c r="DI192" i="2"/>
  <c r="EB193" i="2"/>
  <c r="EA193" i="2"/>
  <c r="ED193" i="2" s="1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A194" i="2" l="1"/>
  <c r="EB194" i="2"/>
  <c r="HG194" i="2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ED194" i="2" l="1"/>
  <c r="HG195" i="2"/>
  <c r="FQ195" i="2"/>
  <c r="EY194" i="2"/>
  <c r="AA195" i="2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HG196" i="2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HG197" i="2" l="1"/>
  <c r="HH197" i="2"/>
  <c r="EY196" i="2"/>
  <c r="EC197" i="2"/>
  <c r="EW197" i="2"/>
  <c r="EA197" i="2"/>
  <c r="ED197" i="2" s="1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HI198" i="2" l="1"/>
  <c r="EV198" i="2"/>
  <c r="EY198" i="2" s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V199" i="2" l="1"/>
  <c r="EW199" i="2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HJ199" i="2" l="1"/>
  <c r="EX200" i="2"/>
  <c r="EW200" i="2"/>
  <c r="HI200" i="2"/>
  <c r="FS200" i="2"/>
  <c r="EC200" i="2"/>
  <c r="HH200" i="2"/>
  <c r="GN200" i="2"/>
  <c r="HG200" i="2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 l="1"/>
  <c r="DI200" i="2"/>
  <c r="EY200" i="2"/>
  <c r="HJ200" i="2"/>
  <c r="HG201" i="2"/>
  <c r="FS201" i="2"/>
  <c r="HH201" i="2"/>
  <c r="EA201" i="2"/>
  <c r="ED201" i="2" s="1"/>
  <c r="EB201" i="2"/>
  <c r="HI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FS202" i="2" l="1"/>
  <c r="FZ6" i="2"/>
  <c r="HI202" i="2"/>
  <c r="EW202" i="2"/>
  <c r="HG202" i="2"/>
  <c r="FR202" i="2"/>
  <c r="HH202" i="2"/>
  <c r="HJ202" i="2" s="1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59" i="2" a="1"/>
  <c r="FD59" i="2" s="1"/>
  <c r="DN56" i="2" a="1"/>
  <c r="DN56" i="2" s="1"/>
  <c r="GT115" i="2" a="1"/>
  <c r="GT115" i="2" s="1"/>
  <c r="GT51" i="2" a="1"/>
  <c r="GT51" i="2" s="1"/>
  <c r="GT33" i="2" a="1"/>
  <c r="GT33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DN63" i="2" a="1"/>
  <c r="DN63" i="2" s="1"/>
  <c r="CS120" i="2" a="1"/>
  <c r="CS120" i="2" s="1"/>
  <c r="GT189" i="2" a="1"/>
  <c r="GT189" i="2" s="1"/>
  <c r="GT38" i="2" a="1"/>
  <c r="GT38" i="2" s="1"/>
  <c r="GT107" i="2" a="1"/>
  <c r="GT107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EY202" i="2"/>
  <c r="AX200" i="2"/>
  <c r="AH163" i="2" l="1" a="1"/>
  <c r="AH163" i="2" s="1"/>
  <c r="BC32" i="2" a="1"/>
  <c r="BC32" i="2" s="1"/>
  <c r="BC55" i="2" a="1"/>
  <c r="BC55" i="2" s="1"/>
  <c r="FY90" i="2" a="1"/>
  <c r="FY90" i="2" s="1"/>
  <c r="FY109" i="2" a="1"/>
  <c r="FY109" i="2" s="1"/>
  <c r="FY79" i="2" a="1"/>
  <c r="FY79" i="2" s="1"/>
  <c r="GT198" i="2" a="1"/>
  <c r="GT198" i="2" s="1"/>
  <c r="GT102" i="2" a="1"/>
  <c r="GT102" i="2" s="1"/>
  <c r="GT133" i="2" a="1"/>
  <c r="GT133" i="2" s="1"/>
  <c r="GT68" i="2" a="1"/>
  <c r="GT68" i="2" s="1"/>
  <c r="GT174" i="2" a="1"/>
  <c r="GT174" i="2" s="1"/>
  <c r="GT15" i="2" a="1"/>
  <c r="GT15" i="2" s="1"/>
  <c r="GT190" i="2" a="1"/>
  <c r="GT190" i="2" s="1"/>
  <c r="GT74" i="2" a="1"/>
  <c r="GT74" i="2" s="1"/>
  <c r="GT21" i="2" a="1"/>
  <c r="GT21" i="2" s="1"/>
  <c r="GT147" i="2" a="1"/>
  <c r="GT147" i="2" s="1"/>
  <c r="GT121" i="2" a="1"/>
  <c r="GT121" i="2" s="1"/>
  <c r="GT181" i="2" a="1"/>
  <c r="GT181" i="2" s="1"/>
  <c r="HH203" i="2"/>
  <c r="GT126" i="2" a="1"/>
  <c r="GT126" i="2" s="1"/>
  <c r="GT138" i="2" a="1"/>
  <c r="GT138" i="2" s="1"/>
  <c r="GT191" i="2" a="1"/>
  <c r="GT191" i="2" s="1"/>
  <c r="GT178" i="2" a="1"/>
  <c r="GT178" i="2" s="1"/>
  <c r="GT12" i="2" a="1"/>
  <c r="GT12" i="2" s="1"/>
  <c r="GT152" i="2" a="1"/>
  <c r="GT152" i="2" s="1"/>
  <c r="GT122" i="2" a="1"/>
  <c r="GT122" i="2" s="1"/>
  <c r="GT184" i="2" a="1"/>
  <c r="GT184" i="2" s="1"/>
  <c r="FD144" i="2" a="1"/>
  <c r="FD144" i="2" s="1"/>
  <c r="FD21" i="2" a="1"/>
  <c r="FD21" i="2" s="1"/>
  <c r="CS66" i="2" a="1"/>
  <c r="CS66" i="2" s="1"/>
  <c r="FR203" i="2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Z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FT203" i="2" s="1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GZ116" i="2" l="1"/>
  <c r="GZ166" i="2"/>
  <c r="GZ178" i="2"/>
  <c r="GZ32" i="2"/>
  <c r="GZ159" i="2"/>
  <c r="GZ153" i="2"/>
  <c r="GZ7" i="2"/>
  <c r="GZ84" i="2"/>
  <c r="GZ152" i="2"/>
  <c r="GZ191" i="2"/>
  <c r="GZ177" i="2"/>
  <c r="GZ168" i="2"/>
  <c r="GZ161" i="2"/>
  <c r="GZ182" i="2"/>
  <c r="GZ44" i="2"/>
  <c r="GZ103" i="2"/>
  <c r="GZ93" i="2"/>
  <c r="GZ187" i="2"/>
  <c r="GZ88" i="2"/>
  <c r="GZ4" i="2"/>
  <c r="GZ68" i="2"/>
  <c r="GZ137" i="2"/>
  <c r="GZ188" i="2"/>
  <c r="GZ58" i="2"/>
  <c r="GZ157" i="2"/>
  <c r="GZ186" i="2"/>
  <c r="GZ142" i="2"/>
  <c r="GZ49" i="2"/>
  <c r="GZ111" i="2"/>
  <c r="GZ21" i="2"/>
  <c r="GZ54" i="2"/>
  <c r="GZ5" i="2"/>
  <c r="GZ70" i="2"/>
  <c r="GZ138" i="2"/>
  <c r="GZ189" i="2"/>
  <c r="GZ35" i="2"/>
  <c r="GZ180" i="2"/>
  <c r="GZ65" i="2"/>
  <c r="GZ66" i="2"/>
  <c r="GZ127" i="2"/>
  <c r="GZ195" i="2"/>
  <c r="GZ109" i="2"/>
  <c r="GZ107" i="2"/>
  <c r="GZ45" i="2"/>
  <c r="GZ155" i="2"/>
  <c r="GZ25" i="2"/>
  <c r="GZ151" i="2"/>
  <c r="GZ120" i="2"/>
  <c r="GZ12" i="2"/>
  <c r="GZ80" i="2"/>
  <c r="GZ197" i="2"/>
  <c r="GZ119" i="2"/>
  <c r="GZ52" i="2"/>
  <c r="GZ199" i="2"/>
  <c r="GZ74" i="2"/>
  <c r="GZ46" i="2"/>
  <c r="GZ51" i="2"/>
  <c r="GZ31" i="2"/>
  <c r="GZ105" i="2"/>
  <c r="GZ73" i="2"/>
  <c r="GZ16" i="2"/>
  <c r="GZ115" i="2"/>
  <c r="GZ171" i="2"/>
  <c r="GZ200" i="2"/>
  <c r="GZ19" i="2"/>
  <c r="GZ91" i="2"/>
  <c r="GZ20" i="2"/>
  <c r="GZ183" i="2"/>
  <c r="GZ163" i="2"/>
  <c r="GZ112" i="2"/>
  <c r="GZ165" i="2"/>
  <c r="GZ26" i="2"/>
  <c r="GZ17" i="2"/>
  <c r="GZ18" i="2"/>
  <c r="GZ132" i="2"/>
  <c r="GZ201" i="2"/>
  <c r="GZ117" i="2"/>
  <c r="GZ100" i="2"/>
  <c r="GZ22" i="2"/>
  <c r="GZ192" i="2"/>
  <c r="GZ85" i="2"/>
  <c r="GZ113" i="2"/>
  <c r="GZ33" i="2"/>
  <c r="GZ99" i="2"/>
  <c r="GZ6" i="2"/>
  <c r="GZ81" i="2"/>
  <c r="GZ198" i="2"/>
  <c r="GZ190" i="2"/>
  <c r="GZ89" i="2"/>
  <c r="GZ86" i="2"/>
  <c r="GZ53" i="2"/>
  <c r="GZ181" i="2"/>
  <c r="GZ139" i="2"/>
  <c r="GZ102" i="2"/>
  <c r="GZ94" i="2"/>
  <c r="GZ164" i="2"/>
  <c r="GZ162" i="2"/>
  <c r="GZ24" i="2"/>
  <c r="GZ147" i="2"/>
  <c r="GZ62" i="2"/>
  <c r="GZ179" i="2"/>
  <c r="GZ124" i="2"/>
  <c r="GZ193" i="2"/>
  <c r="GZ23" i="2"/>
  <c r="GZ133" i="2"/>
  <c r="GZ173" i="2"/>
  <c r="GZ75" i="2"/>
  <c r="GZ176" i="2"/>
  <c r="GZ29" i="2"/>
  <c r="GZ143" i="2"/>
  <c r="GZ13" i="2"/>
  <c r="GZ11" i="2"/>
  <c r="GZ30" i="2"/>
  <c r="GZ128" i="2"/>
  <c r="GZ90" i="2"/>
  <c r="GZ95" i="2"/>
  <c r="GZ154" i="2"/>
  <c r="GZ47" i="2"/>
  <c r="GZ108" i="2"/>
  <c r="GZ40" i="2"/>
  <c r="GZ98" i="2"/>
  <c r="GZ72" i="2"/>
  <c r="GZ14" i="2"/>
  <c r="GZ172" i="2"/>
  <c r="GZ60" i="2"/>
  <c r="GZ129" i="2"/>
  <c r="GZ28" i="2"/>
  <c r="GZ169" i="2"/>
  <c r="GZ148" i="2"/>
  <c r="GZ56" i="2"/>
  <c r="GZ110" i="2"/>
  <c r="GZ41" i="2"/>
  <c r="GZ92" i="2"/>
  <c r="GZ146" i="2"/>
  <c r="GZ131" i="2"/>
  <c r="GZ69" i="2"/>
  <c r="GZ118" i="2"/>
  <c r="GZ158" i="2"/>
  <c r="GZ114" i="2"/>
  <c r="GZ97" i="2"/>
  <c r="GZ170" i="2"/>
  <c r="GZ145" i="2"/>
  <c r="GZ79" i="2"/>
  <c r="GZ67" i="2"/>
  <c r="GZ83" i="2"/>
  <c r="GZ136" i="2"/>
  <c r="GZ8" i="2"/>
  <c r="GZ106" i="2"/>
  <c r="GZ149" i="2"/>
  <c r="GZ185" i="2"/>
  <c r="GZ196" i="2"/>
  <c r="GZ48" i="2"/>
  <c r="GZ101" i="2"/>
  <c r="GZ150" i="2"/>
  <c r="GZ55" i="2"/>
  <c r="GZ76" i="2"/>
  <c r="GZ71" i="2"/>
  <c r="GZ167" i="2"/>
  <c r="GZ125" i="2"/>
  <c r="GZ194" i="2"/>
  <c r="GZ140" i="2"/>
  <c r="GZ144" i="2"/>
  <c r="GZ174" i="2"/>
  <c r="GZ36" i="2"/>
  <c r="GZ122" i="2"/>
  <c r="GZ27" i="2"/>
  <c r="GZ9" i="2"/>
  <c r="GZ77" i="2"/>
  <c r="GZ34" i="2"/>
  <c r="GZ64" i="2"/>
  <c r="GZ126" i="2"/>
  <c r="GZ123" i="2"/>
  <c r="GZ96" i="2"/>
  <c r="GZ160" i="2"/>
  <c r="GZ175" i="2"/>
  <c r="GZ37" i="2"/>
  <c r="GZ38" i="2"/>
  <c r="GZ43" i="2"/>
  <c r="GZ15" i="2"/>
  <c r="GZ82" i="2"/>
  <c r="GZ61" i="2"/>
  <c r="GZ130" i="2"/>
  <c r="GZ10" i="2"/>
  <c r="GZ59" i="2"/>
  <c r="GZ156" i="2"/>
  <c r="GZ57" i="2"/>
  <c r="GZ141" i="2"/>
  <c r="GZ42" i="2"/>
  <c r="GZ203" i="2"/>
  <c r="GZ135" i="2"/>
  <c r="GZ50" i="2"/>
  <c r="GZ63" i="2"/>
  <c r="GZ78" i="2"/>
  <c r="GZ87" i="2"/>
  <c r="GZ121" i="2"/>
  <c r="GZ104" i="2"/>
  <c r="GZ184" i="2"/>
  <c r="GZ39" i="2"/>
  <c r="GZ202" i="2"/>
  <c r="GZ134" i="2"/>
  <c r="GZ3" i="2"/>
  <c r="C15" i="4" s="1"/>
  <c r="E15" i="4" s="1"/>
  <c r="F15" i="4" s="1"/>
  <c r="G15" i="4" s="1"/>
  <c r="L15" i="4" s="1"/>
  <c r="GE11" i="2"/>
  <c r="GE42" i="2"/>
  <c r="GE189" i="2"/>
  <c r="GE193" i="2"/>
  <c r="GE200" i="2"/>
  <c r="GE72" i="2"/>
  <c r="GE171" i="2"/>
  <c r="GE28" i="2"/>
  <c r="GE16" i="2"/>
  <c r="GE82" i="2"/>
  <c r="GE24" i="2"/>
  <c r="GE4" i="2"/>
  <c r="GE89" i="2"/>
  <c r="GE107" i="2"/>
  <c r="GE34" i="2"/>
  <c r="GE123" i="2"/>
  <c r="GE95" i="2"/>
  <c r="GE51" i="2"/>
  <c r="GE185" i="2"/>
  <c r="GE33" i="2"/>
  <c r="GE84" i="2"/>
  <c r="GE61" i="2"/>
  <c r="GE112" i="2"/>
  <c r="GE53" i="2"/>
  <c r="GE12" i="2"/>
  <c r="GE6" i="2"/>
  <c r="GE83" i="2"/>
  <c r="GE160" i="2"/>
  <c r="GE74" i="2"/>
  <c r="GE130" i="2"/>
  <c r="GE119" i="2"/>
  <c r="GE187" i="2"/>
  <c r="GE67" i="2"/>
  <c r="GE154" i="2"/>
  <c r="GE125" i="2"/>
  <c r="GE131" i="2"/>
  <c r="GE180" i="2"/>
  <c r="GE158" i="2"/>
  <c r="GE115" i="2"/>
  <c r="GE65" i="2"/>
  <c r="GE35" i="2"/>
  <c r="GE198" i="2"/>
  <c r="GE47" i="2"/>
  <c r="GE177" i="2"/>
  <c r="GE94" i="2"/>
  <c r="GE46" i="2"/>
  <c r="GE36" i="2"/>
  <c r="GE176" i="2"/>
  <c r="GE109" i="2"/>
  <c r="GE86" i="2"/>
  <c r="GE196" i="2"/>
  <c r="GE69" i="2"/>
  <c r="GE127" i="2"/>
  <c r="GE15" i="2"/>
  <c r="GE152" i="2"/>
  <c r="GE124" i="2"/>
  <c r="GE199" i="2"/>
  <c r="GE161" i="2"/>
  <c r="GE166" i="2"/>
  <c r="GE30" i="2"/>
  <c r="GE190" i="2"/>
  <c r="GE68" i="2"/>
  <c r="GE175" i="2"/>
  <c r="GE58" i="2"/>
  <c r="GE31" i="2"/>
  <c r="GE150" i="2"/>
  <c r="GE191" i="2"/>
  <c r="GE23" i="2"/>
  <c r="GE56" i="2"/>
  <c r="GE159" i="2"/>
  <c r="GE188" i="2"/>
  <c r="GE87" i="2"/>
  <c r="GE151" i="2"/>
  <c r="GE79" i="2"/>
  <c r="GE92" i="2"/>
  <c r="GE37" i="2"/>
  <c r="GE192" i="2"/>
  <c r="GE81" i="2"/>
  <c r="GE48" i="2"/>
  <c r="GE146" i="2"/>
  <c r="GE157" i="2"/>
  <c r="GE117" i="2"/>
  <c r="GE39" i="2"/>
  <c r="GE129" i="2"/>
  <c r="GE55" i="2"/>
  <c r="GE179" i="2"/>
  <c r="GE195" i="2"/>
  <c r="GE102" i="2"/>
  <c r="GE78" i="2"/>
  <c r="GE135" i="2"/>
  <c r="GE71" i="2"/>
  <c r="GE50" i="2"/>
  <c r="GE80" i="2"/>
  <c r="GE9" i="2"/>
  <c r="GE38" i="2"/>
  <c r="GE54" i="2"/>
  <c r="GE70" i="2"/>
  <c r="GE138" i="2"/>
  <c r="GE186" i="2"/>
  <c r="GE97" i="2"/>
  <c r="GE136" i="2"/>
  <c r="GE77" i="2"/>
  <c r="GE21" i="2"/>
  <c r="GE134" i="2"/>
  <c r="GE101" i="2"/>
  <c r="GE163" i="2"/>
  <c r="GE93" i="2"/>
  <c r="GE148" i="2"/>
  <c r="GE137" i="2"/>
  <c r="GE174" i="2"/>
  <c r="GE57" i="2"/>
  <c r="GE143" i="2"/>
  <c r="GE40" i="2"/>
  <c r="GE167" i="2"/>
  <c r="GE100" i="2"/>
  <c r="GE41" i="2"/>
  <c r="GE178" i="2"/>
  <c r="GE173" i="2"/>
  <c r="GE203" i="2"/>
  <c r="GE25" i="2"/>
  <c r="GE142" i="2"/>
  <c r="GE132" i="2"/>
  <c r="GE141" i="2"/>
  <c r="GE19" i="2"/>
  <c r="GE172" i="2"/>
  <c r="GE169" i="2"/>
  <c r="GE144" i="2"/>
  <c r="GE116" i="2"/>
  <c r="GE139" i="2"/>
  <c r="GE22" i="2"/>
  <c r="GE201" i="2"/>
  <c r="GE149" i="2"/>
  <c r="GE26" i="2"/>
  <c r="GE59" i="2"/>
  <c r="GE10" i="2"/>
  <c r="GE91" i="2"/>
  <c r="GE63" i="2"/>
  <c r="GE120" i="2"/>
  <c r="GE140" i="2"/>
  <c r="GE165" i="2"/>
  <c r="GE14" i="2"/>
  <c r="GE99" i="2"/>
  <c r="GE62" i="2"/>
  <c r="GE76" i="2"/>
  <c r="GE85" i="2"/>
  <c r="GE49" i="2"/>
  <c r="GE104" i="2"/>
  <c r="GE64" i="2"/>
  <c r="GE43" i="2"/>
  <c r="GE88" i="2"/>
  <c r="GE164" i="2"/>
  <c r="GE103" i="2"/>
  <c r="GE113" i="2"/>
  <c r="GE170" i="2"/>
  <c r="GE128" i="2"/>
  <c r="GE194" i="2"/>
  <c r="GE110" i="2"/>
  <c r="GE98" i="2"/>
  <c r="GE29" i="2"/>
  <c r="GE52" i="2"/>
  <c r="GE162" i="2"/>
  <c r="GE106" i="2"/>
  <c r="GE118" i="2"/>
  <c r="GE105" i="2"/>
  <c r="GE182" i="2"/>
  <c r="GE122" i="2"/>
  <c r="GE73" i="2"/>
  <c r="GE20" i="2"/>
  <c r="GE3" i="2"/>
  <c r="C14" i="4" s="1"/>
  <c r="E14" i="4" s="1"/>
  <c r="F14" i="4" s="1"/>
  <c r="G14" i="4" s="1"/>
  <c r="L14" i="4" s="1"/>
  <c r="GE114" i="2"/>
  <c r="GE45" i="2"/>
  <c r="GE168" i="2"/>
  <c r="GE202" i="2"/>
  <c r="GE17" i="2"/>
  <c r="GE111" i="2"/>
  <c r="GE18" i="2"/>
  <c r="GE108" i="2"/>
  <c r="GE133" i="2"/>
  <c r="GE121" i="2"/>
  <c r="GE13" i="2"/>
  <c r="GE60" i="2"/>
  <c r="GE184" i="2"/>
  <c r="GE66" i="2"/>
  <c r="GE197" i="2"/>
  <c r="GE155" i="2"/>
  <c r="GE181" i="2"/>
  <c r="GE27" i="2"/>
  <c r="GE126" i="2"/>
  <c r="GE156" i="2"/>
  <c r="GE153" i="2"/>
  <c r="GE147" i="2"/>
  <c r="GE183" i="2"/>
  <c r="GE96" i="2"/>
  <c r="GE75" i="2"/>
  <c r="GE44" i="2"/>
  <c r="GE7" i="2"/>
  <c r="GE5" i="2"/>
  <c r="GE32" i="2"/>
  <c r="GE145" i="2"/>
  <c r="GE8" i="2"/>
  <c r="GE90" i="2"/>
  <c r="FE85" i="2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FJ125" i="2" l="1"/>
  <c r="FJ171" i="2"/>
  <c r="FJ156" i="2"/>
  <c r="FJ153" i="2"/>
  <c r="FJ167" i="2"/>
  <c r="FJ69" i="2"/>
  <c r="FJ68" i="2"/>
  <c r="FJ60" i="2"/>
  <c r="FJ41" i="2"/>
  <c r="FJ13" i="2"/>
  <c r="FJ191" i="2"/>
  <c r="FJ193" i="2"/>
  <c r="FJ133" i="2"/>
  <c r="FJ127" i="2"/>
  <c r="FJ134" i="2"/>
  <c r="FJ188" i="2"/>
  <c r="FJ169" i="2"/>
  <c r="FJ157" i="2"/>
  <c r="FJ14" i="2"/>
  <c r="FJ202" i="2"/>
  <c r="FJ74" i="2"/>
  <c r="FJ184" i="2"/>
  <c r="FJ155" i="2"/>
  <c r="FJ59" i="2"/>
  <c r="FJ113" i="2"/>
  <c r="FJ203" i="2"/>
  <c r="FJ112" i="2"/>
  <c r="FJ196" i="2"/>
  <c r="FJ185" i="2"/>
  <c r="FJ91" i="2"/>
  <c r="FJ55" i="2"/>
  <c r="FJ165" i="2"/>
  <c r="FJ38" i="2"/>
  <c r="FJ18" i="2"/>
  <c r="FJ56" i="2"/>
  <c r="FJ65" i="2"/>
  <c r="FJ198" i="2"/>
  <c r="FJ77" i="2"/>
  <c r="FJ130" i="2"/>
  <c r="FJ53" i="2"/>
  <c r="FJ84" i="2"/>
  <c r="FJ34" i="2"/>
  <c r="FJ6" i="2"/>
  <c r="FJ99" i="2"/>
  <c r="FJ106" i="2"/>
  <c r="FJ71" i="2"/>
  <c r="FJ126" i="2"/>
  <c r="FJ110" i="2"/>
  <c r="FJ173" i="2"/>
  <c r="FJ58" i="2"/>
  <c r="FJ111" i="2"/>
  <c r="FJ90" i="2"/>
  <c r="FJ186" i="2"/>
  <c r="FJ86" i="2"/>
  <c r="FJ76" i="2"/>
  <c r="FJ190" i="2"/>
  <c r="FJ96" i="2"/>
  <c r="FJ180" i="2"/>
  <c r="FJ115" i="2"/>
  <c r="FJ32" i="2"/>
  <c r="FJ137" i="2"/>
  <c r="FJ47" i="2"/>
  <c r="FJ177" i="2"/>
  <c r="FJ123" i="2"/>
  <c r="FJ93" i="2"/>
  <c r="FJ174" i="2"/>
  <c r="FJ24" i="2"/>
  <c r="FJ150" i="2"/>
  <c r="FJ116" i="2"/>
  <c r="FJ124" i="2"/>
  <c r="FJ37" i="2"/>
  <c r="FJ10" i="2"/>
  <c r="FJ12" i="2"/>
  <c r="FJ114" i="2"/>
  <c r="FJ178" i="2"/>
  <c r="FJ17" i="2"/>
  <c r="FJ36" i="2"/>
  <c r="FJ25" i="2"/>
  <c r="FJ30" i="2"/>
  <c r="FJ197" i="2"/>
  <c r="FJ108" i="2"/>
  <c r="FJ199" i="2"/>
  <c r="FJ121" i="2"/>
  <c r="FJ181" i="2"/>
  <c r="FJ147" i="2"/>
  <c r="FJ19" i="2"/>
  <c r="FJ136" i="2"/>
  <c r="FJ83" i="2"/>
  <c r="FJ75" i="2"/>
  <c r="FJ172" i="2"/>
  <c r="FJ54" i="2"/>
  <c r="FJ79" i="2"/>
  <c r="FJ29" i="2"/>
  <c r="FJ66" i="2"/>
  <c r="FJ92" i="2"/>
  <c r="FJ170" i="2"/>
  <c r="FJ189" i="2"/>
  <c r="FJ164" i="2"/>
  <c r="FJ144" i="2"/>
  <c r="FJ179" i="2"/>
  <c r="FJ100" i="2"/>
  <c r="FJ88" i="2"/>
  <c r="FJ176" i="2"/>
  <c r="FJ102" i="2"/>
  <c r="FJ43" i="2"/>
  <c r="FJ63" i="2"/>
  <c r="FJ109" i="2"/>
  <c r="FJ21" i="2"/>
  <c r="FJ128" i="2"/>
  <c r="FJ27" i="2"/>
  <c r="FJ135" i="2"/>
  <c r="FJ160" i="2"/>
  <c r="FJ118" i="2"/>
  <c r="FJ51" i="2"/>
  <c r="FJ73" i="2"/>
  <c r="FJ161" i="2"/>
  <c r="FJ104" i="2"/>
  <c r="FJ70" i="2"/>
  <c r="FJ98" i="2"/>
  <c r="FJ183" i="2"/>
  <c r="FJ35" i="2"/>
  <c r="FJ182" i="2"/>
  <c r="FJ8" i="2"/>
  <c r="FJ26" i="2"/>
  <c r="FJ22" i="2"/>
  <c r="FJ154" i="2"/>
  <c r="FJ105" i="2"/>
  <c r="FJ95" i="2"/>
  <c r="FJ4" i="2"/>
  <c r="FJ50" i="2"/>
  <c r="FJ42" i="2"/>
  <c r="FJ87" i="2"/>
  <c r="FJ16" i="2"/>
  <c r="FJ31" i="2"/>
  <c r="FJ33" i="2"/>
  <c r="FJ80" i="2"/>
  <c r="FJ101" i="2"/>
  <c r="FJ103" i="2"/>
  <c r="FJ143" i="2"/>
  <c r="FJ78" i="2"/>
  <c r="FJ62" i="2"/>
  <c r="FJ145" i="2"/>
  <c r="FJ141" i="2"/>
  <c r="FJ158" i="2"/>
  <c r="FJ81" i="2"/>
  <c r="FJ131" i="2"/>
  <c r="FJ97" i="2"/>
  <c r="FJ28" i="2"/>
  <c r="FJ44" i="2"/>
  <c r="FJ117" i="2"/>
  <c r="FJ195" i="2"/>
  <c r="FJ11" i="2"/>
  <c r="FJ152" i="2"/>
  <c r="FJ82" i="2"/>
  <c r="FJ7" i="2"/>
  <c r="FJ122" i="2"/>
  <c r="FJ138" i="2"/>
  <c r="FJ46" i="2"/>
  <c r="FJ61" i="2"/>
  <c r="FJ67" i="2"/>
  <c r="FJ194" i="2"/>
  <c r="FJ119" i="2"/>
  <c r="FJ187" i="2"/>
  <c r="FJ120" i="2"/>
  <c r="FJ201" i="2"/>
  <c r="FJ168" i="2"/>
  <c r="FJ39" i="2"/>
  <c r="FJ146" i="2"/>
  <c r="FJ5" i="2"/>
  <c r="FJ166" i="2"/>
  <c r="FJ94" i="2"/>
  <c r="FJ40" i="2"/>
  <c r="FJ163" i="2"/>
  <c r="FJ151" i="2"/>
  <c r="FJ148" i="2"/>
  <c r="FJ142" i="2"/>
  <c r="FJ89" i="2"/>
  <c r="FJ139" i="2"/>
  <c r="FJ162" i="2"/>
  <c r="FJ200" i="2"/>
  <c r="FJ20" i="2"/>
  <c r="FJ149" i="2"/>
  <c r="FJ45" i="2"/>
  <c r="FJ52" i="2"/>
  <c r="FJ9" i="2"/>
  <c r="FJ192" i="2"/>
  <c r="FJ64" i="2"/>
  <c r="FJ49" i="2"/>
  <c r="FJ140" i="2"/>
  <c r="FJ85" i="2"/>
  <c r="FJ107" i="2"/>
  <c r="FJ3" i="2"/>
  <c r="C13" i="4" s="1"/>
  <c r="E13" i="4" s="1"/>
  <c r="F13" i="4" s="1"/>
  <c r="G13" i="4" s="1"/>
  <c r="L13" i="4" s="1"/>
  <c r="FJ57" i="2"/>
  <c r="FJ129" i="2"/>
  <c r="FJ48" i="2"/>
  <c r="FJ23" i="2"/>
  <c r="FJ159" i="2"/>
  <c r="FJ132" i="2"/>
  <c r="FJ175" i="2"/>
  <c r="FJ72" i="2"/>
  <c r="FJ15" i="2"/>
  <c r="CY24" i="2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<sst xmlns="http://schemas.openxmlformats.org/spreadsheetml/2006/main" count="1172" uniqueCount="324">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</sst>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5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9" fontId="35" fillId="21" borderId="54" xfId="0" applyNumberFormat="1" applyFont="1" applyFill="1" applyBorder="1" applyAlignment="1" applyProtection="1">
      <alignment horizontal="center" vertical="center"/>
      <protection locked="0"/>
    </xf>
    <xf numFmtId="9" fontId="35" fillId="14" borderId="1" xfId="1" applyFont="1" applyFill="1" applyBorder="1" applyAlignment="1" applyProtection="1">
      <alignment horizontal="center" vertic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1.8807803051454206</c:v>
                </c:pt>
                <c:pt idx="2">
                  <c:v>2.4338659530385267</c:v>
                </c:pt>
                <c:pt idx="3">
                  <c:v>3.1502609350315693</c:v>
                </c:pt>
                <c:pt idx="4">
                  <c:v>4.0783700502110554</c:v>
                </c:pt>
                <c:pt idx="5">
                  <c:v>5.2809964758932972</c:v>
                </c:pt>
                <c:pt idx="6">
                  <c:v>6.839638839379834</c:v>
                </c:pt>
                <c:pt idx="7">
                  <c:v>8.8600746163749324</c:v>
                </c:pt>
                <c:pt idx="8">
                  <c:v>11.479615989208229</c:v>
                </c:pt>
                <c:pt idx="9">
                  <c:v>14.87654050198527</c:v>
                </c:pt>
                <c:pt idx="10">
                  <c:v>19.282350104638549</c:v>
                </c:pt>
                <c:pt idx="11">
                  <c:v>24.997709077867171</c:v>
                </c:pt>
                <c:pt idx="12">
                  <c:v>32.413167678534187</c:v>
                </c:pt>
                <c:pt idx="13">
                  <c:v>42.036112123813787</c:v>
                </c:pt>
                <c:pt idx="14">
                  <c:v>54.525816175645708</c:v>
                </c:pt>
                <c:pt idx="15">
                  <c:v>70.739035632228152</c:v>
                </c:pt>
                <c:pt idx="16">
                  <c:v>91.78932427859479</c:v>
                </c:pt>
                <c:pt idx="17">
                  <c:v>119.12421016556203</c:v>
                </c:pt>
                <c:pt idx="18">
                  <c:v>154.62562208889187</c:v>
                </c:pt>
                <c:pt idx="19">
                  <c:v>200.74058596732007</c:v>
                </c:pt>
                <c:pt idx="20">
                  <c:v>235.51204202766243</c:v>
                </c:pt>
                <c:pt idx="21">
                  <c:v>270.16623181485778</c:v>
                </c:pt>
                <c:pt idx="22">
                  <c:v>304.72031452947482</c:v>
                </c:pt>
                <c:pt idx="23">
                  <c:v>339.1872321624985</c:v>
                </c:pt>
                <c:pt idx="24">
                  <c:v>373.57707921130037</c:v>
                </c:pt>
                <c:pt idx="25">
                  <c:v>407.89793949468162</c:v>
                </c:pt>
                <c:pt idx="26">
                  <c:v>376.9525885389333</c:v>
                </c:pt>
                <c:pt idx="27">
                  <c:v>410.27619508431599</c:v>
                </c:pt>
                <c:pt idx="28">
                  <c:v>443.54137638245015</c:v>
                </c:pt>
                <c:pt idx="29">
                  <c:v>476.75312396624321</c:v>
                </c:pt>
                <c:pt idx="30">
                  <c:v>509.91567780631357</c:v>
                </c:pt>
                <c:pt idx="31">
                  <c:v>478.64941517310723</c:v>
                </c:pt>
                <c:pt idx="32">
                  <c:v>511.3358881271144</c:v>
                </c:pt>
                <c:pt idx="33">
                  <c:v>543.978245254341</c:v>
                </c:pt>
                <c:pt idx="34">
                  <c:v>576.57950175211477</c:v>
                </c:pt>
                <c:pt idx="35">
                  <c:v>609.14230448868716</c:v>
                </c:pt>
                <c:pt idx="36">
                  <c:v>557.9213314887844</c:v>
                </c:pt>
                <c:pt idx="37">
                  <c:v>588.14593218797006</c:v>
                </c:pt>
                <c:pt idx="38">
                  <c:v>618.33819596367323</c:v>
                </c:pt>
                <c:pt idx="39">
                  <c:v>648.49992135083971</c:v>
                </c:pt>
                <c:pt idx="40">
                  <c:v>678.63272618537417</c:v>
                </c:pt>
                <c:pt idx="41">
                  <c:v>620.69565848153741</c:v>
                </c:pt>
                <c:pt idx="42">
                  <c:v>647.55781319141124</c:v>
                </c:pt>
                <c:pt idx="43">
                  <c:v>674.39699172585131</c:v>
                </c:pt>
                <c:pt idx="44">
                  <c:v>701.2142358040129</c:v>
                </c:pt>
                <c:pt idx="45">
                  <c:v>728.01050108203719</c:v>
                </c:pt>
                <c:pt idx="46">
                  <c:v>671.33751041747894</c:v>
                </c:pt>
                <c:pt idx="47">
                  <c:v>692.27753096210472</c:v>
                </c:pt>
                <c:pt idx="48">
                  <c:v>713.20457786722011</c:v>
                </c:pt>
                <c:pt idx="49">
                  <c:v>734.11908497147158</c:v>
                </c:pt>
                <c:pt idx="50">
                  <c:v>755.02145940727178</c:v>
                </c:pt>
                <c:pt idx="51">
                  <c:v>714.84998798766367</c:v>
                </c:pt>
                <c:pt idx="52">
                  <c:v>731.06492305237623</c:v>
                </c:pt>
                <c:pt idx="53">
                  <c:v>747.27253134258956</c:v>
                </c:pt>
                <c:pt idx="54">
                  <c:v>763.47299401473185</c:v>
                </c:pt>
                <c:pt idx="55">
                  <c:v>779.66648391733395</c:v>
                </c:pt>
                <c:pt idx="56">
                  <c:v>750.56015385100557</c:v>
                </c:pt>
                <c:pt idx="57">
                  <c:v>762.53402877829774</c:v>
                </c:pt>
                <c:pt idx="58">
                  <c:v>774.50408919046504</c:v>
                </c:pt>
                <c:pt idx="59">
                  <c:v>786.47040231283711</c:v>
                </c:pt>
                <c:pt idx="60">
                  <c:v>798.43303315959008</c:v>
                </c:pt>
                <c:pt idx="61">
                  <c:v>764.41193582037283</c:v>
                </c:pt>
                <c:pt idx="62">
                  <c:v>764.41193582037283</c:v>
                </c:pt>
                <c:pt idx="63">
                  <c:v>764.41193582037283</c:v>
                </c:pt>
                <c:pt idx="64">
                  <c:v>764.41193582037283</c:v>
                </c:pt>
                <c:pt idx="65">
                  <c:v>764.41193582037283</c:v>
                </c:pt>
                <c:pt idx="66">
                  <c:v>764.41193582037283</c:v>
                </c:pt>
                <c:pt idx="67">
                  <c:v>764.41193582037283</c:v>
                </c:pt>
                <c:pt idx="68">
                  <c:v>764.41193582037283</c:v>
                </c:pt>
                <c:pt idx="69">
                  <c:v>764.41193582037283</c:v>
                </c:pt>
                <c:pt idx="70">
                  <c:v>764.41193582037283</c:v>
                </c:pt>
                <c:pt idx="71">
                  <c:v>764.41193582037283</c:v>
                </c:pt>
                <c:pt idx="72">
                  <c:v>764.41193582037283</c:v>
                </c:pt>
                <c:pt idx="73">
                  <c:v>764.41193582037283</c:v>
                </c:pt>
                <c:pt idx="74">
                  <c:v>764.41193582037283</c:v>
                </c:pt>
                <c:pt idx="75">
                  <c:v>764.41193582037283</c:v>
                </c:pt>
                <c:pt idx="76">
                  <c:v>764.41193582037283</c:v>
                </c:pt>
                <c:pt idx="77">
                  <c:v>764.41193582037283</c:v>
                </c:pt>
                <c:pt idx="78">
                  <c:v>764.41193582037283</c:v>
                </c:pt>
                <c:pt idx="79">
                  <c:v>764.41193582037283</c:v>
                </c:pt>
                <c:pt idx="80">
                  <c:v>764.41193582037283</c:v>
                </c:pt>
                <c:pt idx="81">
                  <c:v>764.41193582037283</c:v>
                </c:pt>
                <c:pt idx="82">
                  <c:v>764.41193582037283</c:v>
                </c:pt>
                <c:pt idx="83">
                  <c:v>764.41193582037283</c:v>
                </c:pt>
                <c:pt idx="84">
                  <c:v>764.41193582037283</c:v>
                </c:pt>
                <c:pt idx="85">
                  <c:v>764.41193582037283</c:v>
                </c:pt>
                <c:pt idx="86">
                  <c:v>764.41193582037283</c:v>
                </c:pt>
                <c:pt idx="87">
                  <c:v>764.41193582037283</c:v>
                </c:pt>
                <c:pt idx="88">
                  <c:v>764.41193582037283</c:v>
                </c:pt>
                <c:pt idx="89">
                  <c:v>764.41193582037283</c:v>
                </c:pt>
                <c:pt idx="90">
                  <c:v>764.41193582037283</c:v>
                </c:pt>
                <c:pt idx="91">
                  <c:v>764.41193582037283</c:v>
                </c:pt>
                <c:pt idx="92">
                  <c:v>764.41193582037283</c:v>
                </c:pt>
                <c:pt idx="93">
                  <c:v>764.41193582037283</c:v>
                </c:pt>
                <c:pt idx="94">
                  <c:v>764.41193582037283</c:v>
                </c:pt>
                <c:pt idx="95">
                  <c:v>764.41193582037283</c:v>
                </c:pt>
                <c:pt idx="96">
                  <c:v>764.41193582037283</c:v>
                </c:pt>
                <c:pt idx="97">
                  <c:v>764.41193582037283</c:v>
                </c:pt>
                <c:pt idx="98">
                  <c:v>764.41193582037283</c:v>
                </c:pt>
                <c:pt idx="99">
                  <c:v>764.41193582037283</c:v>
                </c:pt>
                <c:pt idx="100">
                  <c:v>764.41193582037283</c:v>
                </c:pt>
                <c:pt idx="101">
                  <c:v>764.41193582037283</c:v>
                </c:pt>
                <c:pt idx="102">
                  <c:v>764.41193582037283</c:v>
                </c:pt>
                <c:pt idx="103">
                  <c:v>764.41193582037283</c:v>
                </c:pt>
                <c:pt idx="104">
                  <c:v>764.41193582037283</c:v>
                </c:pt>
                <c:pt idx="105">
                  <c:v>764.41193582037283</c:v>
                </c:pt>
                <c:pt idx="106">
                  <c:v>764.41193582037283</c:v>
                </c:pt>
                <c:pt idx="107">
                  <c:v>764.41193582037283</c:v>
                </c:pt>
                <c:pt idx="108">
                  <c:v>764.41193582037283</c:v>
                </c:pt>
                <c:pt idx="109">
                  <c:v>764.41193582037283</c:v>
                </c:pt>
                <c:pt idx="110">
                  <c:v>764.41193582037283</c:v>
                </c:pt>
                <c:pt idx="111">
                  <c:v>764.41193582037283</c:v>
                </c:pt>
                <c:pt idx="112">
                  <c:v>764.41193582037283</c:v>
                </c:pt>
                <c:pt idx="113">
                  <c:v>764.41193582037283</c:v>
                </c:pt>
                <c:pt idx="114">
                  <c:v>764.41193582037283</c:v>
                </c:pt>
                <c:pt idx="115">
                  <c:v>764.41193582037283</c:v>
                </c:pt>
                <c:pt idx="116">
                  <c:v>764.41193582037283</c:v>
                </c:pt>
                <c:pt idx="117">
                  <c:v>764.41193582037283</c:v>
                </c:pt>
                <c:pt idx="118">
                  <c:v>764.41193582037283</c:v>
                </c:pt>
                <c:pt idx="119">
                  <c:v>764.41193582037283</c:v>
                </c:pt>
                <c:pt idx="120">
                  <c:v>764.41193582037283</c:v>
                </c:pt>
                <c:pt idx="121">
                  <c:v>764.41193582037283</c:v>
                </c:pt>
                <c:pt idx="122">
                  <c:v>764.41193582037283</c:v>
                </c:pt>
                <c:pt idx="123">
                  <c:v>764.41193582037283</c:v>
                </c:pt>
                <c:pt idx="124">
                  <c:v>764.41193582037283</c:v>
                </c:pt>
                <c:pt idx="125">
                  <c:v>764.41193582037283</c:v>
                </c:pt>
                <c:pt idx="126">
                  <c:v>764.41193582037283</c:v>
                </c:pt>
                <c:pt idx="127">
                  <c:v>764.41193582037283</c:v>
                </c:pt>
                <c:pt idx="128">
                  <c:v>764.41193582037283</c:v>
                </c:pt>
                <c:pt idx="129">
                  <c:v>764.41193582037283</c:v>
                </c:pt>
                <c:pt idx="130">
                  <c:v>764.41193582037283</c:v>
                </c:pt>
                <c:pt idx="131">
                  <c:v>764.41193582037283</c:v>
                </c:pt>
                <c:pt idx="132">
                  <c:v>764.41193582037283</c:v>
                </c:pt>
                <c:pt idx="133">
                  <c:v>764.41193582037283</c:v>
                </c:pt>
                <c:pt idx="134">
                  <c:v>764.41193582037283</c:v>
                </c:pt>
                <c:pt idx="135">
                  <c:v>764.41193582037283</c:v>
                </c:pt>
                <c:pt idx="136">
                  <c:v>764.41193582037283</c:v>
                </c:pt>
                <c:pt idx="137">
                  <c:v>764.41193582037283</c:v>
                </c:pt>
                <c:pt idx="138">
                  <c:v>764.41193582037283</c:v>
                </c:pt>
                <c:pt idx="139">
                  <c:v>764.41193582037283</c:v>
                </c:pt>
                <c:pt idx="140">
                  <c:v>764.41193582037283</c:v>
                </c:pt>
                <c:pt idx="141">
                  <c:v>764.41193582037283</c:v>
                </c:pt>
                <c:pt idx="142">
                  <c:v>764.41193582037283</c:v>
                </c:pt>
                <c:pt idx="143">
                  <c:v>764.41193582037283</c:v>
                </c:pt>
                <c:pt idx="144">
                  <c:v>764.41193582037283</c:v>
                </c:pt>
                <c:pt idx="145">
                  <c:v>764.41193582037283</c:v>
                </c:pt>
                <c:pt idx="146">
                  <c:v>764.41193582037283</c:v>
                </c:pt>
                <c:pt idx="147">
                  <c:v>764.41193582037283</c:v>
                </c:pt>
                <c:pt idx="148">
                  <c:v>764.41193582037283</c:v>
                </c:pt>
                <c:pt idx="149">
                  <c:v>764.41193582037283</c:v>
                </c:pt>
                <c:pt idx="150">
                  <c:v>764.41193582037283</c:v>
                </c:pt>
                <c:pt idx="151">
                  <c:v>764.41193582037283</c:v>
                </c:pt>
                <c:pt idx="152">
                  <c:v>764.41193582037283</c:v>
                </c:pt>
                <c:pt idx="153">
                  <c:v>764.41193582037283</c:v>
                </c:pt>
                <c:pt idx="154">
                  <c:v>764.41193582037283</c:v>
                </c:pt>
                <c:pt idx="155">
                  <c:v>764.41193582037283</c:v>
                </c:pt>
                <c:pt idx="156">
                  <c:v>764.41193582037283</c:v>
                </c:pt>
                <c:pt idx="157">
                  <c:v>764.41193582037283</c:v>
                </c:pt>
                <c:pt idx="158">
                  <c:v>764.41193582037283</c:v>
                </c:pt>
                <c:pt idx="159">
                  <c:v>764.41193582037283</c:v>
                </c:pt>
                <c:pt idx="160">
                  <c:v>764.41193582037283</c:v>
                </c:pt>
                <c:pt idx="161">
                  <c:v>764.41193582037283</c:v>
                </c:pt>
                <c:pt idx="162">
                  <c:v>764.41193582037283</c:v>
                </c:pt>
                <c:pt idx="163">
                  <c:v>764.41193582037283</c:v>
                </c:pt>
                <c:pt idx="164">
                  <c:v>764.41193582037283</c:v>
                </c:pt>
                <c:pt idx="165">
                  <c:v>764.41193582037283</c:v>
                </c:pt>
                <c:pt idx="166">
                  <c:v>764.41193582037283</c:v>
                </c:pt>
                <c:pt idx="167">
                  <c:v>764.41193582037283</c:v>
                </c:pt>
                <c:pt idx="168">
                  <c:v>764.41193582037283</c:v>
                </c:pt>
                <c:pt idx="169">
                  <c:v>764.41193582037283</c:v>
                </c:pt>
                <c:pt idx="170">
                  <c:v>764.41193582037283</c:v>
                </c:pt>
                <c:pt idx="171">
                  <c:v>764.41193582037283</c:v>
                </c:pt>
                <c:pt idx="172">
                  <c:v>764.41193582037283</c:v>
                </c:pt>
                <c:pt idx="173">
                  <c:v>764.41193582037283</c:v>
                </c:pt>
                <c:pt idx="174">
                  <c:v>764.41193582037283</c:v>
                </c:pt>
                <c:pt idx="175">
                  <c:v>764.41193582037283</c:v>
                </c:pt>
                <c:pt idx="176">
                  <c:v>764.41193582037283</c:v>
                </c:pt>
                <c:pt idx="177">
                  <c:v>764.41193582037283</c:v>
                </c:pt>
                <c:pt idx="178">
                  <c:v>764.41193582037283</c:v>
                </c:pt>
                <c:pt idx="179">
                  <c:v>764.41193582037283</c:v>
                </c:pt>
                <c:pt idx="180">
                  <c:v>764.41193582037283</c:v>
                </c:pt>
                <c:pt idx="181">
                  <c:v>764.41193582037283</c:v>
                </c:pt>
                <c:pt idx="182">
                  <c:v>764.41193582037283</c:v>
                </c:pt>
                <c:pt idx="183">
                  <c:v>764.41193582037283</c:v>
                </c:pt>
                <c:pt idx="184">
                  <c:v>764.41193582037283</c:v>
                </c:pt>
                <c:pt idx="185">
                  <c:v>764.41193582037283</c:v>
                </c:pt>
                <c:pt idx="186">
                  <c:v>764.41193582037283</c:v>
                </c:pt>
                <c:pt idx="187">
                  <c:v>764.41193582037283</c:v>
                </c:pt>
                <c:pt idx="188">
                  <c:v>764.41193582037283</c:v>
                </c:pt>
                <c:pt idx="189">
                  <c:v>764.41193582037283</c:v>
                </c:pt>
                <c:pt idx="190">
                  <c:v>764.41193582037283</c:v>
                </c:pt>
                <c:pt idx="191">
                  <c:v>764.41193582037283</c:v>
                </c:pt>
                <c:pt idx="192">
                  <c:v>764.41193582037283</c:v>
                </c:pt>
                <c:pt idx="193">
                  <c:v>764.41193582037283</c:v>
                </c:pt>
                <c:pt idx="194">
                  <c:v>764.41193582037283</c:v>
                </c:pt>
                <c:pt idx="195">
                  <c:v>764.41193582037283</c:v>
                </c:pt>
                <c:pt idx="196">
                  <c:v>764.41193582037283</c:v>
                </c:pt>
                <c:pt idx="197">
                  <c:v>764.41193582037283</c:v>
                </c:pt>
                <c:pt idx="198">
                  <c:v>764.41193582037283</c:v>
                </c:pt>
                <c:pt idx="199">
                  <c:v>764.41193582037283</c:v>
                </c:pt>
                <c:pt idx="200">
                  <c:v>764.41193582037283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2.0607196240867185</c:v>
                </c:pt>
                <c:pt idx="2">
                  <c:v>2.9893948055540753</c:v>
                </c:pt>
                <c:pt idx="3">
                  <c:v>4.3384621350851766</c:v>
                </c:pt>
                <c:pt idx="4">
                  <c:v>6.2990240910460562</c:v>
                </c:pt>
                <c:pt idx="5">
                  <c:v>9.1493934850154712</c:v>
                </c:pt>
                <c:pt idx="6">
                  <c:v>13.29503508330191</c:v>
                </c:pt>
                <c:pt idx="7">
                  <c:v>19.326860189100952</c:v>
                </c:pt>
                <c:pt idx="8">
                  <c:v>28.106332401580133</c:v>
                </c:pt>
                <c:pt idx="9">
                  <c:v>40.889751340617188</c:v>
                </c:pt>
                <c:pt idx="10">
                  <c:v>59.509800226654647</c:v>
                </c:pt>
                <c:pt idx="11">
                  <c:v>86.640813317060122</c:v>
                </c:pt>
                <c:pt idx="12">
                  <c:v>126.18647172443542</c:v>
                </c:pt>
                <c:pt idx="13">
                  <c:v>157.71824086556347</c:v>
                </c:pt>
                <c:pt idx="14">
                  <c:v>189.09987078266829</c:v>
                </c:pt>
                <c:pt idx="15">
                  <c:v>220.35985745933877</c:v>
                </c:pt>
                <c:pt idx="16">
                  <c:v>251.51790458784345</c:v>
                </c:pt>
                <c:pt idx="17">
                  <c:v>282.58841873546118</c:v>
                </c:pt>
                <c:pt idx="18">
                  <c:v>313.5823736447677</c:v>
                </c:pt>
                <c:pt idx="19">
                  <c:v>344.89699962209301</c:v>
                </c:pt>
                <c:pt idx="20">
                  <c:v>376.14917567149308</c:v>
                </c:pt>
                <c:pt idx="21">
                  <c:v>407.34481392391916</c:v>
                </c:pt>
                <c:pt idx="22">
                  <c:v>438.48884746820949</c:v>
                </c:pt>
                <c:pt idx="23">
                  <c:v>469.58545194351694</c:v>
                </c:pt>
                <c:pt idx="24">
                  <c:v>500.63820532506946</c:v>
                </c:pt>
                <c:pt idx="25">
                  <c:v>531.45770490349082</c:v>
                </c:pt>
                <c:pt idx="26">
                  <c:v>562.23961549828152</c:v>
                </c:pt>
                <c:pt idx="27">
                  <c:v>592.98628128561154</c:v>
                </c:pt>
                <c:pt idx="28">
                  <c:v>623.69978384942158</c:v>
                </c:pt>
                <c:pt idx="29">
                  <c:v>654.38198333446974</c:v>
                </c:pt>
                <c:pt idx="30">
                  <c:v>685.03455148539751</c:v>
                </c:pt>
                <c:pt idx="31">
                  <c:v>589.72105713243729</c:v>
                </c:pt>
                <c:pt idx="32">
                  <c:v>617.55964420585894</c:v>
                </c:pt>
                <c:pt idx="33">
                  <c:v>645.37223239465152</c:v>
                </c:pt>
                <c:pt idx="34">
                  <c:v>673.16009810386652</c:v>
                </c:pt>
                <c:pt idx="35">
                  <c:v>700.9244039153624</c:v>
                </c:pt>
                <c:pt idx="36">
                  <c:v>728.66621293330593</c:v>
                </c:pt>
                <c:pt idx="37">
                  <c:v>613.52949058574461</c:v>
                </c:pt>
                <c:pt idx="38">
                  <c:v>635.20918338672129</c:v>
                </c:pt>
                <c:pt idx="39">
                  <c:v>656.87358917001859</c:v>
                </c:pt>
                <c:pt idx="40">
                  <c:v>678.52328253057647</c:v>
                </c:pt>
                <c:pt idx="41">
                  <c:v>700.15879844739709</c:v>
                </c:pt>
                <c:pt idx="42">
                  <c:v>721.78063617918542</c:v>
                </c:pt>
                <c:pt idx="43">
                  <c:v>602.97171294385669</c:v>
                </c:pt>
                <c:pt idx="44">
                  <c:v>623.31606193343498</c:v>
                </c:pt>
                <c:pt idx="45">
                  <c:v>643.64666599719283</c:v>
                </c:pt>
                <c:pt idx="46">
                  <c:v>663.96401997733767</c:v>
                </c:pt>
                <c:pt idx="47">
                  <c:v>684.26858599320337</c:v>
                </c:pt>
                <c:pt idx="48">
                  <c:v>704.56079653148981</c:v>
                </c:pt>
                <c:pt idx="49">
                  <c:v>581.46027451778127</c:v>
                </c:pt>
                <c:pt idx="50">
                  <c:v>599.89964131400052</c:v>
                </c:pt>
                <c:pt idx="51">
                  <c:v>618.32723058708575</c:v>
                </c:pt>
                <c:pt idx="52">
                  <c:v>636.74344246671978</c:v>
                </c:pt>
                <c:pt idx="53">
                  <c:v>655.14865206958962</c:v>
                </c:pt>
                <c:pt idx="54">
                  <c:v>673.54321173604603</c:v>
                </c:pt>
                <c:pt idx="55">
                  <c:v>551.85477188223149</c:v>
                </c:pt>
                <c:pt idx="56">
                  <c:v>567.23828915823242</c:v>
                </c:pt>
                <c:pt idx="57">
                  <c:v>582.61308793264277</c:v>
                </c:pt>
                <c:pt idx="58">
                  <c:v>597.97943056582483</c:v>
                </c:pt>
                <c:pt idx="59">
                  <c:v>613.33756484248352</c:v>
                </c:pt>
                <c:pt idx="60">
                  <c:v>628.68772513366332</c:v>
                </c:pt>
                <c:pt idx="61">
                  <c:v>514.89705740807574</c:v>
                </c:pt>
                <c:pt idx="62">
                  <c:v>530.3026675905711</c:v>
                </c:pt>
                <c:pt idx="63">
                  <c:v>545.6988620323956</c:v>
                </c:pt>
                <c:pt idx="64">
                  <c:v>561.08594367871183</c:v>
                </c:pt>
                <c:pt idx="65">
                  <c:v>576.46419751222754</c:v>
                </c:pt>
                <c:pt idx="66">
                  <c:v>591.83389207891116</c:v>
                </c:pt>
                <c:pt idx="67">
                  <c:v>479.4266278701495</c:v>
                </c:pt>
                <c:pt idx="68">
                  <c:v>492.92715337500175</c:v>
                </c:pt>
                <c:pt idx="69">
                  <c:v>506.41984231344003</c:v>
                </c:pt>
                <c:pt idx="70">
                  <c:v>519.90493284545062</c:v>
                </c:pt>
                <c:pt idx="71">
                  <c:v>533.38264977204346</c:v>
                </c:pt>
                <c:pt idx="72">
                  <c:v>546.85320561027572</c:v>
                </c:pt>
                <c:pt idx="73">
                  <c:v>442.35428155420988</c:v>
                </c:pt>
                <c:pt idx="74">
                  <c:v>454.71884141798836</c:v>
                </c:pt>
                <c:pt idx="75">
                  <c:v>467.07621791591777</c:v>
                </c:pt>
                <c:pt idx="76">
                  <c:v>479.4266278701495</c:v>
                </c:pt>
                <c:pt idx="77">
                  <c:v>491.77027602140174</c:v>
                </c:pt>
                <c:pt idx="78">
                  <c:v>504.10735599489294</c:v>
                </c:pt>
                <c:pt idx="79">
                  <c:v>504.10735599489294</c:v>
                </c:pt>
                <c:pt idx="80">
                  <c:v>504.10735599489294</c:v>
                </c:pt>
                <c:pt idx="81">
                  <c:v>504.10735599489294</c:v>
                </c:pt>
                <c:pt idx="82">
                  <c:v>504.10735599489294</c:v>
                </c:pt>
                <c:pt idx="83">
                  <c:v>504.10735599489294</c:v>
                </c:pt>
                <c:pt idx="84">
                  <c:v>504.10735599489294</c:v>
                </c:pt>
                <c:pt idx="85">
                  <c:v>504.10735599489294</c:v>
                </c:pt>
                <c:pt idx="86">
                  <c:v>504.10735599489294</c:v>
                </c:pt>
                <c:pt idx="87">
                  <c:v>504.10735599489294</c:v>
                </c:pt>
                <c:pt idx="88">
                  <c:v>504.10735599489294</c:v>
                </c:pt>
                <c:pt idx="89">
                  <c:v>504.10735599489294</c:v>
                </c:pt>
                <c:pt idx="90">
                  <c:v>504.10735599489294</c:v>
                </c:pt>
                <c:pt idx="91">
                  <c:v>504.10735599489294</c:v>
                </c:pt>
                <c:pt idx="92">
                  <c:v>504.10735599489294</c:v>
                </c:pt>
                <c:pt idx="93">
                  <c:v>504.10735599489294</c:v>
                </c:pt>
                <c:pt idx="94">
                  <c:v>504.10735599489294</c:v>
                </c:pt>
                <c:pt idx="95">
                  <c:v>504.10735599489294</c:v>
                </c:pt>
                <c:pt idx="96">
                  <c:v>504.10735599489294</c:v>
                </c:pt>
                <c:pt idx="97">
                  <c:v>504.10735599489294</c:v>
                </c:pt>
                <c:pt idx="98">
                  <c:v>504.10735599489294</c:v>
                </c:pt>
                <c:pt idx="99">
                  <c:v>504.10735599489294</c:v>
                </c:pt>
                <c:pt idx="100">
                  <c:v>504.10735599489294</c:v>
                </c:pt>
                <c:pt idx="101">
                  <c:v>504.10735599489294</c:v>
                </c:pt>
                <c:pt idx="102">
                  <c:v>504.10735599489294</c:v>
                </c:pt>
                <c:pt idx="103">
                  <c:v>504.10735599489294</c:v>
                </c:pt>
                <c:pt idx="104">
                  <c:v>504.10735599489294</c:v>
                </c:pt>
                <c:pt idx="105">
                  <c:v>504.10735599489294</c:v>
                </c:pt>
                <c:pt idx="106">
                  <c:v>504.10735599489294</c:v>
                </c:pt>
                <c:pt idx="107">
                  <c:v>504.10735599489294</c:v>
                </c:pt>
                <c:pt idx="108">
                  <c:v>504.10735599489294</c:v>
                </c:pt>
                <c:pt idx="109">
                  <c:v>504.10735599489294</c:v>
                </c:pt>
                <c:pt idx="110">
                  <c:v>504.10735599489294</c:v>
                </c:pt>
                <c:pt idx="111">
                  <c:v>504.10735599489294</c:v>
                </c:pt>
                <c:pt idx="112">
                  <c:v>504.10735599489294</c:v>
                </c:pt>
                <c:pt idx="113">
                  <c:v>504.10735599489294</c:v>
                </c:pt>
                <c:pt idx="114">
                  <c:v>504.10735599489294</c:v>
                </c:pt>
                <c:pt idx="115">
                  <c:v>504.10735599489294</c:v>
                </c:pt>
                <c:pt idx="116">
                  <c:v>504.10735599489294</c:v>
                </c:pt>
                <c:pt idx="117">
                  <c:v>504.10735599489294</c:v>
                </c:pt>
                <c:pt idx="118">
                  <c:v>504.10735599489294</c:v>
                </c:pt>
                <c:pt idx="119">
                  <c:v>504.10735599489294</c:v>
                </c:pt>
                <c:pt idx="120">
                  <c:v>504.10735599489294</c:v>
                </c:pt>
                <c:pt idx="121">
                  <c:v>504.10735599489294</c:v>
                </c:pt>
                <c:pt idx="122">
                  <c:v>504.10735599489294</c:v>
                </c:pt>
                <c:pt idx="123">
                  <c:v>504.10735599489294</c:v>
                </c:pt>
                <c:pt idx="124">
                  <c:v>504.10735599489294</c:v>
                </c:pt>
                <c:pt idx="125">
                  <c:v>504.10735599489294</c:v>
                </c:pt>
                <c:pt idx="126">
                  <c:v>504.10735599489294</c:v>
                </c:pt>
                <c:pt idx="127">
                  <c:v>504.10735599489294</c:v>
                </c:pt>
                <c:pt idx="128">
                  <c:v>504.10735599489294</c:v>
                </c:pt>
                <c:pt idx="129">
                  <c:v>504.10735599489294</c:v>
                </c:pt>
                <c:pt idx="130">
                  <c:v>504.10735599489294</c:v>
                </c:pt>
                <c:pt idx="131">
                  <c:v>504.10735599489294</c:v>
                </c:pt>
                <c:pt idx="132">
                  <c:v>504.10735599489294</c:v>
                </c:pt>
                <c:pt idx="133">
                  <c:v>504.10735599489294</c:v>
                </c:pt>
                <c:pt idx="134">
                  <c:v>504.10735599489294</c:v>
                </c:pt>
                <c:pt idx="135">
                  <c:v>504.10735599489294</c:v>
                </c:pt>
                <c:pt idx="136">
                  <c:v>504.10735599489294</c:v>
                </c:pt>
                <c:pt idx="137">
                  <c:v>504.10735599489294</c:v>
                </c:pt>
                <c:pt idx="138">
                  <c:v>504.10735599489294</c:v>
                </c:pt>
                <c:pt idx="139">
                  <c:v>504.10735599489294</c:v>
                </c:pt>
                <c:pt idx="140">
                  <c:v>504.10735599489294</c:v>
                </c:pt>
                <c:pt idx="141">
                  <c:v>504.10735599489294</c:v>
                </c:pt>
                <c:pt idx="142">
                  <c:v>504.10735599489294</c:v>
                </c:pt>
                <c:pt idx="143">
                  <c:v>504.10735599489294</c:v>
                </c:pt>
                <c:pt idx="144">
                  <c:v>504.10735599489294</c:v>
                </c:pt>
                <c:pt idx="145">
                  <c:v>504.10735599489294</c:v>
                </c:pt>
                <c:pt idx="146">
                  <c:v>504.10735599489294</c:v>
                </c:pt>
                <c:pt idx="147">
                  <c:v>504.10735599489294</c:v>
                </c:pt>
                <c:pt idx="148">
                  <c:v>504.10735599489294</c:v>
                </c:pt>
                <c:pt idx="149">
                  <c:v>504.10735599489294</c:v>
                </c:pt>
                <c:pt idx="150">
                  <c:v>504.10735599489294</c:v>
                </c:pt>
                <c:pt idx="151">
                  <c:v>504.10735599489294</c:v>
                </c:pt>
                <c:pt idx="152">
                  <c:v>504.10735599489294</c:v>
                </c:pt>
                <c:pt idx="153">
                  <c:v>504.10735599489294</c:v>
                </c:pt>
                <c:pt idx="154">
                  <c:v>504.10735599489294</c:v>
                </c:pt>
                <c:pt idx="155">
                  <c:v>504.10735599489294</c:v>
                </c:pt>
                <c:pt idx="156">
                  <c:v>504.10735599489294</c:v>
                </c:pt>
                <c:pt idx="157">
                  <c:v>504.10735599489294</c:v>
                </c:pt>
                <c:pt idx="158">
                  <c:v>504.10735599489294</c:v>
                </c:pt>
                <c:pt idx="159">
                  <c:v>504.10735599489294</c:v>
                </c:pt>
                <c:pt idx="160">
                  <c:v>504.10735599489294</c:v>
                </c:pt>
                <c:pt idx="161">
                  <c:v>504.10735599489294</c:v>
                </c:pt>
                <c:pt idx="162">
                  <c:v>504.10735599489294</c:v>
                </c:pt>
                <c:pt idx="163">
                  <c:v>504.10735599489294</c:v>
                </c:pt>
                <c:pt idx="164">
                  <c:v>504.10735599489294</c:v>
                </c:pt>
                <c:pt idx="165">
                  <c:v>504.10735599489294</c:v>
                </c:pt>
                <c:pt idx="166">
                  <c:v>504.10735599489294</c:v>
                </c:pt>
                <c:pt idx="167">
                  <c:v>504.10735599489294</c:v>
                </c:pt>
                <c:pt idx="168">
                  <c:v>504.10735599489294</c:v>
                </c:pt>
                <c:pt idx="169">
                  <c:v>504.10735599489294</c:v>
                </c:pt>
                <c:pt idx="170">
                  <c:v>504.10735599489294</c:v>
                </c:pt>
                <c:pt idx="171">
                  <c:v>504.10735599489294</c:v>
                </c:pt>
                <c:pt idx="172">
                  <c:v>504.10735599489294</c:v>
                </c:pt>
                <c:pt idx="173">
                  <c:v>504.10735599489294</c:v>
                </c:pt>
                <c:pt idx="174">
                  <c:v>504.10735599489294</c:v>
                </c:pt>
                <c:pt idx="175">
                  <c:v>504.10735599489294</c:v>
                </c:pt>
                <c:pt idx="176">
                  <c:v>504.10735599489294</c:v>
                </c:pt>
                <c:pt idx="177">
                  <c:v>504.10735599489294</c:v>
                </c:pt>
                <c:pt idx="178">
                  <c:v>504.10735599489294</c:v>
                </c:pt>
                <c:pt idx="179">
                  <c:v>504.10735599489294</c:v>
                </c:pt>
                <c:pt idx="180">
                  <c:v>504.10735599489294</c:v>
                </c:pt>
                <c:pt idx="181">
                  <c:v>504.10735599489294</c:v>
                </c:pt>
                <c:pt idx="182">
                  <c:v>504.10735599489294</c:v>
                </c:pt>
                <c:pt idx="183">
                  <c:v>504.10735599489294</c:v>
                </c:pt>
                <c:pt idx="184">
                  <c:v>504.10735599489294</c:v>
                </c:pt>
                <c:pt idx="185">
                  <c:v>504.10735599489294</c:v>
                </c:pt>
                <c:pt idx="186">
                  <c:v>504.10735599489294</c:v>
                </c:pt>
                <c:pt idx="187">
                  <c:v>504.10735599489294</c:v>
                </c:pt>
                <c:pt idx="188">
                  <c:v>504.10735599489294</c:v>
                </c:pt>
                <c:pt idx="189">
                  <c:v>504.10735599489294</c:v>
                </c:pt>
                <c:pt idx="190">
                  <c:v>504.10735599489294</c:v>
                </c:pt>
                <c:pt idx="191">
                  <c:v>504.10735599489294</c:v>
                </c:pt>
                <c:pt idx="192">
                  <c:v>504.10735599489294</c:v>
                </c:pt>
                <c:pt idx="193">
                  <c:v>504.10735599489294</c:v>
                </c:pt>
                <c:pt idx="194">
                  <c:v>504.10735599489294</c:v>
                </c:pt>
                <c:pt idx="195">
                  <c:v>504.10735599489294</c:v>
                </c:pt>
                <c:pt idx="196">
                  <c:v>504.10735599489294</c:v>
                </c:pt>
                <c:pt idx="197">
                  <c:v>504.10735599489294</c:v>
                </c:pt>
                <c:pt idx="198">
                  <c:v>504.10735599489294</c:v>
                </c:pt>
                <c:pt idx="199">
                  <c:v>504.10735599489294</c:v>
                </c:pt>
                <c:pt idx="200">
                  <c:v>504.10735599489294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2.8260430950859945</c:v>
                </c:pt>
                <c:pt idx="2">
                  <c:v>3.5759003231497637</c:v>
                </c:pt>
                <c:pt idx="3">
                  <c:v>4.5255002995239044</c:v>
                </c:pt>
                <c:pt idx="4">
                  <c:v>5.7282443202658717</c:v>
                </c:pt>
                <c:pt idx="5">
                  <c:v>7.2518592604219156</c:v>
                </c:pt>
                <c:pt idx="6">
                  <c:v>9.1822527263091143</c:v>
                </c:pt>
                <c:pt idx="7">
                  <c:v>11.628408677722552</c:v>
                </c:pt>
                <c:pt idx="8">
                  <c:v>14.728605078174702</c:v>
                </c:pt>
                <c:pt idx="9">
                  <c:v>18.658311506525539</c:v>
                </c:pt>
                <c:pt idx="10">
                  <c:v>23.640221801315761</c:v>
                </c:pt>
                <c:pt idx="11">
                  <c:v>29.957000365231504</c:v>
                </c:pt>
                <c:pt idx="12">
                  <c:v>37.967477930050322</c:v>
                </c:pt>
                <c:pt idx="13">
                  <c:v>48.127232535715684</c:v>
                </c:pt>
                <c:pt idx="14">
                  <c:v>61.014745876532061</c:v>
                </c:pt>
                <c:pt idx="15">
                  <c:v>77.364648864854644</c:v>
                </c:pt>
                <c:pt idx="16">
                  <c:v>98.109982167961064</c:v>
                </c:pt>
                <c:pt idx="17">
                  <c:v>124.4359216651272</c:v>
                </c:pt>
                <c:pt idx="18">
                  <c:v>157.84808591007513</c:v>
                </c:pt>
                <c:pt idx="19">
                  <c:v>200.25939181447754</c:v>
                </c:pt>
                <c:pt idx="20">
                  <c:v>254.10050561748861</c:v>
                </c:pt>
                <c:pt idx="21">
                  <c:v>182.85768498984825</c:v>
                </c:pt>
                <c:pt idx="22">
                  <c:v>205.9114029973158</c:v>
                </c:pt>
                <c:pt idx="23">
                  <c:v>228.90543935922889</c:v>
                </c:pt>
                <c:pt idx="24">
                  <c:v>251.84663251620748</c:v>
                </c:pt>
                <c:pt idx="25">
                  <c:v>274.74047191396772</c:v>
                </c:pt>
                <c:pt idx="26">
                  <c:v>226.64617327952342</c:v>
                </c:pt>
                <c:pt idx="27">
                  <c:v>248.08915865906408</c:v>
                </c:pt>
                <c:pt idx="28">
                  <c:v>269.49008678800777</c:v>
                </c:pt>
                <c:pt idx="29">
                  <c:v>290.85276623666175</c:v>
                </c:pt>
                <c:pt idx="30">
                  <c:v>312.18040027213078</c:v>
                </c:pt>
                <c:pt idx="31">
                  <c:v>262.7361980255701</c:v>
                </c:pt>
                <c:pt idx="32">
                  <c:v>282.61183805625041</c:v>
                </c:pt>
                <c:pt idx="33">
                  <c:v>302.45616879398887</c:v>
                </c:pt>
                <c:pt idx="34">
                  <c:v>322.27153269112591</c:v>
                </c:pt>
                <c:pt idx="35">
                  <c:v>342.05996063814399</c:v>
                </c:pt>
                <c:pt idx="36">
                  <c:v>292.72497100977256</c:v>
                </c:pt>
                <c:pt idx="37">
                  <c:v>310.68480797043964</c:v>
                </c:pt>
                <c:pt idx="38">
                  <c:v>328.62160871118186</c:v>
                </c:pt>
                <c:pt idx="39">
                  <c:v>346.53680717558655</c:v>
                </c:pt>
                <c:pt idx="40">
                  <c:v>364.43167696167421</c:v>
                </c:pt>
                <c:pt idx="41">
                  <c:v>318.90861058050911</c:v>
                </c:pt>
                <c:pt idx="42">
                  <c:v>334.96897652893739</c:v>
                </c:pt>
                <c:pt idx="43">
                  <c:v>351.01238382795628</c:v>
                </c:pt>
                <c:pt idx="44">
                  <c:v>367.03971658708974</c:v>
                </c:pt>
                <c:pt idx="45">
                  <c:v>383.05177541071203</c:v>
                </c:pt>
                <c:pt idx="46">
                  <c:v>339.82105523856922</c:v>
                </c:pt>
                <c:pt idx="47">
                  <c:v>354.36824410252279</c:v>
                </c:pt>
                <c:pt idx="48">
                  <c:v>368.90235411823818</c:v>
                </c:pt>
                <c:pt idx="49">
                  <c:v>383.42397311131032</c:v>
                </c:pt>
                <c:pt idx="50">
                  <c:v>397.93364074958498</c:v>
                </c:pt>
                <c:pt idx="51">
                  <c:v>358.46890629665108</c:v>
                </c:pt>
                <c:pt idx="52">
                  <c:v>371.1372483365563</c:v>
                </c:pt>
                <c:pt idx="53">
                  <c:v>383.79616295666915</c:v>
                </c:pt>
                <c:pt idx="54">
                  <c:v>396.44600495131112</c:v>
                </c:pt>
                <c:pt idx="55">
                  <c:v>409.08710462349336</c:v>
                </c:pt>
                <c:pt idx="56">
                  <c:v>373.74425409046017</c:v>
                </c:pt>
                <c:pt idx="57">
                  <c:v>384.91268544829819</c:v>
                </c:pt>
                <c:pt idx="58">
                  <c:v>396.07407711953482</c:v>
                </c:pt>
                <c:pt idx="59">
                  <c:v>407.22865549260922</c:v>
                </c:pt>
                <c:pt idx="60">
                  <c:v>418.37663353903241</c:v>
                </c:pt>
                <c:pt idx="61">
                  <c:v>387.145519509954</c:v>
                </c:pt>
                <c:pt idx="62">
                  <c:v>396.81792522211191</c:v>
                </c:pt>
                <c:pt idx="63">
                  <c:v>406.48522456571504</c:v>
                </c:pt>
                <c:pt idx="64">
                  <c:v>416.14755615430454</c:v>
                </c:pt>
                <c:pt idx="65">
                  <c:v>425.80505163704908</c:v>
                </c:pt>
                <c:pt idx="66">
                  <c:v>397.18983794003793</c:v>
                </c:pt>
                <c:pt idx="67">
                  <c:v>405.74176424723129</c:v>
                </c:pt>
                <c:pt idx="68">
                  <c:v>414.28979501974965</c:v>
                </c:pt>
                <c:pt idx="69">
                  <c:v>422.83402201018413</c:v>
                </c:pt>
                <c:pt idx="70">
                  <c:v>431.37453295867726</c:v>
                </c:pt>
                <c:pt idx="71">
                  <c:v>407.22865549260905</c:v>
                </c:pt>
                <c:pt idx="72">
                  <c:v>414.66136159701688</c:v>
                </c:pt>
                <c:pt idx="73">
                  <c:v>422.091194503304</c:v>
                </c:pt>
                <c:pt idx="74">
                  <c:v>429.51821195249204</c:v>
                </c:pt>
                <c:pt idx="75">
                  <c:v>436.94246952460418</c:v>
                </c:pt>
                <c:pt idx="76">
                  <c:v>415.40447321133934</c:v>
                </c:pt>
                <c:pt idx="77">
                  <c:v>421.71977019610921</c:v>
                </c:pt>
                <c:pt idx="78">
                  <c:v>428.03303100123208</c:v>
                </c:pt>
                <c:pt idx="79">
                  <c:v>434.34428991912688</c:v>
                </c:pt>
                <c:pt idx="80">
                  <c:v>440.65358016358783</c:v>
                </c:pt>
                <c:pt idx="81">
                  <c:v>422.09119450330417</c:v>
                </c:pt>
                <c:pt idx="82">
                  <c:v>427.66171846396475</c:v>
                </c:pt>
                <c:pt idx="83">
                  <c:v>433.23068233058711</c:v>
                </c:pt>
                <c:pt idx="84">
                  <c:v>438.7981090039205</c:v>
                </c:pt>
                <c:pt idx="85">
                  <c:v>444.36402075569328</c:v>
                </c:pt>
                <c:pt idx="86">
                  <c:v>427.29039899318792</c:v>
                </c:pt>
                <c:pt idx="87">
                  <c:v>432.4882431239887</c:v>
                </c:pt>
                <c:pt idx="88">
                  <c:v>437.68474556682276</c:v>
                </c:pt>
                <c:pt idx="89">
                  <c:v>442.87992451288659</c:v>
                </c:pt>
                <c:pt idx="90">
                  <c:v>448.07379769140448</c:v>
                </c:pt>
                <c:pt idx="91">
                  <c:v>448.07379769140448</c:v>
                </c:pt>
                <c:pt idx="92">
                  <c:v>448.07379769140448</c:v>
                </c:pt>
                <c:pt idx="93">
                  <c:v>448.07379769140448</c:v>
                </c:pt>
                <c:pt idx="94">
                  <c:v>448.07379769140448</c:v>
                </c:pt>
                <c:pt idx="95">
                  <c:v>448.07379769140448</c:v>
                </c:pt>
                <c:pt idx="96">
                  <c:v>448.07379769140448</c:v>
                </c:pt>
                <c:pt idx="97">
                  <c:v>448.07379769140448</c:v>
                </c:pt>
                <c:pt idx="98">
                  <c:v>448.07379769140448</c:v>
                </c:pt>
                <c:pt idx="99">
                  <c:v>448.07379769140448</c:v>
                </c:pt>
                <c:pt idx="100">
                  <c:v>448.07379769140448</c:v>
                </c:pt>
                <c:pt idx="101">
                  <c:v>448.07379769140448</c:v>
                </c:pt>
                <c:pt idx="102">
                  <c:v>448.07379769140448</c:v>
                </c:pt>
                <c:pt idx="103">
                  <c:v>448.07379769140448</c:v>
                </c:pt>
                <c:pt idx="104">
                  <c:v>448.07379769140448</c:v>
                </c:pt>
                <c:pt idx="105">
                  <c:v>448.07379769140448</c:v>
                </c:pt>
                <c:pt idx="106">
                  <c:v>448.07379769140448</c:v>
                </c:pt>
                <c:pt idx="107">
                  <c:v>448.07379769140448</c:v>
                </c:pt>
                <c:pt idx="108">
                  <c:v>448.07379769140448</c:v>
                </c:pt>
                <c:pt idx="109">
                  <c:v>448.07379769140448</c:v>
                </c:pt>
                <c:pt idx="110">
                  <c:v>448.07379769140448</c:v>
                </c:pt>
                <c:pt idx="111">
                  <c:v>448.07379769140448</c:v>
                </c:pt>
                <c:pt idx="112">
                  <c:v>448.07379769140448</c:v>
                </c:pt>
                <c:pt idx="113">
                  <c:v>448.07379769140448</c:v>
                </c:pt>
                <c:pt idx="114">
                  <c:v>448.07379769140448</c:v>
                </c:pt>
                <c:pt idx="115">
                  <c:v>448.07379769140448</c:v>
                </c:pt>
                <c:pt idx="116">
                  <c:v>448.07379769140448</c:v>
                </c:pt>
                <c:pt idx="117">
                  <c:v>448.07379769140448</c:v>
                </c:pt>
                <c:pt idx="118">
                  <c:v>448.07379769140448</c:v>
                </c:pt>
                <c:pt idx="119">
                  <c:v>448.07379769140448</c:v>
                </c:pt>
                <c:pt idx="120">
                  <c:v>448.07379769140448</c:v>
                </c:pt>
                <c:pt idx="121">
                  <c:v>448.07379769140448</c:v>
                </c:pt>
                <c:pt idx="122">
                  <c:v>448.07379769140448</c:v>
                </c:pt>
                <c:pt idx="123">
                  <c:v>448.07379769140448</c:v>
                </c:pt>
                <c:pt idx="124">
                  <c:v>448.07379769140448</c:v>
                </c:pt>
                <c:pt idx="125">
                  <c:v>448.07379769140448</c:v>
                </c:pt>
                <c:pt idx="126">
                  <c:v>448.07379769140448</c:v>
                </c:pt>
                <c:pt idx="127">
                  <c:v>448.07379769140448</c:v>
                </c:pt>
                <c:pt idx="128">
                  <c:v>448.07379769140448</c:v>
                </c:pt>
                <c:pt idx="129">
                  <c:v>448.07379769140448</c:v>
                </c:pt>
                <c:pt idx="130">
                  <c:v>448.07379769140448</c:v>
                </c:pt>
                <c:pt idx="131">
                  <c:v>448.07379769140448</c:v>
                </c:pt>
                <c:pt idx="132">
                  <c:v>448.07379769140448</c:v>
                </c:pt>
                <c:pt idx="133">
                  <c:v>448.07379769140448</c:v>
                </c:pt>
                <c:pt idx="134">
                  <c:v>448.07379769140448</c:v>
                </c:pt>
                <c:pt idx="135">
                  <c:v>448.07379769140448</c:v>
                </c:pt>
                <c:pt idx="136">
                  <c:v>448.07379769140448</c:v>
                </c:pt>
                <c:pt idx="137">
                  <c:v>448.07379769140448</c:v>
                </c:pt>
                <c:pt idx="138">
                  <c:v>448.07379769140448</c:v>
                </c:pt>
                <c:pt idx="139">
                  <c:v>448.07379769140448</c:v>
                </c:pt>
                <c:pt idx="140">
                  <c:v>448.07379769140448</c:v>
                </c:pt>
                <c:pt idx="141">
                  <c:v>448.07379769140448</c:v>
                </c:pt>
                <c:pt idx="142">
                  <c:v>448.07379769140448</c:v>
                </c:pt>
                <c:pt idx="143">
                  <c:v>448.07379769140448</c:v>
                </c:pt>
                <c:pt idx="144">
                  <c:v>448.07379769140448</c:v>
                </c:pt>
                <c:pt idx="145">
                  <c:v>448.07379769140448</c:v>
                </c:pt>
                <c:pt idx="146">
                  <c:v>448.07379769140448</c:v>
                </c:pt>
                <c:pt idx="147">
                  <c:v>448.07379769140448</c:v>
                </c:pt>
                <c:pt idx="148">
                  <c:v>448.07379769140448</c:v>
                </c:pt>
                <c:pt idx="149">
                  <c:v>448.07379769140448</c:v>
                </c:pt>
                <c:pt idx="150">
                  <c:v>448.07379769140448</c:v>
                </c:pt>
                <c:pt idx="151">
                  <c:v>448.07379769140448</c:v>
                </c:pt>
                <c:pt idx="152">
                  <c:v>448.07379769140448</c:v>
                </c:pt>
                <c:pt idx="153">
                  <c:v>448.07379769140448</c:v>
                </c:pt>
                <c:pt idx="154">
                  <c:v>448.07379769140448</c:v>
                </c:pt>
                <c:pt idx="155">
                  <c:v>448.07379769140448</c:v>
                </c:pt>
                <c:pt idx="156">
                  <c:v>448.07379769140448</c:v>
                </c:pt>
                <c:pt idx="157">
                  <c:v>448.07379769140448</c:v>
                </c:pt>
                <c:pt idx="158">
                  <c:v>448.07379769140448</c:v>
                </c:pt>
                <c:pt idx="159">
                  <c:v>448.07379769140448</c:v>
                </c:pt>
                <c:pt idx="160">
                  <c:v>448.07379769140448</c:v>
                </c:pt>
                <c:pt idx="161">
                  <c:v>448.07379769140448</c:v>
                </c:pt>
                <c:pt idx="162">
                  <c:v>448.07379769140448</c:v>
                </c:pt>
                <c:pt idx="163">
                  <c:v>448.07379769140448</c:v>
                </c:pt>
                <c:pt idx="164">
                  <c:v>448.07379769140448</c:v>
                </c:pt>
                <c:pt idx="165">
                  <c:v>448.07379769140448</c:v>
                </c:pt>
                <c:pt idx="166">
                  <c:v>448.07379769140448</c:v>
                </c:pt>
                <c:pt idx="167">
                  <c:v>448.07379769140448</c:v>
                </c:pt>
                <c:pt idx="168">
                  <c:v>448.07379769140448</c:v>
                </c:pt>
                <c:pt idx="169">
                  <c:v>448.07379769140448</c:v>
                </c:pt>
                <c:pt idx="170">
                  <c:v>448.07379769140448</c:v>
                </c:pt>
                <c:pt idx="171">
                  <c:v>448.07379769140448</c:v>
                </c:pt>
                <c:pt idx="172">
                  <c:v>448.07379769140448</c:v>
                </c:pt>
                <c:pt idx="173">
                  <c:v>448.07379769140448</c:v>
                </c:pt>
                <c:pt idx="174">
                  <c:v>448.07379769140448</c:v>
                </c:pt>
                <c:pt idx="175">
                  <c:v>448.07379769140448</c:v>
                </c:pt>
                <c:pt idx="176">
                  <c:v>448.07379769140448</c:v>
                </c:pt>
                <c:pt idx="177">
                  <c:v>448.07379769140448</c:v>
                </c:pt>
                <c:pt idx="178">
                  <c:v>448.07379769140448</c:v>
                </c:pt>
                <c:pt idx="179">
                  <c:v>448.07379769140448</c:v>
                </c:pt>
                <c:pt idx="180">
                  <c:v>448.07379769140448</c:v>
                </c:pt>
                <c:pt idx="181">
                  <c:v>448.07379769140448</c:v>
                </c:pt>
                <c:pt idx="182">
                  <c:v>448.07379769140448</c:v>
                </c:pt>
                <c:pt idx="183">
                  <c:v>448.07379769140448</c:v>
                </c:pt>
                <c:pt idx="184">
                  <c:v>448.07379769140448</c:v>
                </c:pt>
                <c:pt idx="185">
                  <c:v>448.07379769140448</c:v>
                </c:pt>
                <c:pt idx="186">
                  <c:v>448.07379769140448</c:v>
                </c:pt>
                <c:pt idx="187">
                  <c:v>448.07379769140448</c:v>
                </c:pt>
                <c:pt idx="188">
                  <c:v>448.07379769140448</c:v>
                </c:pt>
                <c:pt idx="189">
                  <c:v>448.07379769140448</c:v>
                </c:pt>
                <c:pt idx="190">
                  <c:v>448.07379769140448</c:v>
                </c:pt>
                <c:pt idx="191">
                  <c:v>448.07379769140448</c:v>
                </c:pt>
                <c:pt idx="192">
                  <c:v>448.07379769140448</c:v>
                </c:pt>
                <c:pt idx="193">
                  <c:v>448.07379769140448</c:v>
                </c:pt>
                <c:pt idx="194">
                  <c:v>448.07379769140448</c:v>
                </c:pt>
                <c:pt idx="195">
                  <c:v>448.07379769140448</c:v>
                </c:pt>
                <c:pt idx="196">
                  <c:v>448.07379769140448</c:v>
                </c:pt>
                <c:pt idx="197">
                  <c:v>448.07379769140448</c:v>
                </c:pt>
                <c:pt idx="198">
                  <c:v>448.07379769140448</c:v>
                </c:pt>
                <c:pt idx="199">
                  <c:v>448.07379769140448</c:v>
                </c:pt>
                <c:pt idx="200">
                  <c:v>448.07379769140448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8" t="s">
        <v>291</v>
      </c>
      <c r="C12" s="268"/>
      <c r="D12" s="268"/>
      <c r="E12" s="268"/>
      <c r="F12" s="268"/>
      <c r="G12" s="268"/>
      <c r="H12" s="268"/>
      <c r="I12" s="268"/>
      <c r="J12" s="268"/>
      <c r="K12" s="268"/>
      <c r="L12" s="268"/>
      <c r="M12" s="268"/>
    </row>
    <row r="13" spans="2:13" ht="15" customHeight="1" x14ac:dyDescent="0.3">
      <c r="B13" s="268"/>
      <c r="C13" s="268"/>
      <c r="D13" s="268"/>
      <c r="E13" s="268"/>
      <c r="F13" s="268"/>
      <c r="G13" s="268"/>
      <c r="H13" s="268"/>
      <c r="I13" s="268"/>
      <c r="J13" s="268"/>
      <c r="K13" s="268"/>
      <c r="L13" s="268"/>
      <c r="M13" s="268"/>
    </row>
    <row r="14" spans="2:13" ht="15" customHeight="1" x14ac:dyDescent="0.3"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</row>
    <row r="15" spans="2:13" ht="18.75" customHeight="1" x14ac:dyDescent="0.3"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</row>
    <row r="16" spans="2:13" ht="18.75" customHeight="1" x14ac:dyDescent="0.3"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</row>
    <row r="18" spans="2:13" ht="12" customHeight="1" x14ac:dyDescent="0.3">
      <c r="B18" s="268" t="s">
        <v>292</v>
      </c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</row>
    <row r="19" spans="2:13" ht="12" customHeight="1" x14ac:dyDescent="0.3"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</row>
    <row r="20" spans="2:13" ht="12" customHeight="1" x14ac:dyDescent="0.3"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</row>
    <row r="21" spans="2:13" ht="12" customHeight="1" x14ac:dyDescent="0.3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</row>
    <row r="22" spans="2:13" ht="12" customHeight="1" x14ac:dyDescent="0.3"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</row>
    <row r="23" spans="2:13" ht="12" customHeight="1" x14ac:dyDescent="0.3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</row>
    <row r="24" spans="2:13" ht="12" customHeight="1" x14ac:dyDescent="0.3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</row>
    <row r="25" spans="2:13" ht="12" customHeight="1" x14ac:dyDescent="0.3"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</row>
    <row r="26" spans="2:13" ht="12" customHeight="1" x14ac:dyDescent="0.3"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</row>
    <row r="27" spans="2:13" ht="12" customHeight="1" x14ac:dyDescent="0.3"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</row>
    <row r="28" spans="2:13" ht="12" customHeight="1" x14ac:dyDescent="0.3"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</row>
    <row r="29" spans="2:13" ht="12" customHeight="1" x14ac:dyDescent="0.3"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</row>
    <row r="30" spans="2:13" ht="12" customHeight="1" x14ac:dyDescent="0.3">
      <c r="B30" s="268"/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</row>
    <row r="31" spans="2:13" ht="12" customHeight="1" x14ac:dyDescent="0.3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20" zoomScale="79" zoomScaleNormal="79" workbookViewId="0">
      <selection activeCell="L35" sqref="L35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69" t="s">
        <v>190</v>
      </c>
      <c r="D1" s="269"/>
      <c r="E1" s="269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4" t="s">
        <v>192</v>
      </c>
      <c r="C3" s="275"/>
      <c r="D3" s="275"/>
      <c r="E3" s="275"/>
      <c r="F3" s="276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9" t="s">
        <v>231</v>
      </c>
      <c r="B5" s="279"/>
      <c r="C5" s="24">
        <v>1.85</v>
      </c>
      <c r="D5" s="280" t="s">
        <v>229</v>
      </c>
      <c r="E5" s="281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8" t="s">
        <v>226</v>
      </c>
      <c r="B7" s="278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3" t="s">
        <v>18</v>
      </c>
      <c r="C9" s="264">
        <v>0.33333333329999998</v>
      </c>
      <c r="D9" s="33">
        <f t="shared" ref="D9:D18" si="0">C9*$C$5</f>
        <v>0.61666666660500002</v>
      </c>
      <c r="E9" s="265">
        <v>60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3" t="s">
        <v>81</v>
      </c>
      <c r="C10" s="266">
        <v>0.33333333329999998</v>
      </c>
      <c r="D10" s="33">
        <f t="shared" si="0"/>
        <v>0.61666666660500002</v>
      </c>
      <c r="E10" s="265">
        <v>78</v>
      </c>
      <c r="F10" s="35" t="str">
        <f t="array" ref="F10">IF(E10="","",IF(INDEX(A:A,MAX(IF(ISNUMBER($A$62:$A$81),ROW($A$62:$A$81),"")))&lt;&gt;E10,"Corrigez : révolution incorrecte","OK"))</f>
        <v>OK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3" t="s">
        <v>13</v>
      </c>
      <c r="C11" s="266">
        <v>0.33333333329999998</v>
      </c>
      <c r="D11" s="33">
        <f t="shared" si="0"/>
        <v>0.61666666660500002</v>
      </c>
      <c r="E11" s="265">
        <v>90</v>
      </c>
      <c r="F11" s="35" t="str">
        <f t="array" ref="F11">IF(E11="","",IF(INDEX(A:A,MAX(IF(ISNUMBER($A$88:$A$107),ROW($A$88:$A$107),"")))&lt;&gt;E11,"Corrigez : révolution incorrecte","OK"))</f>
        <v>OK</v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3"/>
      <c r="C12" s="266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267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267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0.99999999989999999</v>
      </c>
      <c r="D19" s="38">
        <f>SUM(D9:D18)</f>
        <v>1.8499999998150001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7" t="s">
        <v>232</v>
      </c>
      <c r="B22" s="277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8" t="s">
        <v>227</v>
      </c>
      <c r="B30" s="278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Douglas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70" t="s">
        <v>186</v>
      </c>
      <c r="D34" s="270"/>
      <c r="E34" s="271" t="s">
        <v>187</v>
      </c>
      <c r="F34" s="272"/>
      <c r="G34" s="272"/>
      <c r="H34" s="273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9">
        <v>19</v>
      </c>
      <c r="B36" s="259">
        <v>162</v>
      </c>
      <c r="C36" s="259"/>
      <c r="D36" s="259"/>
      <c r="E36" s="260"/>
      <c r="F36" s="260"/>
      <c r="G36" s="260">
        <v>1</v>
      </c>
      <c r="H36" s="260"/>
      <c r="I36" s="49">
        <f>IFERROR(B36/A36,"")</f>
        <v>8.526315789473685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59">
        <v>25</v>
      </c>
      <c r="B37" s="259">
        <v>335</v>
      </c>
      <c r="C37" s="259">
        <v>1</v>
      </c>
      <c r="D37" s="259">
        <v>54</v>
      </c>
      <c r="E37" s="260"/>
      <c r="F37" s="260">
        <v>1</v>
      </c>
      <c r="G37" s="260"/>
      <c r="H37" s="260"/>
      <c r="I37" s="53">
        <f t="shared" ref="I37:I55" si="1">IF(A37&lt;&gt;0,(B37-(B36-D36))/(A37-A36),"")</f>
        <v>28.833333333333332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59">
        <v>30</v>
      </c>
      <c r="B38" s="259">
        <v>421</v>
      </c>
      <c r="C38" s="259">
        <v>2</v>
      </c>
      <c r="D38" s="259">
        <v>54</v>
      </c>
      <c r="E38" s="260"/>
      <c r="F38" s="260">
        <v>1</v>
      </c>
      <c r="G38" s="260"/>
      <c r="H38" s="260"/>
      <c r="I38" s="53">
        <f t="shared" si="1"/>
        <v>28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59">
        <v>35</v>
      </c>
      <c r="B39" s="259">
        <v>505</v>
      </c>
      <c r="C39" s="259">
        <v>3</v>
      </c>
      <c r="D39" s="259">
        <v>69</v>
      </c>
      <c r="E39" s="260">
        <v>1</v>
      </c>
      <c r="F39" s="260"/>
      <c r="G39" s="260"/>
      <c r="H39" s="260"/>
      <c r="I39" s="49">
        <f t="shared" si="1"/>
        <v>27.6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59">
        <v>40</v>
      </c>
      <c r="B40" s="259">
        <v>564</v>
      </c>
      <c r="C40" s="259">
        <v>4</v>
      </c>
      <c r="D40" s="259">
        <v>72</v>
      </c>
      <c r="E40" s="260">
        <v>1</v>
      </c>
      <c r="F40" s="260"/>
      <c r="G40" s="260"/>
      <c r="H40" s="260"/>
      <c r="I40" s="49">
        <f t="shared" si="1"/>
        <v>25.6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59">
        <v>45</v>
      </c>
      <c r="B41" s="259">
        <v>606</v>
      </c>
      <c r="C41" s="259">
        <v>5</v>
      </c>
      <c r="D41" s="259">
        <v>66</v>
      </c>
      <c r="E41" s="260">
        <v>1</v>
      </c>
      <c r="F41" s="260"/>
      <c r="G41" s="260"/>
      <c r="H41" s="260"/>
      <c r="I41" s="53">
        <f t="shared" si="1"/>
        <v>22.8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59">
        <v>50</v>
      </c>
      <c r="B42" s="259">
        <v>629</v>
      </c>
      <c r="C42" s="259">
        <v>6</v>
      </c>
      <c r="D42" s="259">
        <v>48</v>
      </c>
      <c r="E42" s="260">
        <v>1</v>
      </c>
      <c r="F42" s="260"/>
      <c r="G42" s="260"/>
      <c r="H42" s="260"/>
      <c r="I42" s="53">
        <f t="shared" si="1"/>
        <v>17.8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59">
        <v>55</v>
      </c>
      <c r="B43" s="259">
        <v>650</v>
      </c>
      <c r="C43" s="259">
        <v>7</v>
      </c>
      <c r="D43" s="259">
        <v>35</v>
      </c>
      <c r="E43" s="260">
        <v>1</v>
      </c>
      <c r="F43" s="260"/>
      <c r="G43" s="260"/>
      <c r="H43" s="260"/>
      <c r="I43" s="49">
        <f t="shared" si="1"/>
        <v>13.8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59">
        <v>60</v>
      </c>
      <c r="B44" s="259">
        <v>666</v>
      </c>
      <c r="C44" s="259">
        <v>8</v>
      </c>
      <c r="D44" s="259">
        <v>29</v>
      </c>
      <c r="E44" s="260">
        <v>1</v>
      </c>
      <c r="F44" s="260"/>
      <c r="G44" s="260"/>
      <c r="H44" s="260"/>
      <c r="I44" s="49">
        <f t="shared" si="1"/>
        <v>10.199999999999999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59"/>
      <c r="B45" s="261"/>
      <c r="C45" s="259"/>
      <c r="D45" s="261"/>
      <c r="E45" s="260"/>
      <c r="F45" s="260"/>
      <c r="G45" s="260"/>
      <c r="H45" s="260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59"/>
      <c r="B46" s="262"/>
      <c r="C46" s="259"/>
      <c r="D46" s="262"/>
      <c r="E46" s="260"/>
      <c r="F46" s="260"/>
      <c r="G46" s="260"/>
      <c r="H46" s="260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59"/>
      <c r="B47" s="261"/>
      <c r="C47" s="259"/>
      <c r="D47" s="261"/>
      <c r="E47" s="260"/>
      <c r="F47" s="260"/>
      <c r="G47" s="260"/>
      <c r="H47" s="260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59"/>
      <c r="B48" s="261"/>
      <c r="C48" s="259"/>
      <c r="D48" s="261"/>
      <c r="E48" s="260"/>
      <c r="F48" s="260"/>
      <c r="G48" s="260"/>
      <c r="H48" s="260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59"/>
      <c r="B49" s="261"/>
      <c r="C49" s="259"/>
      <c r="D49" s="261"/>
      <c r="E49" s="260"/>
      <c r="F49" s="260"/>
      <c r="G49" s="260"/>
      <c r="H49" s="260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1"/>
      <c r="B50" s="261"/>
      <c r="C50" s="261"/>
      <c r="D50" s="261"/>
      <c r="E50" s="260"/>
      <c r="F50" s="260"/>
      <c r="G50" s="260"/>
      <c r="H50" s="260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1"/>
      <c r="B51" s="261"/>
      <c r="C51" s="261"/>
      <c r="D51" s="261"/>
      <c r="E51" s="260"/>
      <c r="F51" s="260"/>
      <c r="G51" s="260"/>
      <c r="H51" s="260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1"/>
      <c r="B52" s="261"/>
      <c r="C52" s="261"/>
      <c r="D52" s="261"/>
      <c r="E52" s="260"/>
      <c r="F52" s="260"/>
      <c r="G52" s="260"/>
      <c r="H52" s="260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1"/>
      <c r="B53" s="261"/>
      <c r="C53" s="261"/>
      <c r="D53" s="261"/>
      <c r="E53" s="260"/>
      <c r="F53" s="260"/>
      <c r="G53" s="260"/>
      <c r="H53" s="260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1"/>
      <c r="B54" s="261"/>
      <c r="C54" s="261"/>
      <c r="D54" s="261"/>
      <c r="E54" s="260"/>
      <c r="F54" s="260"/>
      <c r="G54" s="260"/>
      <c r="H54" s="260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1"/>
      <c r="B55" s="261"/>
      <c r="C55" s="261"/>
      <c r="D55" s="261"/>
      <c r="E55" s="260"/>
      <c r="F55" s="260"/>
      <c r="G55" s="260"/>
      <c r="H55" s="260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Mélèze hybride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70" t="s">
        <v>186</v>
      </c>
      <c r="D60" s="270"/>
      <c r="E60" s="271" t="s">
        <v>187</v>
      </c>
      <c r="F60" s="272"/>
      <c r="G60" s="272"/>
      <c r="H60" s="273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261">
        <v>12</v>
      </c>
      <c r="B62" s="261">
        <v>103</v>
      </c>
      <c r="C62" s="261"/>
      <c r="D62" s="261"/>
      <c r="E62" s="260"/>
      <c r="F62" s="260"/>
      <c r="G62" s="260"/>
      <c r="H62" s="260"/>
      <c r="I62" s="53">
        <f>IFERROR(B62/A62,"")</f>
        <v>8.5833333333333339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261">
        <v>18</v>
      </c>
      <c r="B63" s="261">
        <v>262</v>
      </c>
      <c r="C63" s="261"/>
      <c r="D63" s="261"/>
      <c r="E63" s="260"/>
      <c r="F63" s="260"/>
      <c r="G63" s="260"/>
      <c r="H63" s="260"/>
      <c r="I63" s="49">
        <f>IF(A63&lt;&gt;0,(B63-(B62-D62))/(A63-A62),"")</f>
        <v>26.5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261">
        <v>24</v>
      </c>
      <c r="B64" s="261">
        <v>423</v>
      </c>
      <c r="C64" s="261"/>
      <c r="D64" s="261"/>
      <c r="E64" s="260"/>
      <c r="F64" s="260"/>
      <c r="G64" s="260"/>
      <c r="H64" s="260"/>
      <c r="I64" s="49">
        <f>IF(A64&lt;&gt;0,(B64-(B63-D63))/(A64-A63),"")</f>
        <v>26.833333333333332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261">
        <v>30</v>
      </c>
      <c r="B65" s="261">
        <v>583</v>
      </c>
      <c r="C65" s="261">
        <v>1</v>
      </c>
      <c r="D65" s="261">
        <v>107</v>
      </c>
      <c r="E65" s="260"/>
      <c r="F65" s="260">
        <v>1</v>
      </c>
      <c r="G65" s="260"/>
      <c r="H65" s="260"/>
      <c r="I65" s="49">
        <f>IF(A65&lt;&gt;0,(B65-(B64-D64))/(A65-A64),"")</f>
        <v>26.666666666666668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261">
        <v>36</v>
      </c>
      <c r="B66" s="261">
        <v>621</v>
      </c>
      <c r="C66" s="261">
        <v>2</v>
      </c>
      <c r="D66" s="261">
        <v>119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24.166666666666668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261">
        <v>42</v>
      </c>
      <c r="B67" s="261">
        <v>615</v>
      </c>
      <c r="C67" s="261">
        <v>3</v>
      </c>
      <c r="D67" s="261">
        <v>121</v>
      </c>
      <c r="E67" s="260">
        <v>1</v>
      </c>
      <c r="F67" s="260"/>
      <c r="G67" s="260"/>
      <c r="H67" s="260"/>
      <c r="I67" s="49">
        <f t="shared" si="2"/>
        <v>18.833333333333332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261">
        <v>48</v>
      </c>
      <c r="B68" s="261">
        <v>600</v>
      </c>
      <c r="C68" s="261">
        <v>4</v>
      </c>
      <c r="D68" s="261">
        <v>123</v>
      </c>
      <c r="E68" s="260">
        <v>1</v>
      </c>
      <c r="F68" s="260"/>
      <c r="G68" s="260"/>
      <c r="H68" s="260"/>
      <c r="I68" s="49">
        <f t="shared" si="2"/>
        <v>17.666666666666668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261">
        <v>54</v>
      </c>
      <c r="B69" s="261">
        <v>573</v>
      </c>
      <c r="C69" s="261">
        <v>5</v>
      </c>
      <c r="D69" s="261">
        <v>119</v>
      </c>
      <c r="E69" s="260">
        <v>1</v>
      </c>
      <c r="F69" s="260"/>
      <c r="G69" s="260"/>
      <c r="H69" s="260"/>
      <c r="I69" s="49">
        <f t="shared" si="2"/>
        <v>16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261">
        <v>60</v>
      </c>
      <c r="B70" s="261">
        <v>534</v>
      </c>
      <c r="C70" s="261">
        <v>6</v>
      </c>
      <c r="D70" s="261">
        <v>112</v>
      </c>
      <c r="E70" s="260">
        <v>1</v>
      </c>
      <c r="F70" s="260"/>
      <c r="G70" s="260"/>
      <c r="H70" s="260"/>
      <c r="I70" s="49">
        <f t="shared" si="2"/>
        <v>13.333333333333334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261">
        <v>66</v>
      </c>
      <c r="B71" s="261">
        <v>502</v>
      </c>
      <c r="C71" s="261">
        <v>7</v>
      </c>
      <c r="D71" s="261">
        <v>109</v>
      </c>
      <c r="E71" s="260">
        <v>1</v>
      </c>
      <c r="F71" s="260"/>
      <c r="G71" s="260"/>
      <c r="H71" s="260"/>
      <c r="I71" s="49">
        <f t="shared" si="2"/>
        <v>13.333333333333334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261">
        <v>72</v>
      </c>
      <c r="B72" s="261">
        <v>463</v>
      </c>
      <c r="C72" s="261">
        <v>8</v>
      </c>
      <c r="D72" s="261">
        <v>101</v>
      </c>
      <c r="E72" s="260">
        <v>1</v>
      </c>
      <c r="F72" s="260"/>
      <c r="G72" s="260"/>
      <c r="H72" s="260"/>
      <c r="I72" s="49">
        <f t="shared" si="2"/>
        <v>11.666666666666666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1">
        <v>78</v>
      </c>
      <c r="B73" s="261">
        <v>426</v>
      </c>
      <c r="C73" s="261"/>
      <c r="D73" s="261"/>
      <c r="E73" s="260"/>
      <c r="F73" s="260"/>
      <c r="G73" s="260"/>
      <c r="H73" s="260"/>
      <c r="I73" s="49">
        <f t="shared" si="2"/>
        <v>10.666666666666666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1"/>
      <c r="B74" s="261"/>
      <c r="C74" s="261"/>
      <c r="D74" s="261"/>
      <c r="E74" s="260"/>
      <c r="F74" s="260"/>
      <c r="G74" s="260"/>
      <c r="H74" s="260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1"/>
      <c r="B75" s="261"/>
      <c r="C75" s="261"/>
      <c r="D75" s="261"/>
      <c r="E75" s="260"/>
      <c r="F75" s="260"/>
      <c r="G75" s="260"/>
      <c r="H75" s="260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1"/>
      <c r="B76" s="261"/>
      <c r="C76" s="261"/>
      <c r="D76" s="261"/>
      <c r="E76" s="260"/>
      <c r="F76" s="260"/>
      <c r="G76" s="260"/>
      <c r="H76" s="260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/>
      <c r="B77" s="257"/>
      <c r="C77" s="256"/>
      <c r="D77" s="256"/>
      <c r="E77" s="255"/>
      <c r="F77" s="255"/>
      <c r="G77" s="255"/>
      <c r="H77" s="255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/>
      <c r="B78" s="257"/>
      <c r="C78" s="256"/>
      <c r="D78" s="256"/>
      <c r="E78" s="255"/>
      <c r="F78" s="255"/>
      <c r="G78" s="255"/>
      <c r="H78" s="255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/>
      <c r="B79" s="257"/>
      <c r="C79" s="256"/>
      <c r="D79" s="256"/>
      <c r="E79" s="255"/>
      <c r="F79" s="255"/>
      <c r="G79" s="255"/>
      <c r="H79" s="255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/>
      <c r="B80" s="257"/>
      <c r="C80" s="256"/>
      <c r="D80" s="256"/>
      <c r="E80" s="255"/>
      <c r="F80" s="255"/>
      <c r="G80" s="255"/>
      <c r="H80" s="255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Chêne rouge d'Amérique</v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70" t="s">
        <v>186</v>
      </c>
      <c r="D86" s="270"/>
      <c r="E86" s="271" t="s">
        <v>187</v>
      </c>
      <c r="F86" s="272"/>
      <c r="G86" s="272"/>
      <c r="H86" s="273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1">
        <v>20</v>
      </c>
      <c r="B88" s="261">
        <v>132</v>
      </c>
      <c r="C88" s="261">
        <v>1</v>
      </c>
      <c r="D88" s="261">
        <v>50</v>
      </c>
      <c r="E88" s="260"/>
      <c r="F88" s="260"/>
      <c r="G88" s="260"/>
      <c r="H88" s="260">
        <v>1</v>
      </c>
      <c r="I88" s="53">
        <f>IFERROR(B88/A88,"")</f>
        <v>6.6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1">
        <v>25</v>
      </c>
      <c r="B89" s="261">
        <v>143</v>
      </c>
      <c r="C89" s="261">
        <v>2</v>
      </c>
      <c r="D89" s="261">
        <v>37</v>
      </c>
      <c r="E89" s="260"/>
      <c r="F89" s="260"/>
      <c r="G89" s="260"/>
      <c r="H89" s="260">
        <v>1</v>
      </c>
      <c r="I89" s="53">
        <f t="shared" ref="I89:I107" si="3">IF(A89&lt;&gt;0,(B89-(B88-D88))/(A89-A88),"")</f>
        <v>12.2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1">
        <v>30</v>
      </c>
      <c r="B90" s="261">
        <v>163</v>
      </c>
      <c r="C90" s="261">
        <v>3</v>
      </c>
      <c r="D90" s="261">
        <v>37</v>
      </c>
      <c r="E90" s="260"/>
      <c r="F90" s="260"/>
      <c r="G90" s="260"/>
      <c r="H90" s="260">
        <v>1</v>
      </c>
      <c r="I90" s="53">
        <f t="shared" si="3"/>
        <v>11.4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1">
        <v>35</v>
      </c>
      <c r="B91" s="261">
        <v>179</v>
      </c>
      <c r="C91" s="261">
        <v>4</v>
      </c>
      <c r="D91" s="261">
        <v>36</v>
      </c>
      <c r="E91" s="260">
        <v>1</v>
      </c>
      <c r="F91" s="260"/>
      <c r="G91" s="260"/>
      <c r="H91" s="260"/>
      <c r="I91" s="53">
        <f t="shared" si="3"/>
        <v>10.6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1">
        <v>40</v>
      </c>
      <c r="B92" s="261">
        <v>191</v>
      </c>
      <c r="C92" s="261">
        <v>5</v>
      </c>
      <c r="D92" s="261">
        <v>33</v>
      </c>
      <c r="E92" s="260">
        <v>1</v>
      </c>
      <c r="F92" s="260"/>
      <c r="G92" s="260"/>
      <c r="H92" s="260"/>
      <c r="I92" s="53">
        <f t="shared" si="3"/>
        <v>9.6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1">
        <v>45</v>
      </c>
      <c r="B93" s="261">
        <v>201</v>
      </c>
      <c r="C93" s="261">
        <v>6</v>
      </c>
      <c r="D93" s="261">
        <v>31</v>
      </c>
      <c r="E93" s="260">
        <v>1</v>
      </c>
      <c r="F93" s="260"/>
      <c r="G93" s="260"/>
      <c r="H93" s="260"/>
      <c r="I93" s="53">
        <f t="shared" si="3"/>
        <v>8.6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1">
        <v>50</v>
      </c>
      <c r="B94" s="261">
        <v>209</v>
      </c>
      <c r="C94" s="261">
        <v>7</v>
      </c>
      <c r="D94" s="261">
        <v>28</v>
      </c>
      <c r="E94" s="260">
        <v>1</v>
      </c>
      <c r="F94" s="260"/>
      <c r="G94" s="260"/>
      <c r="H94" s="260"/>
      <c r="I94" s="53">
        <f t="shared" si="3"/>
        <v>7.8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1">
        <v>55</v>
      </c>
      <c r="B95" s="261">
        <v>215</v>
      </c>
      <c r="C95" s="261">
        <v>8</v>
      </c>
      <c r="D95" s="261">
        <v>25</v>
      </c>
      <c r="E95" s="260">
        <v>1</v>
      </c>
      <c r="F95" s="260"/>
      <c r="G95" s="260"/>
      <c r="H95" s="260"/>
      <c r="I95" s="53">
        <f t="shared" si="3"/>
        <v>6.8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1">
        <v>60</v>
      </c>
      <c r="B96" s="261">
        <v>220</v>
      </c>
      <c r="C96" s="261">
        <v>9</v>
      </c>
      <c r="D96" s="261">
        <v>22</v>
      </c>
      <c r="E96" s="260">
        <v>1</v>
      </c>
      <c r="F96" s="260"/>
      <c r="G96" s="260"/>
      <c r="H96" s="260"/>
      <c r="I96" s="53">
        <f t="shared" si="3"/>
        <v>6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1">
        <v>65</v>
      </c>
      <c r="B97" s="261">
        <v>224</v>
      </c>
      <c r="C97" s="261">
        <v>10</v>
      </c>
      <c r="D97" s="261">
        <v>20</v>
      </c>
      <c r="E97" s="260">
        <v>1</v>
      </c>
      <c r="F97" s="260"/>
      <c r="G97" s="260"/>
      <c r="H97" s="260"/>
      <c r="I97" s="53">
        <f t="shared" si="3"/>
        <v>5.2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1">
        <v>70</v>
      </c>
      <c r="B98" s="261">
        <v>227</v>
      </c>
      <c r="C98" s="261">
        <v>11</v>
      </c>
      <c r="D98" s="261">
        <v>17</v>
      </c>
      <c r="E98" s="260">
        <v>1</v>
      </c>
      <c r="F98" s="260"/>
      <c r="G98" s="260"/>
      <c r="H98" s="260"/>
      <c r="I98" s="53">
        <f t="shared" si="3"/>
        <v>4.5999999999999996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1">
        <v>75</v>
      </c>
      <c r="B99" s="261">
        <v>230</v>
      </c>
      <c r="C99" s="261">
        <v>12</v>
      </c>
      <c r="D99" s="261">
        <v>15</v>
      </c>
      <c r="E99" s="260">
        <v>1</v>
      </c>
      <c r="F99" s="260"/>
      <c r="G99" s="260"/>
      <c r="H99" s="260"/>
      <c r="I99" s="53">
        <f t="shared" si="3"/>
        <v>4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1">
        <v>80</v>
      </c>
      <c r="B100" s="261">
        <v>232</v>
      </c>
      <c r="C100" s="261">
        <v>13</v>
      </c>
      <c r="D100" s="261">
        <v>13</v>
      </c>
      <c r="E100" s="260">
        <v>1</v>
      </c>
      <c r="F100" s="260"/>
      <c r="G100" s="260"/>
      <c r="H100" s="260"/>
      <c r="I100" s="53">
        <f t="shared" si="3"/>
        <v>3.4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1">
        <v>85</v>
      </c>
      <c r="B101" s="261">
        <v>234</v>
      </c>
      <c r="C101" s="261">
        <v>14</v>
      </c>
      <c r="D101" s="261">
        <v>12</v>
      </c>
      <c r="E101" s="260">
        <v>1</v>
      </c>
      <c r="F101" s="260"/>
      <c r="G101" s="260"/>
      <c r="H101" s="260"/>
      <c r="I101" s="53">
        <f t="shared" si="3"/>
        <v>3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1">
        <v>90</v>
      </c>
      <c r="B102" s="261">
        <v>236</v>
      </c>
      <c r="C102" s="261"/>
      <c r="D102" s="261"/>
      <c r="E102" s="260"/>
      <c r="F102" s="260"/>
      <c r="G102" s="260"/>
      <c r="H102" s="260"/>
      <c r="I102" s="53">
        <f t="shared" si="3"/>
        <v>2.8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70" t="s">
        <v>186</v>
      </c>
      <c r="D112" s="270"/>
      <c r="E112" s="271" t="s">
        <v>187</v>
      </c>
      <c r="F112" s="272"/>
      <c r="G112" s="272"/>
      <c r="H112" s="273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70" t="s">
        <v>186</v>
      </c>
      <c r="D138" s="270"/>
      <c r="E138" s="271" t="s">
        <v>187</v>
      </c>
      <c r="F138" s="272"/>
      <c r="G138" s="272"/>
      <c r="H138" s="273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70" t="s">
        <v>186</v>
      </c>
      <c r="D164" s="270"/>
      <c r="E164" s="271" t="s">
        <v>187</v>
      </c>
      <c r="F164" s="272"/>
      <c r="G164" s="272"/>
      <c r="H164" s="273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70" t="s">
        <v>186</v>
      </c>
      <c r="D190" s="270"/>
      <c r="E190" s="271" t="s">
        <v>187</v>
      </c>
      <c r="F190" s="272"/>
      <c r="G190" s="272"/>
      <c r="H190" s="273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70" t="s">
        <v>186</v>
      </c>
      <c r="D216" s="270"/>
      <c r="E216" s="271" t="s">
        <v>187</v>
      </c>
      <c r="F216" s="272"/>
      <c r="G216" s="272"/>
      <c r="H216" s="273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70" t="s">
        <v>186</v>
      </c>
      <c r="D242" s="270"/>
      <c r="E242" s="271" t="s">
        <v>187</v>
      </c>
      <c r="F242" s="272"/>
      <c r="G242" s="272"/>
      <c r="H242" s="273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70" t="s">
        <v>186</v>
      </c>
      <c r="D268" s="270"/>
      <c r="E268" s="271" t="s">
        <v>187</v>
      </c>
      <c r="F268" s="272"/>
      <c r="G268" s="272"/>
      <c r="H268" s="273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6" zoomScale="115" zoomScaleNormal="115" workbookViewId="0">
      <selection activeCell="G17" sqref="G17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3" t="s">
        <v>191</v>
      </c>
      <c r="C2" s="284"/>
      <c r="D2" s="284"/>
      <c r="E2" s="284"/>
      <c r="F2" s="284"/>
      <c r="G2" s="285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2"/>
      <c r="C4" s="282"/>
      <c r="D4" s="282"/>
      <c r="E4" s="282"/>
      <c r="F4" s="282"/>
      <c r="G4" s="282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9" t="s">
        <v>176</v>
      </c>
      <c r="C1" s="290"/>
      <c r="D1" s="290"/>
      <c r="E1" s="290"/>
      <c r="F1" s="290"/>
      <c r="G1" s="290"/>
      <c r="H1" s="291"/>
      <c r="I1" s="286" t="str">
        <f>IF('Données projet'!$B$9="","",'Données projet'!$B$9)</f>
        <v>Douglas</v>
      </c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8"/>
      <c r="AD1" s="287" t="str">
        <f>IF('Données projet'!$B$10="","",'Données projet'!$B$10)</f>
        <v>Mélèze hybride</v>
      </c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8"/>
      <c r="AY1" s="286" t="str">
        <f>IF('Données projet'!$B$11="","",'Données projet'!$B$11)</f>
        <v>Chêne rouge d'Amérique</v>
      </c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8"/>
      <c r="BT1" s="286" t="str">
        <f>IF('Données projet'!$B$12="","",'Données projet'!$B$12)</f>
        <v/>
      </c>
      <c r="BU1" s="287"/>
      <c r="BV1" s="287"/>
      <c r="BW1" s="287"/>
      <c r="BX1" s="287"/>
      <c r="BY1" s="287"/>
      <c r="BZ1" s="287"/>
      <c r="CA1" s="287"/>
      <c r="CB1" s="287"/>
      <c r="CC1" s="287"/>
      <c r="CD1" s="287"/>
      <c r="CE1" s="287"/>
      <c r="CF1" s="287"/>
      <c r="CG1" s="287"/>
      <c r="CH1" s="287"/>
      <c r="CI1" s="287"/>
      <c r="CJ1" s="287"/>
      <c r="CK1" s="287"/>
      <c r="CL1" s="287"/>
      <c r="CM1" s="287"/>
      <c r="CN1" s="288"/>
      <c r="CO1" s="286" t="str">
        <f>IF('Données projet'!$B$13="","",'Données projet'!$B$13)</f>
        <v/>
      </c>
      <c r="CP1" s="287"/>
      <c r="CQ1" s="287"/>
      <c r="CR1" s="287"/>
      <c r="CS1" s="287"/>
      <c r="CT1" s="287"/>
      <c r="CU1" s="287"/>
      <c r="CV1" s="287"/>
      <c r="CW1" s="287"/>
      <c r="CX1" s="287"/>
      <c r="CY1" s="287"/>
      <c r="CZ1" s="287"/>
      <c r="DA1" s="287"/>
      <c r="DB1" s="287"/>
      <c r="DC1" s="287"/>
      <c r="DD1" s="287"/>
      <c r="DE1" s="287"/>
      <c r="DF1" s="287"/>
      <c r="DG1" s="287"/>
      <c r="DH1" s="287"/>
      <c r="DI1" s="288"/>
      <c r="DJ1" s="286" t="str">
        <f>IF('Données projet'!$B$14="","",'Données projet'!$B$14)</f>
        <v/>
      </c>
      <c r="DK1" s="287"/>
      <c r="DL1" s="287"/>
      <c r="DM1" s="287"/>
      <c r="DN1" s="287"/>
      <c r="DO1" s="287"/>
      <c r="DP1" s="287"/>
      <c r="DQ1" s="287"/>
      <c r="DR1" s="287"/>
      <c r="DS1" s="287"/>
      <c r="DT1" s="287"/>
      <c r="DU1" s="287"/>
      <c r="DV1" s="287"/>
      <c r="DW1" s="287"/>
      <c r="DX1" s="287"/>
      <c r="DY1" s="287"/>
      <c r="DZ1" s="287"/>
      <c r="EA1" s="287"/>
      <c r="EB1" s="287"/>
      <c r="EC1" s="287"/>
      <c r="ED1" s="288"/>
      <c r="EE1" s="286" t="str">
        <f>IF('Données projet'!$B$15="","",'Données projet'!$B$15)</f>
        <v/>
      </c>
      <c r="EF1" s="287"/>
      <c r="EG1" s="287"/>
      <c r="EH1" s="287"/>
      <c r="EI1" s="287"/>
      <c r="EJ1" s="287"/>
      <c r="EK1" s="287"/>
      <c r="EL1" s="287"/>
      <c r="EM1" s="287"/>
      <c r="EN1" s="287"/>
      <c r="EO1" s="287"/>
      <c r="EP1" s="287"/>
      <c r="EQ1" s="287"/>
      <c r="ER1" s="287"/>
      <c r="ES1" s="287"/>
      <c r="ET1" s="287"/>
      <c r="EU1" s="287"/>
      <c r="EV1" s="287"/>
      <c r="EW1" s="287"/>
      <c r="EX1" s="287"/>
      <c r="EY1" s="288"/>
      <c r="EZ1" s="286" t="str">
        <f>IF('Données projet'!$B$16="","",'Données projet'!$B$16)</f>
        <v/>
      </c>
      <c r="FA1" s="287"/>
      <c r="FB1" s="287"/>
      <c r="FC1" s="287"/>
      <c r="FD1" s="287"/>
      <c r="FE1" s="287"/>
      <c r="FF1" s="287"/>
      <c r="FG1" s="287"/>
      <c r="FH1" s="287"/>
      <c r="FI1" s="287"/>
      <c r="FJ1" s="287"/>
      <c r="FK1" s="287"/>
      <c r="FL1" s="287"/>
      <c r="FM1" s="287"/>
      <c r="FN1" s="287"/>
      <c r="FO1" s="287"/>
      <c r="FP1" s="287"/>
      <c r="FQ1" s="287"/>
      <c r="FR1" s="287"/>
      <c r="FS1" s="287"/>
      <c r="FT1" s="288"/>
      <c r="FU1" s="286" t="str">
        <f>IF('Données projet'!$B$17="","",'Données projet'!$B$17)</f>
        <v/>
      </c>
      <c r="FV1" s="287"/>
      <c r="FW1" s="287"/>
      <c r="FX1" s="287"/>
      <c r="FY1" s="287"/>
      <c r="FZ1" s="287"/>
      <c r="GA1" s="287"/>
      <c r="GB1" s="287"/>
      <c r="GC1" s="287"/>
      <c r="GD1" s="287"/>
      <c r="GE1" s="287"/>
      <c r="GF1" s="287"/>
      <c r="GG1" s="287"/>
      <c r="GH1" s="287"/>
      <c r="GI1" s="287"/>
      <c r="GJ1" s="287"/>
      <c r="GK1" s="287"/>
      <c r="GL1" s="287"/>
      <c r="GM1" s="287"/>
      <c r="GN1" s="287"/>
      <c r="GO1" s="288"/>
      <c r="GP1" s="286" t="str">
        <f>IF('Données projet'!$B$18="","",'Données projet'!$B$18)</f>
        <v/>
      </c>
      <c r="GQ1" s="287"/>
      <c r="GR1" s="287"/>
      <c r="GS1" s="287"/>
      <c r="GT1" s="287"/>
      <c r="GU1" s="287"/>
      <c r="GV1" s="287"/>
      <c r="GW1" s="287"/>
      <c r="GX1" s="287"/>
      <c r="GY1" s="287"/>
      <c r="GZ1" s="287"/>
      <c r="HA1" s="287"/>
      <c r="HB1" s="287"/>
      <c r="HC1" s="287"/>
      <c r="HD1" s="287"/>
      <c r="HE1" s="287"/>
      <c r="HF1" s="287"/>
      <c r="HG1" s="287"/>
      <c r="HH1" s="287"/>
      <c r="HI1" s="287"/>
      <c r="HJ1" s="288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382.55387448074327</v>
      </c>
      <c r="T3" s="59">
        <f>IF('Données projet'!E9&gt;30,$R$33-$H$33,LOOKUP('Données projet'!$E$9,$A$3:$A$203,R3:R203)-LOOKUP('Données projet'!$E$9,$A$3:$A$203,$H$3:$H$203))</f>
        <v>476.29465646955543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417.99456559608217</v>
      </c>
      <c r="AO3" s="59">
        <f>IF('Données projet'!E10&gt;30,$AM$33-$H$33,LOOKUP('Données projet'!$E$10,$A$3:$A$203,AM3:AM203)-LOOKUP('Données projet'!$E$10,$A$3:$A$203,$H$3:$H$203))</f>
        <v>651.41353014863932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247.61330734992077</v>
      </c>
      <c r="BJ3" s="59">
        <f>IF('Données projet'!E11&gt;30,$BH$33-$H$33,LOOKUP('Données projet'!$E$11,$A$3:$A$203,BH3:BH203)-LOOKUP('Données projet'!$E$11,$A$3:$A$203,$H$3:$H$203))</f>
        <v>278.55937893537259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0.48099999999999998</v>
      </c>
      <c r="D4" s="11">
        <f>IFERROR(EXP(-1.0587+0.8836*LN(C4)+0.284),0)</f>
        <v>0.24137676049677712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5.5762416599751221</v>
      </c>
      <c r="H4" s="66">
        <f t="shared" ref="H4:H67" si="1">(B4+E4+F4)*44/12+(C4+D4)*0.475*44/12</f>
        <v>294.5914728578652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8.526315789473685</v>
      </c>
      <c r="N4" s="13">
        <f>IF('Données projet'!$A$36&gt;35,N3+M4-V3,IF(A4&lt;'Données projet'!$A$36,$K$205^A4,IF(A4='Données projet'!$A$36,'Données projet'!$B$36,N3+M4-V3)))</f>
        <v>1.3070441688874561</v>
      </c>
      <c r="O4" s="13">
        <f>N4*VLOOKUP('Données projet'!$B$9,Paramètres!$A$1:$I$89,3,0)*VLOOKUP('Données projet'!$B$9,Paramètres!$A$1:$I$89,5,0)</f>
        <v>0.73063769040808801</v>
      </c>
      <c r="P4" s="13">
        <f>EXP(-1.0587+0.8836*LN(O4)+0.284)</f>
        <v>0.34923616900555043</v>
      </c>
      <c r="Q4" s="20">
        <f t="shared" ref="Q4:Q34" si="2">(O4+P4)*0.475*44/12</f>
        <v>1.8807803051454206</v>
      </c>
      <c r="R4" s="59">
        <f t="shared" si="0"/>
        <v>295.21411363847875</v>
      </c>
      <c r="S4" s="59">
        <f ca="1">AVERAGE(OFFSET($R$3,0,0,'Données projet'!$E$9+1,1))-AVERAGE(OFFSET($H$3,0,0,'Données projet'!$E$9+1,1))</f>
        <v>382.55387448074327</v>
      </c>
      <c r="T4" s="59">
        <f>$T$3</f>
        <v>476.29465646955543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8.5833333333333339</v>
      </c>
      <c r="AI4" s="13">
        <f>IF('Données projet'!$A$62&gt;35,AI3+AH4-AQ3,IF(A4&lt;'Données projet'!$A$62,$AF$205^A4,IF(A4='Données projet'!$A$62,'Données projet'!$B$62,AI3+AH4-AQ3)))</f>
        <v>1.4714192565876152</v>
      </c>
      <c r="AJ4" s="13">
        <f>AI4*VLOOKUP('Données projet'!$B$10,Paramètres!$A$1:$I$89,3,0)*VLOOKUP('Données projet'!$B$10,Paramètres!$A$1:$I$89,5,0)</f>
        <v>0.80339491409683794</v>
      </c>
      <c r="AK4" s="13">
        <f>EXP(-1.0587+0.8836*LN(AJ4)+0.284)</f>
        <v>0.37979338681419667</v>
      </c>
      <c r="AL4" s="20">
        <f t="shared" ref="AL4:AL67" si="4">(AJ4+AK4)*0.475*44/12</f>
        <v>2.0607196240867185</v>
      </c>
      <c r="AM4" s="59">
        <f t="shared" ref="AM4:AM67" si="5">AL4+(AD4+AE4)*44/12</f>
        <v>295.39405295742006</v>
      </c>
      <c r="AN4" s="59">
        <f ca="1">AVERAGE(OFFSET($AM$3,0,0,'Données projet'!$E$10+1,1))-AVERAGE(OFFSET($H$3,0,0,'Données projet'!$E$10+1,1))</f>
        <v>417.99456559608217</v>
      </c>
      <c r="AO4" s="59">
        <f>$AO$3</f>
        <v>651.41353014863932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6.6</v>
      </c>
      <c r="BD4" s="12">
        <f>IF('Données projet'!$A$88&gt;35,BD3+BC4-BL3,IF(A4&lt;'Données projet'!$A$88,$BA$205^A4,IF(A4='Données projet'!$A$88,'Données projet'!$B$88,BD3+BC4-BL3)))</f>
        <v>1.2765231539157764</v>
      </c>
      <c r="BE4" s="13">
        <f>BD4*VLOOKUP('Données projet'!$B$11,Paramètres!$A$1:$I$89,3,0)*VLOOKUP('Données projet'!$B$11,Paramètres!$A$1:$I$89,5,0)</f>
        <v>1.1151706272608224</v>
      </c>
      <c r="BF4" s="13">
        <f>EXP(-1.0587+0.8836*LN(BE4)+0.284)</f>
        <v>0.50743784838663863</v>
      </c>
      <c r="BG4" s="20">
        <f t="shared" ref="BG4:BG67" si="7">(BE4+BF4)*0.475*44/12</f>
        <v>2.8260430950859945</v>
      </c>
      <c r="BH4" s="59">
        <f t="shared" ref="BH4:BH67" si="8">BG4+(AY4+AZ4)*44/12</f>
        <v>296.15937642841931</v>
      </c>
      <c r="BI4" s="59">
        <f ca="1">AVERAGE(OFFSET($BH$3,0,0,'Données projet'!$E$11+1,1))-AVERAGE(OFFSET($H$3,0,0,'Données projet'!$E$11+1,1))</f>
        <v>247.61330734992077</v>
      </c>
      <c r="BJ4" s="59">
        <f>$BJ$3</f>
        <v>278.55937893537259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0.96199999999999997</v>
      </c>
      <c r="D5" s="11">
        <f t="shared" ref="D5:D68" si="32">IFERROR(EXP(-1.0587+0.8836*LN(C5)+0.284),0)</f>
        <v>0.4453336974617329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10.863628541809867</v>
      </c>
      <c r="H5" s="66">
        <f t="shared" si="1"/>
        <v>295.78443952307919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8.526315789473685</v>
      </c>
      <c r="N5" s="13">
        <f>IF('Données projet'!$A$36&gt;35,N4+M5-V4,IF(A5&lt;'Données projet'!$A$36,$K$205^A5,IF(A5='Données projet'!$A$36,'Données projet'!$B$36,N4+M5-V4)))</f>
        <v>1.708364459422701</v>
      </c>
      <c r="O5" s="13">
        <f>N5*VLOOKUP('Données projet'!$B$9,Paramètres!$A$1:$I$89,3,0)*VLOOKUP('Données projet'!$B$9,Paramètres!$A$1:$I$89,5,0)</f>
        <v>0.95497573281728976</v>
      </c>
      <c r="P5" s="13">
        <f t="shared" ref="P5:P68" si="33">EXP(-1.0587+0.8836*LN(O5)+0.284)</f>
        <v>0.44245926414263009</v>
      </c>
      <c r="Q5" s="20">
        <f t="shared" si="2"/>
        <v>2.4338659530385267</v>
      </c>
      <c r="R5" s="59">
        <f t="shared" si="0"/>
        <v>295.76719928637186</v>
      </c>
      <c r="S5" s="59">
        <f ca="1">AVERAGE(OFFSET($R$3,0,0,'Données projet'!$E$9+1,1))-AVERAGE(OFFSET($H$3,0,0,'Données projet'!$E$9+1,1))</f>
        <v>382.55387448074327</v>
      </c>
      <c r="T5" s="59">
        <f t="shared" ref="T5:T68" si="34">$T$3</f>
        <v>476.29465646955543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8.5833333333333339</v>
      </c>
      <c r="AI5" s="13">
        <f>IF('Données projet'!$A$62&gt;35,AI4+AH5-AQ4,IF(A5&lt;'Données projet'!$A$62,$AF$205^A5,IF(A5='Données projet'!$A$62,'Données projet'!$B$62,AI4+AH5-AQ4)))</f>
        <v>2.1650746286568503</v>
      </c>
      <c r="AJ5" s="13">
        <f>AI5*VLOOKUP('Données projet'!$B$10,Paramètres!$A$1:$I$89,3,0)*VLOOKUP('Données projet'!$B$10,Paramètres!$A$1:$I$89,5,0)</f>
        <v>1.1821307472466402</v>
      </c>
      <c r="AK5" s="13">
        <f t="shared" ref="AK5:AK68" si="35">EXP(-1.0587+0.8836*LN(AJ5)+0.284)</f>
        <v>0.53426818417196775</v>
      </c>
      <c r="AL5" s="20">
        <f t="shared" si="4"/>
        <v>2.9893948055540753</v>
      </c>
      <c r="AM5" s="59">
        <f t="shared" si="5"/>
        <v>296.32272813888738</v>
      </c>
      <c r="AN5" s="59">
        <f ca="1">AVERAGE(OFFSET($AM$3,0,0,'Données projet'!$E$10+1,1))-AVERAGE(OFFSET($H$3,0,0,'Données projet'!$E$10+1,1))</f>
        <v>417.99456559608217</v>
      </c>
      <c r="AO5" s="59">
        <f t="shared" ref="AO5:AO68" si="36">$AO$3</f>
        <v>651.41353014863932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6.6</v>
      </c>
      <c r="BD5" s="12">
        <f>IF('Données projet'!$A$88&gt;35,BD4+BC5-BL4,IF(A5&lt;'Données projet'!$A$88,$BA$205^A5,IF(A5='Données projet'!$A$88,'Données projet'!$B$88,BD4+BC5-BL4)))</f>
        <v>1.629511362483081</v>
      </c>
      <c r="BE5" s="13">
        <f>BD5*VLOOKUP('Données projet'!$B$11,Paramètres!$A$1:$I$89,3,0)*VLOOKUP('Données projet'!$B$11,Paramètres!$A$1:$I$89,5,0)</f>
        <v>1.4235411262652198</v>
      </c>
      <c r="BF5" s="13">
        <f t="shared" ref="BF5:BF68" si="37">EXP(-1.0587+0.8836*LN(BE5)+0.284)</f>
        <v>0.62960738463416654</v>
      </c>
      <c r="BG5" s="20">
        <f t="shared" si="7"/>
        <v>3.5759003231497637</v>
      </c>
      <c r="BH5" s="59">
        <f t="shared" si="8"/>
        <v>296.90923365648308</v>
      </c>
      <c r="BI5" s="59">
        <f ca="1">AVERAGE(OFFSET($BH$3,0,0,'Données projet'!$E$11+1,1))-AVERAGE(OFFSET($H$3,0,0,'Données projet'!$E$11+1,1))</f>
        <v>247.61330734992077</v>
      </c>
      <c r="BJ5" s="59">
        <f t="shared" ref="BJ5:BJ68" si="38">$BJ$3</f>
        <v>278.55937893537259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1.4430000000000001</v>
      </c>
      <c r="D6" s="11">
        <f t="shared" si="32"/>
        <v>0.63720590978354918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16.057729829908101</v>
      </c>
      <c r="H6" s="66">
        <f t="shared" si="1"/>
        <v>296.95635862620634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8.526315789473685</v>
      </c>
      <c r="N6" s="13">
        <f>IF('Données projet'!$A$36&gt;35,N5+M6-V5,IF(A6&lt;'Données projet'!$A$36,$K$205^A6,IF(A6='Données projet'!$A$36,'Données projet'!$B$36,N5+M6-V5)))</f>
        <v>2.2329078050230127</v>
      </c>
      <c r="O6" s="13">
        <f>N6*VLOOKUP('Données projet'!$B$9,Paramètres!$A$1:$I$89,3,0)*VLOOKUP('Données projet'!$B$9,Paramètres!$A$1:$I$89,5,0)</f>
        <v>1.248195463007864</v>
      </c>
      <c r="P6" s="13">
        <f t="shared" si="33"/>
        <v>0.56056679634040518</v>
      </c>
      <c r="Q6" s="20">
        <f t="shared" si="2"/>
        <v>3.1502609350315693</v>
      </c>
      <c r="R6" s="59">
        <f t="shared" si="0"/>
        <v>296.48359426836487</v>
      </c>
      <c r="S6" s="59">
        <f ca="1">AVERAGE(OFFSET($R$3,0,0,'Données projet'!$E$9+1,1))-AVERAGE(OFFSET($H$3,0,0,'Données projet'!$E$9+1,1))</f>
        <v>382.55387448074327</v>
      </c>
      <c r="T6" s="59">
        <f t="shared" si="34"/>
        <v>476.29465646955543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8.5833333333333339</v>
      </c>
      <c r="AI6" s="13">
        <f>IF('Données projet'!$A$62&gt;35,AI5+AH6-AQ5,IF(A6&lt;'Données projet'!$A$62,$AF$205^A6,IF(A6='Données projet'!$A$62,'Données projet'!$B$62,AI5+AH6-AQ5)))</f>
        <v>3.1857325005549697</v>
      </c>
      <c r="AJ6" s="13">
        <f>AI6*VLOOKUP('Données projet'!$B$10,Paramètres!$A$1:$I$89,3,0)*VLOOKUP('Données projet'!$B$10,Paramètres!$A$1:$I$89,5,0)</f>
        <v>1.7394099453030136</v>
      </c>
      <c r="AK6" s="13">
        <f t="shared" si="35"/>
        <v>0.75157309876503064</v>
      </c>
      <c r="AL6" s="20">
        <f t="shared" si="4"/>
        <v>4.3384621350851766</v>
      </c>
      <c r="AM6" s="59">
        <f t="shared" si="5"/>
        <v>297.67179546841851</v>
      </c>
      <c r="AN6" s="59">
        <f ca="1">AVERAGE(OFFSET($AM$3,0,0,'Données projet'!$E$10+1,1))-AVERAGE(OFFSET($H$3,0,0,'Données projet'!$E$10+1,1))</f>
        <v>417.99456559608217</v>
      </c>
      <c r="AO6" s="59">
        <f t="shared" si="36"/>
        <v>651.41353014863932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6.6</v>
      </c>
      <c r="BD6" s="12">
        <f>IF('Données projet'!$A$88&gt;35,BD5+BC6-BL5,IF(A6&lt;'Données projet'!$A$88,$BA$205^A6,IF(A6='Données projet'!$A$88,'Données projet'!$B$88,BD5+BC6-BL5)))</f>
        <v>2.0801089837784965</v>
      </c>
      <c r="BE6" s="13">
        <f>BD6*VLOOKUP('Données projet'!$B$11,Paramètres!$A$1:$I$89,3,0)*VLOOKUP('Données projet'!$B$11,Paramètres!$A$1:$I$89,5,0)</f>
        <v>1.8171832082288948</v>
      </c>
      <c r="BF6" s="13">
        <f t="shared" si="37"/>
        <v>0.7811901694881791</v>
      </c>
      <c r="BG6" s="20">
        <f t="shared" si="7"/>
        <v>4.5255002995239044</v>
      </c>
      <c r="BH6" s="59">
        <f t="shared" si="8"/>
        <v>297.85883363285723</v>
      </c>
      <c r="BI6" s="59">
        <f ca="1">AVERAGE(OFFSET($BH$3,0,0,'Données projet'!$E$11+1,1))-AVERAGE(OFFSET($H$3,0,0,'Données projet'!$E$11+1,1))</f>
        <v>247.61330734992077</v>
      </c>
      <c r="BJ6" s="59">
        <f t="shared" si="38"/>
        <v>278.55937893537259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1.9239999999999999</v>
      </c>
      <c r="D7" s="11">
        <f t="shared" si="32"/>
        <v>0.82162881665480925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21.194327707510809</v>
      </c>
      <c r="H7" s="66">
        <f t="shared" si="1"/>
        <v>298.11530352234041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8.526315789473685</v>
      </c>
      <c r="N7" s="13">
        <f>IF('Données projet'!$A$36&gt;35,N6+M7-V6,IF(A7&lt;'Données projet'!$A$36,$K$205^A7,IF(A7='Données projet'!$A$36,'Données projet'!$B$36,N6+M7-V6)))</f>
        <v>2.9185091262186176</v>
      </c>
      <c r="O7" s="13">
        <f>N7*VLOOKUP('Données projet'!$B$9,Paramètres!$A$1:$I$89,3,0)*VLOOKUP('Données projet'!$B$9,Paramètres!$A$1:$I$89,5,0)</f>
        <v>1.6314466015562072</v>
      </c>
      <c r="P7" s="13">
        <f t="shared" si="33"/>
        <v>0.71020127416305878</v>
      </c>
      <c r="Q7" s="20">
        <f t="shared" si="2"/>
        <v>4.0783700502110554</v>
      </c>
      <c r="R7" s="59">
        <f t="shared" si="0"/>
        <v>297.41170338354436</v>
      </c>
      <c r="S7" s="59">
        <f ca="1">AVERAGE(OFFSET($R$3,0,0,'Données projet'!$E$9+1,1))-AVERAGE(OFFSET($H$3,0,0,'Données projet'!$E$9+1,1))</f>
        <v>382.55387448074327</v>
      </c>
      <c r="T7" s="59">
        <f t="shared" si="34"/>
        <v>476.29465646955543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8.5833333333333339</v>
      </c>
      <c r="AI7" s="13">
        <f>IF('Données projet'!$A$62&gt;35,AI6+AH7-AQ6,IF(A7&lt;'Données projet'!$A$62,$AF$205^A7,IF(A7='Données projet'!$A$62,'Données projet'!$B$62,AI6+AH7-AQ6)))</f>
        <v>4.6875481476535983</v>
      </c>
      <c r="AJ7" s="13">
        <f>AI7*VLOOKUP('Données projet'!$B$10,Paramètres!$A$1:$I$89,3,0)*VLOOKUP('Données projet'!$B$10,Paramètres!$A$1:$I$89,5,0)</f>
        <v>2.5594012886188646</v>
      </c>
      <c r="AK7" s="13">
        <f t="shared" si="35"/>
        <v>1.057263261264038</v>
      </c>
      <c r="AL7" s="20">
        <f t="shared" si="4"/>
        <v>6.2990240910460562</v>
      </c>
      <c r="AM7" s="59">
        <f t="shared" si="5"/>
        <v>299.63235742437939</v>
      </c>
      <c r="AN7" s="59">
        <f ca="1">AVERAGE(OFFSET($AM$3,0,0,'Données projet'!$E$10+1,1))-AVERAGE(OFFSET($H$3,0,0,'Données projet'!$E$10+1,1))</f>
        <v>417.99456559608217</v>
      </c>
      <c r="AO7" s="59">
        <f t="shared" si="36"/>
        <v>651.41353014863932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6.6</v>
      </c>
      <c r="BD7" s="12">
        <f>IF('Données projet'!$A$88&gt;35,BD6+BC7-BL6,IF(A7&lt;'Données projet'!$A$88,$BA$205^A7,IF(A7='Données projet'!$A$88,'Données projet'!$B$88,BD6+BC7-BL6)))</f>
        <v>2.655307280461467</v>
      </c>
      <c r="BE7" s="13">
        <f>BD7*VLOOKUP('Données projet'!$B$11,Paramètres!$A$1:$I$89,3,0)*VLOOKUP('Données projet'!$B$11,Paramètres!$A$1:$I$89,5,0)</f>
        <v>2.3196764402111376</v>
      </c>
      <c r="BF7" s="13">
        <f t="shared" si="37"/>
        <v>0.96926766711854973</v>
      </c>
      <c r="BG7" s="20">
        <f t="shared" si="7"/>
        <v>5.7282443202658717</v>
      </c>
      <c r="BH7" s="59">
        <f t="shared" si="8"/>
        <v>299.06157765359916</v>
      </c>
      <c r="BI7" s="59">
        <f ca="1">AVERAGE(OFFSET($BH$3,0,0,'Données projet'!$E$11+1,1))-AVERAGE(OFFSET($H$3,0,0,'Données projet'!$E$11+1,1))</f>
        <v>247.61330734992077</v>
      </c>
      <c r="BJ7" s="59">
        <f t="shared" si="38"/>
        <v>278.55937893537259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2.4049999999999998</v>
      </c>
      <c r="D8" s="11">
        <f t="shared" si="32"/>
        <v>1.0007033420126812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26.289639833080347</v>
      </c>
      <c r="H8" s="66">
        <f t="shared" si="1"/>
        <v>299.26493332067207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8.526315789473685</v>
      </c>
      <c r="N8" s="13">
        <f>IF('Données projet'!$A$36&gt;35,N7+M8-V7,IF(A8&lt;'Données projet'!$A$36,$K$205^A8,IF(A8='Données projet'!$A$36,'Données projet'!$B$36,N7+M8-V7)))</f>
        <v>3.8146203352688688</v>
      </c>
      <c r="O8" s="13">
        <f>N8*VLOOKUP('Données projet'!$B$9,Paramètres!$A$1:$I$89,3,0)*VLOOKUP('Données projet'!$B$9,Paramètres!$A$1:$I$89,5,0)</f>
        <v>2.1323727674152977</v>
      </c>
      <c r="P8" s="13">
        <f t="shared" si="33"/>
        <v>0.89977831922200224</v>
      </c>
      <c r="Q8" s="20">
        <f t="shared" si="2"/>
        <v>5.2809964758932972</v>
      </c>
      <c r="R8" s="59">
        <f t="shared" si="0"/>
        <v>298.6143298092266</v>
      </c>
      <c r="S8" s="59">
        <f ca="1">AVERAGE(OFFSET($R$3,0,0,'Données projet'!$E$9+1,1))-AVERAGE(OFFSET($H$3,0,0,'Données projet'!$E$9+1,1))</f>
        <v>382.55387448074327</v>
      </c>
      <c r="T8" s="59">
        <f t="shared" si="34"/>
        <v>476.29465646955543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8.5833333333333339</v>
      </c>
      <c r="AI8" s="13">
        <f>IF('Données projet'!$A$62&gt;35,AI7+AH8-AQ7,IF(A8&lt;'Données projet'!$A$62,$AF$205^A8,IF(A8='Données projet'!$A$62,'Données projet'!$B$62,AI7+AH8-AQ7)))</f>
        <v>6.89734861063911</v>
      </c>
      <c r="AJ8" s="13">
        <f>AI8*VLOOKUP('Données projet'!$B$10,Paramètres!$A$1:$I$89,3,0)*VLOOKUP('Données projet'!$B$10,Paramètres!$A$1:$I$89,5,0)</f>
        <v>3.7659523414089544</v>
      </c>
      <c r="AK8" s="13">
        <f t="shared" si="35"/>
        <v>1.487287937068829</v>
      </c>
      <c r="AL8" s="20">
        <f t="shared" si="4"/>
        <v>9.1493934850154712</v>
      </c>
      <c r="AM8" s="59">
        <f t="shared" si="5"/>
        <v>302.48272681834879</v>
      </c>
      <c r="AN8" s="59">
        <f ca="1">AVERAGE(OFFSET($AM$3,0,0,'Données projet'!$E$10+1,1))-AVERAGE(OFFSET($H$3,0,0,'Données projet'!$E$10+1,1))</f>
        <v>417.99456559608217</v>
      </c>
      <c r="AO8" s="59">
        <f t="shared" si="36"/>
        <v>651.41353014863932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6.6</v>
      </c>
      <c r="BD8" s="12">
        <f>IF('Données projet'!$A$88&gt;35,BD7+BC8-BL7,IF(A8&lt;'Données projet'!$A$88,$BA$205^A8,IF(A8='Données projet'!$A$88,'Données projet'!$B$88,BD7+BC8-BL7)))</f>
        <v>3.3895612242701949</v>
      </c>
      <c r="BE8" s="13">
        <f>BD8*VLOOKUP('Données projet'!$B$11,Paramètres!$A$1:$I$89,3,0)*VLOOKUP('Données projet'!$B$11,Paramètres!$A$1:$I$89,5,0)</f>
        <v>2.9611206855224426</v>
      </c>
      <c r="BF8" s="13">
        <f t="shared" si="37"/>
        <v>1.2026262582604759</v>
      </c>
      <c r="BG8" s="20">
        <f t="shared" si="7"/>
        <v>7.2518592604219156</v>
      </c>
      <c r="BH8" s="59">
        <f t="shared" si="8"/>
        <v>300.58519259375521</v>
      </c>
      <c r="BI8" s="59">
        <f ca="1">AVERAGE(OFFSET($BH$3,0,0,'Données projet'!$E$11+1,1))-AVERAGE(OFFSET($H$3,0,0,'Données projet'!$E$11+1,1))</f>
        <v>247.61330734992077</v>
      </c>
      <c r="BJ8" s="59">
        <f t="shared" si="38"/>
        <v>278.55937893537259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2.8859999999999997</v>
      </c>
      <c r="D9" s="11">
        <f t="shared" si="32"/>
        <v>1.1756279405869494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31.352917436109781</v>
      </c>
      <c r="H9" s="66">
        <f t="shared" si="1"/>
        <v>300.40733532985558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8.526315789473685</v>
      </c>
      <c r="N9" s="13">
        <f>IF('Données projet'!$A$36&gt;35,N8+M9-V8,IF(A9&lt;'Données projet'!$A$36,$K$205^A9,IF(A9='Données projet'!$A$36,'Données projet'!$B$36,N8+M9-V8)))</f>
        <v>4.9858772657326877</v>
      </c>
      <c r="O9" s="13">
        <f>N9*VLOOKUP('Données projet'!$B$9,Paramètres!$A$1:$I$89,3,0)*VLOOKUP('Données projet'!$B$9,Paramètres!$A$1:$I$89,5,0)</f>
        <v>2.7871053915445723</v>
      </c>
      <c r="P9" s="13">
        <f t="shared" si="33"/>
        <v>1.1399599707787778</v>
      </c>
      <c r="Q9" s="20">
        <f t="shared" si="2"/>
        <v>6.839638839379834</v>
      </c>
      <c r="R9" s="59">
        <f t="shared" si="0"/>
        <v>300.17297217271317</v>
      </c>
      <c r="S9" s="59">
        <f ca="1">AVERAGE(OFFSET($R$3,0,0,'Données projet'!$E$9+1,1))-AVERAGE(OFFSET($H$3,0,0,'Données projet'!$E$9+1,1))</f>
        <v>382.55387448074327</v>
      </c>
      <c r="T9" s="59">
        <f t="shared" si="34"/>
        <v>476.29465646955543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8.5833333333333339</v>
      </c>
      <c r="AI9" s="13">
        <f>IF('Données projet'!$A$62&gt;35,AI8+AH9-AQ8,IF(A9&lt;'Données projet'!$A$62,$AF$205^A9,IF(A9='Données projet'!$A$62,'Données projet'!$B$62,AI8+AH9-AQ8)))</f>
        <v>10.148891565092221</v>
      </c>
      <c r="AJ9" s="13">
        <f>AI9*VLOOKUP('Données projet'!$B$10,Paramètres!$A$1:$I$89,3,0)*VLOOKUP('Données projet'!$B$10,Paramètres!$A$1:$I$89,5,0)</f>
        <v>5.5412947945403523</v>
      </c>
      <c r="AK9" s="13">
        <f t="shared" si="35"/>
        <v>2.0922181719487822</v>
      </c>
      <c r="AL9" s="20">
        <f t="shared" si="4"/>
        <v>13.29503508330191</v>
      </c>
      <c r="AM9" s="59">
        <f t="shared" si="5"/>
        <v>306.62836841663523</v>
      </c>
      <c r="AN9" s="59">
        <f ca="1">AVERAGE(OFFSET($AM$3,0,0,'Données projet'!$E$10+1,1))-AVERAGE(OFFSET($H$3,0,0,'Données projet'!$E$10+1,1))</f>
        <v>417.99456559608217</v>
      </c>
      <c r="AO9" s="59">
        <f t="shared" si="36"/>
        <v>651.41353014863932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6.6</v>
      </c>
      <c r="BD9" s="12">
        <f>IF('Données projet'!$A$88&gt;35,BD8+BC9-BL8,IF(A9&lt;'Données projet'!$A$88,$BA$205^A9,IF(A9='Données projet'!$A$88,'Données projet'!$B$88,BD8+BC9-BL8)))</f>
        <v>4.32685338439601</v>
      </c>
      <c r="BE9" s="13">
        <f>BD9*VLOOKUP('Données projet'!$B$11,Paramètres!$A$1:$I$89,3,0)*VLOOKUP('Données projet'!$B$11,Paramètres!$A$1:$I$89,5,0)</f>
        <v>3.7799391166083551</v>
      </c>
      <c r="BF9" s="13">
        <f t="shared" si="37"/>
        <v>1.4921677118944865</v>
      </c>
      <c r="BG9" s="20">
        <f t="shared" si="7"/>
        <v>9.1822527263091143</v>
      </c>
      <c r="BH9" s="59">
        <f t="shared" si="8"/>
        <v>302.51558605964243</v>
      </c>
      <c r="BI9" s="59">
        <f ca="1">AVERAGE(OFFSET($BH$3,0,0,'Données projet'!$E$11+1,1))-AVERAGE(OFFSET($H$3,0,0,'Données projet'!$E$11+1,1))</f>
        <v>247.61330734992077</v>
      </c>
      <c r="BJ9" s="59">
        <f t="shared" si="38"/>
        <v>278.55937893537259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3.3669999999999995</v>
      </c>
      <c r="D10" s="11">
        <f t="shared" si="32"/>
        <v>1.3471752098029792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36.390124426549306</v>
      </c>
      <c r="H10" s="66">
        <f t="shared" si="1"/>
        <v>301.54385515707349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8.526315789473685</v>
      </c>
      <c r="N10" s="13">
        <f>IF('Données projet'!$A$36&gt;35,N9+M10-V9,IF(A10&lt;'Données projet'!$A$36,$K$205^A10,IF(A10='Données projet'!$A$36,'Données projet'!$B$36,N9+M10-V9)))</f>
        <v>6.5167618069644444</v>
      </c>
      <c r="O10" s="13">
        <f>N10*VLOOKUP('Données projet'!$B$9,Paramètres!$A$1:$I$89,3,0)*VLOOKUP('Données projet'!$B$9,Paramètres!$A$1:$I$89,5,0)</f>
        <v>3.6428698500931249</v>
      </c>
      <c r="P10" s="13">
        <f t="shared" si="33"/>
        <v>1.4442543315575544</v>
      </c>
      <c r="Q10" s="20">
        <f t="shared" si="2"/>
        <v>8.8600746163749324</v>
      </c>
      <c r="R10" s="59">
        <f t="shared" si="0"/>
        <v>302.19340794970827</v>
      </c>
      <c r="S10" s="59">
        <f ca="1">AVERAGE(OFFSET($R$3,0,0,'Données projet'!$E$9+1,1))-AVERAGE(OFFSET($H$3,0,0,'Données projet'!$E$9+1,1))</f>
        <v>382.55387448074327</v>
      </c>
      <c r="T10" s="59">
        <f t="shared" si="34"/>
        <v>476.29465646955543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8.5833333333333339</v>
      </c>
      <c r="AI10" s="13">
        <f>IF('Données projet'!$A$62&gt;35,AI9+AH10-AQ9,IF(A10&lt;'Données projet'!$A$62,$AF$205^A10,IF(A10='Données projet'!$A$62,'Données projet'!$B$62,AI9+AH10-AQ9)))</f>
        <v>14.933274481896314</v>
      </c>
      <c r="AJ10" s="13">
        <f>AI10*VLOOKUP('Données projet'!$B$10,Paramètres!$A$1:$I$89,3,0)*VLOOKUP('Données projet'!$B$10,Paramètres!$A$1:$I$89,5,0)</f>
        <v>8.1535678671153864</v>
      </c>
      <c r="AK10" s="13">
        <f t="shared" si="35"/>
        <v>2.9431939639473623</v>
      </c>
      <c r="AL10" s="20">
        <f t="shared" si="4"/>
        <v>19.326860189100952</v>
      </c>
      <c r="AM10" s="59">
        <f t="shared" si="5"/>
        <v>312.66019352243427</v>
      </c>
      <c r="AN10" s="59">
        <f ca="1">AVERAGE(OFFSET($AM$3,0,0,'Données projet'!$E$10+1,1))-AVERAGE(OFFSET($H$3,0,0,'Données projet'!$E$10+1,1))</f>
        <v>417.99456559608217</v>
      </c>
      <c r="AO10" s="59">
        <f t="shared" si="36"/>
        <v>651.41353014863932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6.6</v>
      </c>
      <c r="BD10" s="12">
        <f>IF('Données projet'!$A$88&gt;35,BD9+BC10-BL9,IF(A10&lt;'Données projet'!$A$88,$BA$205^A10,IF(A10='Données projet'!$A$88,'Données projet'!$B$88,BD9+BC10-BL9)))</f>
        <v>5.5233285287803451</v>
      </c>
      <c r="BE10" s="13">
        <f>BD10*VLOOKUP('Données projet'!$B$11,Paramètres!$A$1:$I$89,3,0)*VLOOKUP('Données projet'!$B$11,Paramètres!$A$1:$I$89,5,0)</f>
        <v>4.8251798027425101</v>
      </c>
      <c r="BF10" s="13">
        <f t="shared" si="37"/>
        <v>1.8514184811173284</v>
      </c>
      <c r="BG10" s="20">
        <f t="shared" si="7"/>
        <v>11.628408677722552</v>
      </c>
      <c r="BH10" s="59">
        <f t="shared" si="8"/>
        <v>304.96174201105589</v>
      </c>
      <c r="BI10" s="59">
        <f ca="1">AVERAGE(OFFSET($BH$3,0,0,'Données projet'!$E$11+1,1))-AVERAGE(OFFSET($H$3,0,0,'Données projet'!$E$11+1,1))</f>
        <v>247.61330734992077</v>
      </c>
      <c r="BJ10" s="59">
        <f t="shared" si="38"/>
        <v>278.55937893537259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3.8479999999999994</v>
      </c>
      <c r="D11" s="11">
        <f t="shared" si="32"/>
        <v>1.5158832942696652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41.40541490313425</v>
      </c>
      <c r="H11" s="66">
        <f t="shared" si="1"/>
        <v>302.675430070853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8.526315789473685</v>
      </c>
      <c r="N11" s="13">
        <f>IF('Données projet'!$A$36&gt;35,N10+M11-V10,IF(A11&lt;'Données projet'!$A$36,$K$205^A11,IF(A11='Données projet'!$A$36,'Données projet'!$B$36,N10+M11-V10)))</f>
        <v>8.5176955198213591</v>
      </c>
      <c r="O11" s="13">
        <f>N11*VLOOKUP('Données projet'!$B$9,Paramètres!$A$1:$I$89,3,0)*VLOOKUP('Données projet'!$B$9,Paramètres!$A$1:$I$89,5,0)</f>
        <v>4.7613917955801393</v>
      </c>
      <c r="P11" s="13">
        <f t="shared" si="33"/>
        <v>1.8297752795633417</v>
      </c>
      <c r="Q11" s="20">
        <f t="shared" si="2"/>
        <v>11.479615989208229</v>
      </c>
      <c r="R11" s="59">
        <f t="shared" si="0"/>
        <v>304.81294932254156</v>
      </c>
      <c r="S11" s="59">
        <f ca="1">AVERAGE(OFFSET($R$3,0,0,'Données projet'!$E$9+1,1))-AVERAGE(OFFSET($H$3,0,0,'Données projet'!$E$9+1,1))</f>
        <v>382.55387448074327</v>
      </c>
      <c r="T11" s="59">
        <f t="shared" si="34"/>
        <v>476.29465646955543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8.5833333333333339</v>
      </c>
      <c r="AI11" s="13">
        <f>IF('Données projet'!$A$62&gt;35,AI10+AH11-AQ10,IF(A11&lt;'Données projet'!$A$62,$AF$205^A11,IF(A11='Données projet'!$A$62,'Données projet'!$B$62,AI10+AH11-AQ10)))</f>
        <v>21.973107636570681</v>
      </c>
      <c r="AJ11" s="13">
        <f>AI11*VLOOKUP('Données projet'!$B$10,Paramètres!$A$1:$I$89,3,0)*VLOOKUP('Données projet'!$B$10,Paramètres!$A$1:$I$89,5,0)</f>
        <v>11.997316769567593</v>
      </c>
      <c r="AK11" s="13">
        <f t="shared" si="35"/>
        <v>4.1402903509568842</v>
      </c>
      <c r="AL11" s="20">
        <f t="shared" si="4"/>
        <v>28.106332401580133</v>
      </c>
      <c r="AM11" s="59">
        <f t="shared" si="5"/>
        <v>321.43966573491343</v>
      </c>
      <c r="AN11" s="59">
        <f ca="1">AVERAGE(OFFSET($AM$3,0,0,'Données projet'!$E$10+1,1))-AVERAGE(OFFSET($H$3,0,0,'Données projet'!$E$10+1,1))</f>
        <v>417.99456559608217</v>
      </c>
      <c r="AO11" s="59">
        <f t="shared" si="36"/>
        <v>651.41353014863932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6.6</v>
      </c>
      <c r="BD11" s="12">
        <f>IF('Données projet'!$A$88&gt;35,BD10+BC11-BL10,IF(A11&lt;'Données projet'!$A$88,$BA$205^A11,IF(A11='Données projet'!$A$88,'Données projet'!$B$88,BD10+BC11-BL10)))</f>
        <v>7.0506567536716718</v>
      </c>
      <c r="BE11" s="13">
        <f>BD11*VLOOKUP('Données projet'!$B$11,Paramètres!$A$1:$I$89,3,0)*VLOOKUP('Données projet'!$B$11,Paramètres!$A$1:$I$89,5,0)</f>
        <v>6.1594537400075735</v>
      </c>
      <c r="BF11" s="13">
        <f t="shared" si="37"/>
        <v>2.2971616158822084</v>
      </c>
      <c r="BG11" s="20">
        <f t="shared" si="7"/>
        <v>14.728605078174702</v>
      </c>
      <c r="BH11" s="59">
        <f t="shared" si="8"/>
        <v>308.06193841150804</v>
      </c>
      <c r="BI11" s="59">
        <f ca="1">AVERAGE(OFFSET($BH$3,0,0,'Données projet'!$E$11+1,1))-AVERAGE(OFFSET($H$3,0,0,'Données projet'!$E$11+1,1))</f>
        <v>247.61330734992077</v>
      </c>
      <c r="BJ11" s="59">
        <f t="shared" si="38"/>
        <v>278.55937893537259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4.3289999999999997</v>
      </c>
      <c r="D12" s="11">
        <f t="shared" si="32"/>
        <v>1.6821477371202938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46.401842181279456</v>
      </c>
      <c r="H12" s="66">
        <f t="shared" si="1"/>
        <v>303.80274897548452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8.526315789473685</v>
      </c>
      <c r="N12" s="13">
        <f>IF('Données projet'!$A$36&gt;35,N11+M12-V11,IF(A12&lt;'Données projet'!$A$36,$K$205^A12,IF(A12='Données projet'!$A$36,'Données projet'!$B$36,N11+M12-V11)))</f>
        <v>11.133004261541316</v>
      </c>
      <c r="O12" s="13">
        <f>N12*VLOOKUP('Données projet'!$B$9,Paramètres!$A$1:$I$89,3,0)*VLOOKUP('Données projet'!$B$9,Paramètres!$A$1:$I$89,5,0)</f>
        <v>6.2233493822015964</v>
      </c>
      <c r="P12" s="13">
        <f t="shared" si="33"/>
        <v>2.3182049730052579</v>
      </c>
      <c r="Q12" s="20">
        <f t="shared" si="2"/>
        <v>14.87654050198527</v>
      </c>
      <c r="R12" s="59">
        <f t="shared" si="0"/>
        <v>308.2098738353186</v>
      </c>
      <c r="S12" s="59">
        <f ca="1">AVERAGE(OFFSET($R$3,0,0,'Données projet'!$E$9+1,1))-AVERAGE(OFFSET($H$3,0,0,'Données projet'!$E$9+1,1))</f>
        <v>382.55387448074327</v>
      </c>
      <c r="T12" s="59">
        <f t="shared" si="34"/>
        <v>476.29465646955543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8.5833333333333339</v>
      </c>
      <c r="AI12" s="13">
        <f>IF('Données projet'!$A$62&gt;35,AI11+AH12-AQ11,IF(A12&lt;'Données projet'!$A$62,$AF$205^A12,IF(A12='Données projet'!$A$62,'Données projet'!$B$62,AI11+AH12-AQ11)))</f>
        <v>32.331653703522484</v>
      </c>
      <c r="AJ12" s="13">
        <f>AI12*VLOOKUP('Données projet'!$B$10,Paramètres!$A$1:$I$89,3,0)*VLOOKUP('Données projet'!$B$10,Paramètres!$A$1:$I$89,5,0)</f>
        <v>17.653082922123275</v>
      </c>
      <c r="AK12" s="13">
        <f t="shared" si="35"/>
        <v>5.8242862686617167</v>
      </c>
      <c r="AL12" s="20">
        <f t="shared" si="4"/>
        <v>40.889751340617188</v>
      </c>
      <c r="AM12" s="59">
        <f t="shared" si="5"/>
        <v>334.2230846739505</v>
      </c>
      <c r="AN12" s="59">
        <f ca="1">AVERAGE(OFFSET($AM$3,0,0,'Données projet'!$E$10+1,1))-AVERAGE(OFFSET($H$3,0,0,'Données projet'!$E$10+1,1))</f>
        <v>417.99456559608217</v>
      </c>
      <c r="AO12" s="59">
        <f t="shared" si="36"/>
        <v>651.41353014863932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6.6</v>
      </c>
      <c r="BD12" s="12">
        <f>IF('Données projet'!$A$88&gt;35,BD11+BC12-BL11,IF(A12&lt;'Données projet'!$A$88,$BA$205^A12,IF(A12='Données projet'!$A$88,'Données projet'!$B$88,BD11+BC12-BL11)))</f>
        <v>9.0003265963745314</v>
      </c>
      <c r="BE12" s="13">
        <f>BD12*VLOOKUP('Données projet'!$B$11,Paramètres!$A$1:$I$89,3,0)*VLOOKUP('Données projet'!$B$11,Paramètres!$A$1:$I$89,5,0)</f>
        <v>7.8626853145927917</v>
      </c>
      <c r="BF12" s="13">
        <f t="shared" si="37"/>
        <v>2.8502208135558442</v>
      </c>
      <c r="BG12" s="20">
        <f t="shared" si="7"/>
        <v>18.658311506525539</v>
      </c>
      <c r="BH12" s="59">
        <f t="shared" si="8"/>
        <v>311.99164483985885</v>
      </c>
      <c r="BI12" s="59">
        <f ca="1">AVERAGE(OFFSET($BH$3,0,0,'Données projet'!$E$11+1,1))-AVERAGE(OFFSET($H$3,0,0,'Données projet'!$E$11+1,1))</f>
        <v>247.61330734992077</v>
      </c>
      <c r="BJ12" s="59">
        <f t="shared" si="38"/>
        <v>278.55937893537259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4.8099999999999996</v>
      </c>
      <c r="D13" s="11">
        <f t="shared" si="32"/>
        <v>1.8462710264386484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51.381741256719387</v>
      </c>
      <c r="H13" s="66">
        <f t="shared" si="1"/>
        <v>304.92633870438061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8.526315789473685</v>
      </c>
      <c r="N13" s="13">
        <f>IF('Données projet'!$A$36&gt;35,N12+M13-V12,IF(A13&lt;'Données projet'!$A$36,$K$205^A13,IF(A13='Données projet'!$A$36,'Données projet'!$B$36,N12+M13-V12)))</f>
        <v>14.551328302246779</v>
      </c>
      <c r="O13" s="13">
        <f>N13*VLOOKUP('Données projet'!$B$9,Paramètres!$A$1:$I$89,3,0)*VLOOKUP('Données projet'!$B$9,Paramètres!$A$1:$I$89,5,0)</f>
        <v>8.1341925209559491</v>
      </c>
      <c r="P13" s="13">
        <f t="shared" si="33"/>
        <v>2.9370132807503975</v>
      </c>
      <c r="Q13" s="20">
        <f t="shared" si="2"/>
        <v>19.282350104638549</v>
      </c>
      <c r="R13" s="59">
        <f t="shared" si="0"/>
        <v>312.61568343797188</v>
      </c>
      <c r="S13" s="59">
        <f ca="1">AVERAGE(OFFSET($R$3,0,0,'Données projet'!$E$9+1,1))-AVERAGE(OFFSET($H$3,0,0,'Données projet'!$E$9+1,1))</f>
        <v>382.55387448074327</v>
      </c>
      <c r="T13" s="59">
        <f t="shared" si="34"/>
        <v>476.29465646955543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8.5833333333333339</v>
      </c>
      <c r="AI13" s="13">
        <f>IF('Données projet'!$A$62&gt;35,AI12+AH13-AQ12,IF(A13&lt;'Données projet'!$A$62,$AF$205^A13,IF(A13='Données projet'!$A$62,'Données projet'!$B$62,AI12+AH13-AQ12)))</f>
        <v>47.573417856685268</v>
      </c>
      <c r="AJ13" s="13">
        <f>AI13*VLOOKUP('Données projet'!$B$10,Paramètres!$A$1:$I$89,3,0)*VLOOKUP('Données projet'!$B$10,Paramètres!$A$1:$I$89,5,0)</f>
        <v>25.975086149750155</v>
      </c>
      <c r="AK13" s="13">
        <f t="shared" si="35"/>
        <v>8.1932202004821804</v>
      </c>
      <c r="AL13" s="20">
        <f t="shared" si="4"/>
        <v>59.509800226654647</v>
      </c>
      <c r="AM13" s="59">
        <f t="shared" si="5"/>
        <v>352.84313355998796</v>
      </c>
      <c r="AN13" s="59">
        <f ca="1">AVERAGE(OFFSET($AM$3,0,0,'Données projet'!$E$10+1,1))-AVERAGE(OFFSET($H$3,0,0,'Données projet'!$E$10+1,1))</f>
        <v>417.99456559608217</v>
      </c>
      <c r="AO13" s="59">
        <f t="shared" si="36"/>
        <v>651.41353014863932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6.6</v>
      </c>
      <c r="BD13" s="12">
        <f>IF('Données projet'!$A$88&gt;35,BD12+BC13-BL12,IF(A13&lt;'Données projet'!$A$88,$BA$205^A13,IF(A13='Données projet'!$A$88,'Données projet'!$B$88,BD12+BC13-BL12)))</f>
        <v>11.489125293076063</v>
      </c>
      <c r="BE13" s="13">
        <f>BD13*VLOOKUP('Données projet'!$B$11,Paramètres!$A$1:$I$89,3,0)*VLOOKUP('Données projet'!$B$11,Paramètres!$A$1:$I$89,5,0)</f>
        <v>10.036899856031249</v>
      </c>
      <c r="BF13" s="13">
        <f t="shared" si="37"/>
        <v>3.5364332356333024</v>
      </c>
      <c r="BG13" s="20">
        <f t="shared" si="7"/>
        <v>23.640221801315761</v>
      </c>
      <c r="BH13" s="59">
        <f t="shared" si="8"/>
        <v>316.97355513464908</v>
      </c>
      <c r="BI13" s="59">
        <f ca="1">AVERAGE(OFFSET($BH$3,0,0,'Données projet'!$E$11+1,1))-AVERAGE(OFFSET($H$3,0,0,'Données projet'!$E$11+1,1))</f>
        <v>247.61330734992077</v>
      </c>
      <c r="BJ13" s="59">
        <f t="shared" si="38"/>
        <v>278.55937893537259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5.2909999999999995</v>
      </c>
      <c r="D14" s="11">
        <f t="shared" si="32"/>
        <v>2.0084916518563651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56.346953102049135</v>
      </c>
      <c r="H14" s="66">
        <f t="shared" si="1"/>
        <v>306.04661462698317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8.526315789473685</v>
      </c>
      <c r="N14" s="13">
        <f>IF('Données projet'!$A$36&gt;35,N13+M14-V13,IF(A14&lt;'Données projet'!$A$36,$K$205^A14,IF(A14='Données projet'!$A$36,'Données projet'!$B$36,N13+M14-V13)))</f>
        <v>19.01922880701866</v>
      </c>
      <c r="O14" s="13">
        <f>N14*VLOOKUP('Données projet'!$B$9,Paramètres!$A$1:$I$89,3,0)*VLOOKUP('Données projet'!$B$9,Paramètres!$A$1:$I$89,5,0)</f>
        <v>10.631748903123432</v>
      </c>
      <c r="P14" s="13">
        <f t="shared" si="33"/>
        <v>3.7210027205323613</v>
      </c>
      <c r="Q14" s="20">
        <f t="shared" si="2"/>
        <v>24.997709077867171</v>
      </c>
      <c r="R14" s="59">
        <f t="shared" si="0"/>
        <v>318.33104241120049</v>
      </c>
      <c r="S14" s="59">
        <f ca="1">AVERAGE(OFFSET($R$3,0,0,'Données projet'!$E$9+1,1))-AVERAGE(OFFSET($H$3,0,0,'Données projet'!$E$9+1,1))</f>
        <v>382.55387448074327</v>
      </c>
      <c r="T14" s="59">
        <f t="shared" si="34"/>
        <v>476.29465646955543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8.5833333333333339</v>
      </c>
      <c r="AI14" s="13">
        <f>IF('Données projet'!$A$62&gt;35,AI13+AH14-AQ13,IF(A14&lt;'Données projet'!$A$62,$AF$205^A14,IF(A14='Données projet'!$A$62,'Données projet'!$B$62,AI13+AH14-AQ13)))</f>
        <v>70.000443136015818</v>
      </c>
      <c r="AJ14" s="13">
        <f>AI14*VLOOKUP('Données projet'!$B$10,Paramètres!$A$1:$I$89,3,0)*VLOOKUP('Données projet'!$B$10,Paramètres!$A$1:$I$89,5,0)</f>
        <v>38.220241952264637</v>
      </c>
      <c r="AK14" s="13">
        <f t="shared" si="35"/>
        <v>11.525679569492377</v>
      </c>
      <c r="AL14" s="20">
        <f t="shared" si="4"/>
        <v>86.640813317060122</v>
      </c>
      <c r="AM14" s="59">
        <f t="shared" si="5"/>
        <v>379.97414665039344</v>
      </c>
      <c r="AN14" s="59">
        <f ca="1">AVERAGE(OFFSET($AM$3,0,0,'Données projet'!$E$10+1,1))-AVERAGE(OFFSET($H$3,0,0,'Données projet'!$E$10+1,1))</f>
        <v>417.99456559608217</v>
      </c>
      <c r="AO14" s="59">
        <f t="shared" si="36"/>
        <v>651.41353014863932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6.6</v>
      </c>
      <c r="BD14" s="12">
        <f>IF('Données projet'!$A$88&gt;35,BD13+BC14-BL13,IF(A14&lt;'Données projet'!$A$88,$BA$205^A14,IF(A14='Données projet'!$A$88,'Données projet'!$B$88,BD13+BC14-BL13)))</f>
        <v>14.666134454850974</v>
      </c>
      <c r="BE14" s="13">
        <f>BD14*VLOOKUP('Données projet'!$B$11,Paramètres!$A$1:$I$89,3,0)*VLOOKUP('Données projet'!$B$11,Paramètres!$A$1:$I$89,5,0)</f>
        <v>12.812335059757812</v>
      </c>
      <c r="BF14" s="13">
        <f t="shared" si="37"/>
        <v>4.3878565375042955</v>
      </c>
      <c r="BG14" s="20">
        <f t="shared" si="7"/>
        <v>29.957000365231504</v>
      </c>
      <c r="BH14" s="59">
        <f t="shared" si="8"/>
        <v>323.29033369856484</v>
      </c>
      <c r="BI14" s="59">
        <f ca="1">AVERAGE(OFFSET($BH$3,0,0,'Données projet'!$E$11+1,1))-AVERAGE(OFFSET($H$3,0,0,'Données projet'!$E$11+1,1))</f>
        <v>247.61330734992077</v>
      </c>
      <c r="BJ14" s="59">
        <f t="shared" si="38"/>
        <v>278.55937893537259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5.7719999999999994</v>
      </c>
      <c r="D15" s="11">
        <f t="shared" si="32"/>
        <v>2.1690022541664664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61.2989647690043</v>
      </c>
      <c r="H15" s="66">
        <f t="shared" si="1"/>
        <v>307.1639122593399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8.526315789473685</v>
      </c>
      <c r="N15" s="13">
        <f>IF('Données projet'!$A$36&gt;35,N14+M15-V14,IF(A15&lt;'Données projet'!$A$36,$K$205^A15,IF(A15='Données projet'!$A$36,'Données projet'!$B$36,N14+M15-V14)))</f>
        <v>24.85897210895007</v>
      </c>
      <c r="O15" s="13">
        <f>N15*VLOOKUP('Données projet'!$B$9,Paramètres!$A$1:$I$89,3,0)*VLOOKUP('Données projet'!$B$9,Paramètres!$A$1:$I$89,5,0)</f>
        <v>13.896165408903089</v>
      </c>
      <c r="P15" s="13">
        <f t="shared" si="33"/>
        <v>4.7142657940830492</v>
      </c>
      <c r="Q15" s="20">
        <f t="shared" si="2"/>
        <v>32.413167678534187</v>
      </c>
      <c r="R15" s="59">
        <f t="shared" si="0"/>
        <v>325.74650101186751</v>
      </c>
      <c r="S15" s="59">
        <f ca="1">AVERAGE(OFFSET($R$3,0,0,'Données projet'!$E$9+1,1))-AVERAGE(OFFSET($H$3,0,0,'Données projet'!$E$9+1,1))</f>
        <v>382.55387448074327</v>
      </c>
      <c r="T15" s="59">
        <f t="shared" si="34"/>
        <v>476.29465646955543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>
        <f>VLOOKUP(A15,'Données projet'!$A$61:$I$81,2,0)</f>
        <v>103</v>
      </c>
      <c r="AG15" s="12">
        <f>VLOOKUP(A15,'Données projet'!$A$61:$I$81,9,0)</f>
        <v>8.5833333333333339</v>
      </c>
      <c r="AH15" s="12">
        <f t="array" ref="AH15">INDEX(AG:AG,MIN(IF(ISNUMBER(AG15:AG211),ROW(AG15:AG211),"")))</f>
        <v>8.5833333333333339</v>
      </c>
      <c r="AI15" s="13">
        <f>IF('Données projet'!$A$62&gt;35,AI14+AH15-AQ14,IF(A15&lt;'Données projet'!$A$62,$AF$205^A15,IF(A15='Données projet'!$A$62,'Données projet'!$B$62,AI14+AH15-AQ14)))</f>
        <v>103</v>
      </c>
      <c r="AJ15" s="13">
        <f>AI15*VLOOKUP('Données projet'!$B$10,Paramètres!$A$1:$I$89,3,0)*VLOOKUP('Données projet'!$B$10,Paramètres!$A$1:$I$89,5,0)</f>
        <v>56.238</v>
      </c>
      <c r="AK15" s="13">
        <f t="shared" si="35"/>
        <v>16.213562712594502</v>
      </c>
      <c r="AL15" s="20">
        <f t="shared" si="4"/>
        <v>126.18647172443542</v>
      </c>
      <c r="AM15" s="59">
        <f t="shared" si="5"/>
        <v>419.51980505776874</v>
      </c>
      <c r="AN15" s="59">
        <f ca="1">AVERAGE(OFFSET($AM$3,0,0,'Données projet'!$E$10+1,1))-AVERAGE(OFFSET($H$3,0,0,'Données projet'!$E$10+1,1))</f>
        <v>417.99456559608217</v>
      </c>
      <c r="AO15" s="59">
        <f t="shared" si="36"/>
        <v>651.41353014863932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6.6</v>
      </c>
      <c r="BD15" s="12">
        <f>IF('Données projet'!$A$88&gt;35,BD14+BC15-BL14,IF(A15&lt;'Données projet'!$A$88,$BA$205^A15,IF(A15='Données projet'!$A$88,'Données projet'!$B$88,BD14+BC15-BL14)))</f>
        <v>18.721660210059202</v>
      </c>
      <c r="BE15" s="13">
        <f>BD15*VLOOKUP('Données projet'!$B$11,Paramètres!$A$1:$I$89,3,0)*VLOOKUP('Données projet'!$B$11,Paramètres!$A$1:$I$89,5,0)</f>
        <v>16.35524235950772</v>
      </c>
      <c r="BF15" s="13">
        <f t="shared" si="37"/>
        <v>5.4442664998513175</v>
      </c>
      <c r="BG15" s="20">
        <f t="shared" si="7"/>
        <v>37.967477930050322</v>
      </c>
      <c r="BH15" s="59">
        <f t="shared" si="8"/>
        <v>331.30081126338365</v>
      </c>
      <c r="BI15" s="59">
        <f ca="1">AVERAGE(OFFSET($BH$3,0,0,'Données projet'!$E$11+1,1))-AVERAGE(OFFSET($H$3,0,0,'Données projet'!$E$11+1,1))</f>
        <v>247.61330734992077</v>
      </c>
      <c r="BJ15" s="59">
        <f t="shared" si="38"/>
        <v>278.55937893537259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6.2529999999999992</v>
      </c>
      <c r="D16" s="11">
        <f t="shared" si="32"/>
        <v>2.3279615364980017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66.239001334370542</v>
      </c>
      <c r="H16" s="66">
        <f t="shared" si="1"/>
        <v>308.27850800940064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8.526315789473685</v>
      </c>
      <c r="N16" s="13">
        <f>IF('Données projet'!$A$36&gt;35,N15+M16-V15,IF(A16&lt;'Données projet'!$A$36,$K$205^A16,IF(A16='Données projet'!$A$36,'Données projet'!$B$36,N15+M16-V15)))</f>
        <v>32.491774539539094</v>
      </c>
      <c r="O16" s="13">
        <f>N16*VLOOKUP('Données projet'!$B$9,Paramètres!$A$1:$I$89,3,0)*VLOOKUP('Données projet'!$B$9,Paramètres!$A$1:$I$89,5,0)</f>
        <v>18.162901967602355</v>
      </c>
      <c r="P16" s="13">
        <f t="shared" si="33"/>
        <v>5.9726648020514927</v>
      </c>
      <c r="Q16" s="20">
        <f t="shared" si="2"/>
        <v>42.036112123813787</v>
      </c>
      <c r="R16" s="59">
        <f t="shared" si="0"/>
        <v>335.36944545714709</v>
      </c>
      <c r="S16" s="59">
        <f ca="1">AVERAGE(OFFSET($R$3,0,0,'Données projet'!$E$9+1,1))-AVERAGE(OFFSET($H$3,0,0,'Données projet'!$E$9+1,1))</f>
        <v>382.55387448074327</v>
      </c>
      <c r="T16" s="59">
        <f t="shared" si="34"/>
        <v>476.29465646955543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26.5</v>
      </c>
      <c r="AI16" s="13">
        <f>IF('Données projet'!$A$62&gt;35,AI15+AH16-AQ15,IF(A16&lt;'Données projet'!$A$62,$AF$205^A16,IF(A16='Données projet'!$A$62,'Données projet'!$B$62,AI15+AH16-AQ15)))</f>
        <v>129.5</v>
      </c>
      <c r="AJ16" s="13">
        <f>AI16*VLOOKUP('Données projet'!$B$10,Paramètres!$A$1:$I$89,3,0)*VLOOKUP('Données projet'!$B$10,Paramètres!$A$1:$I$89,5,0)</f>
        <v>70.707000000000008</v>
      </c>
      <c r="AK16" s="13">
        <f t="shared" si="35"/>
        <v>19.848927769701511</v>
      </c>
      <c r="AL16" s="20">
        <f t="shared" si="4"/>
        <v>157.71824086556347</v>
      </c>
      <c r="AM16" s="59">
        <f t="shared" si="5"/>
        <v>451.05157419889679</v>
      </c>
      <c r="AN16" s="59">
        <f ca="1">AVERAGE(OFFSET($AM$3,0,0,'Données projet'!$E$10+1,1))-AVERAGE(OFFSET($H$3,0,0,'Données projet'!$E$10+1,1))</f>
        <v>417.99456559608217</v>
      </c>
      <c r="AO16" s="59">
        <f t="shared" si="36"/>
        <v>651.41353014863932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6.6</v>
      </c>
      <c r="BD16" s="12">
        <f>IF('Données projet'!$A$88&gt;35,BD15+BC16-BL15,IF(A16&lt;'Données projet'!$A$88,$BA$205^A16,IF(A16='Données projet'!$A$88,'Données projet'!$B$88,BD15+BC16-BL15)))</f>
        <v>23.89863273788427</v>
      </c>
      <c r="BE16" s="13">
        <f>BD16*VLOOKUP('Données projet'!$B$11,Paramètres!$A$1:$I$89,3,0)*VLOOKUP('Données projet'!$B$11,Paramètres!$A$1:$I$89,5,0)</f>
        <v>20.8778455598157</v>
      </c>
      <c r="BF16" s="13">
        <f t="shared" si="37"/>
        <v>6.7550152262411558</v>
      </c>
      <c r="BG16" s="20">
        <f t="shared" si="7"/>
        <v>48.127232535715684</v>
      </c>
      <c r="BH16" s="59">
        <f t="shared" si="8"/>
        <v>341.46056586904899</v>
      </c>
      <c r="BI16" s="59">
        <f ca="1">AVERAGE(OFFSET($BH$3,0,0,'Données projet'!$E$11+1,1))-AVERAGE(OFFSET($H$3,0,0,'Données projet'!$E$11+1,1))</f>
        <v>247.61330734992077</v>
      </c>
      <c r="BJ16" s="59">
        <f t="shared" si="38"/>
        <v>278.55937893537259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6.7339999999999991</v>
      </c>
      <c r="D17" s="11">
        <f t="shared" si="32"/>
        <v>2.4855023991357164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71.168088695082716</v>
      </c>
      <c r="H17" s="66">
        <f t="shared" si="1"/>
        <v>309.39063334516135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8.526315789473685</v>
      </c>
      <c r="N17" s="13">
        <f>IF('Données projet'!$A$36&gt;35,N16+M17-V16,IF(A17&lt;'Données projet'!$A$36,$K$205^A17,IF(A17='Données projet'!$A$36,'Données projet'!$B$36,N16+M17-V16)))</f>
        <v>42.468184448710481</v>
      </c>
      <c r="O17" s="13">
        <f>N17*VLOOKUP('Données projet'!$B$9,Paramètres!$A$1:$I$89,3,0)*VLOOKUP('Données projet'!$B$9,Paramètres!$A$1:$I$89,5,0)</f>
        <v>23.739715106829159</v>
      </c>
      <c r="P17" s="13">
        <f t="shared" si="33"/>
        <v>7.5669736064602473</v>
      </c>
      <c r="Q17" s="20">
        <f t="shared" si="2"/>
        <v>54.525816175645708</v>
      </c>
      <c r="R17" s="59">
        <f t="shared" si="0"/>
        <v>347.85914950897904</v>
      </c>
      <c r="S17" s="59">
        <f ca="1">AVERAGE(OFFSET($R$3,0,0,'Données projet'!$E$9+1,1))-AVERAGE(OFFSET($H$3,0,0,'Données projet'!$E$9+1,1))</f>
        <v>382.55387448074327</v>
      </c>
      <c r="T17" s="59">
        <f t="shared" si="34"/>
        <v>476.29465646955543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26.5</v>
      </c>
      <c r="AI17" s="13">
        <f>IF('Données projet'!$A$62&gt;35,AI16+AH17-AQ16,IF(A17&lt;'Données projet'!$A$62,$AF$205^A17,IF(A17='Données projet'!$A$62,'Données projet'!$B$62,AI16+AH17-AQ16)))</f>
        <v>156</v>
      </c>
      <c r="AJ17" s="13">
        <f>AI17*VLOOKUP('Données projet'!$B$10,Paramètres!$A$1:$I$89,3,0)*VLOOKUP('Données projet'!$B$10,Paramètres!$A$1:$I$89,5,0)</f>
        <v>85.176000000000002</v>
      </c>
      <c r="AK17" s="13">
        <f t="shared" si="35"/>
        <v>23.398088487656441</v>
      </c>
      <c r="AL17" s="20">
        <f t="shared" si="4"/>
        <v>189.09987078266829</v>
      </c>
      <c r="AM17" s="59">
        <f t="shared" si="5"/>
        <v>482.4332041160016</v>
      </c>
      <c r="AN17" s="59">
        <f ca="1">AVERAGE(OFFSET($AM$3,0,0,'Données projet'!$E$10+1,1))-AVERAGE(OFFSET($H$3,0,0,'Données projet'!$E$10+1,1))</f>
        <v>417.99456559608217</v>
      </c>
      <c r="AO17" s="59">
        <f t="shared" si="36"/>
        <v>651.41353014863932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6.6</v>
      </c>
      <c r="BD17" s="12">
        <f>IF('Données projet'!$A$88&gt;35,BD16+BC17-BL16,IF(A17&lt;'Données projet'!$A$88,$BA$205^A17,IF(A17='Données projet'!$A$88,'Données projet'!$B$88,BD16+BC17-BL16)))</f>
        <v>30.50715803683886</v>
      </c>
      <c r="BE17" s="13">
        <f>BD17*VLOOKUP('Données projet'!$B$11,Paramètres!$A$1:$I$89,3,0)*VLOOKUP('Données projet'!$B$11,Paramètres!$A$1:$I$89,5,0)</f>
        <v>26.651053260982433</v>
      </c>
      <c r="BF17" s="13">
        <f t="shared" si="37"/>
        <v>8.3813367159737684</v>
      </c>
      <c r="BG17" s="20">
        <f t="shared" si="7"/>
        <v>61.014745876532061</v>
      </c>
      <c r="BH17" s="59">
        <f t="shared" si="8"/>
        <v>354.34807920986538</v>
      </c>
      <c r="BI17" s="59">
        <f ca="1">AVERAGE(OFFSET($BH$3,0,0,'Données projet'!$E$11+1,1))-AVERAGE(OFFSET($H$3,0,0,'Données projet'!$E$11+1,1))</f>
        <v>247.61330734992077</v>
      </c>
      <c r="BJ17" s="59">
        <f t="shared" si="38"/>
        <v>278.55937893537259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7.214999999999999</v>
      </c>
      <c r="D18" s="11">
        <f t="shared" si="32"/>
        <v>2.6417376807869739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76.087097886776633</v>
      </c>
      <c r="H18" s="66">
        <f t="shared" si="1"/>
        <v>310.50048479403728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8.526315789473685</v>
      </c>
      <c r="N18" s="13">
        <f>IF('Données projet'!$A$36&gt;35,N17+M18-V17,IF(A18&lt;'Données projet'!$A$36,$K$205^A18,IF(A18='Données projet'!$A$36,'Données projet'!$B$36,N17+M18-V17)))</f>
        <v>55.507792846923991</v>
      </c>
      <c r="O18" s="13">
        <f>N18*VLOOKUP('Données projet'!$B$9,Paramètres!$A$1:$I$89,3,0)*VLOOKUP('Données projet'!$B$9,Paramètres!$A$1:$I$89,5,0)</f>
        <v>31.028856201430514</v>
      </c>
      <c r="P18" s="13">
        <f t="shared" si="33"/>
        <v>9.5868580371693835</v>
      </c>
      <c r="Q18" s="20">
        <f t="shared" si="2"/>
        <v>70.739035632228152</v>
      </c>
      <c r="R18" s="59">
        <f t="shared" si="0"/>
        <v>364.07236896556145</v>
      </c>
      <c r="S18" s="59">
        <f ca="1">AVERAGE(OFFSET($R$3,0,0,'Données projet'!$E$9+1,1))-AVERAGE(OFFSET($H$3,0,0,'Données projet'!$E$9+1,1))</f>
        <v>382.55387448074327</v>
      </c>
      <c r="T18" s="59">
        <f t="shared" si="34"/>
        <v>476.29465646955543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26.5</v>
      </c>
      <c r="AI18" s="13">
        <f>IF('Données projet'!$A$62&gt;35,AI17+AH18-AQ17,IF(A18&lt;'Données projet'!$A$62,$AF$205^A18,IF(A18='Données projet'!$A$62,'Données projet'!$B$62,AI17+AH18-AQ17)))</f>
        <v>182.5</v>
      </c>
      <c r="AJ18" s="13">
        <f>AI18*VLOOKUP('Données projet'!$B$10,Paramètres!$A$1:$I$89,3,0)*VLOOKUP('Données projet'!$B$10,Paramètres!$A$1:$I$89,5,0)</f>
        <v>99.644999999999996</v>
      </c>
      <c r="AK18" s="13">
        <f t="shared" si="35"/>
        <v>26.877406196749529</v>
      </c>
      <c r="AL18" s="20">
        <f t="shared" si="4"/>
        <v>220.35985745933877</v>
      </c>
      <c r="AM18" s="59">
        <f t="shared" si="5"/>
        <v>513.69319079267211</v>
      </c>
      <c r="AN18" s="59">
        <f ca="1">AVERAGE(OFFSET($AM$3,0,0,'Données projet'!$E$10+1,1))-AVERAGE(OFFSET($H$3,0,0,'Données projet'!$E$10+1,1))</f>
        <v>417.99456559608217</v>
      </c>
      <c r="AO18" s="59">
        <f t="shared" si="36"/>
        <v>651.41353014863932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6.6</v>
      </c>
      <c r="BD18" s="12">
        <f>IF('Données projet'!$A$88&gt;35,BD17+BC18-BL17,IF(A18&lt;'Données projet'!$A$88,$BA$205^A18,IF(A18='Données projet'!$A$88,'Données projet'!$B$88,BD17+BC18-BL17)))</f>
        <v>38.943093594192561</v>
      </c>
      <c r="BE18" s="13">
        <f>BD18*VLOOKUP('Données projet'!$B$11,Paramètres!$A$1:$I$89,3,0)*VLOOKUP('Données projet'!$B$11,Paramètres!$A$1:$I$89,5,0)</f>
        <v>34.02068656388662</v>
      </c>
      <c r="BF18" s="13">
        <f t="shared" si="37"/>
        <v>10.399207521197393</v>
      </c>
      <c r="BG18" s="20">
        <f t="shared" si="7"/>
        <v>77.364648864854644</v>
      </c>
      <c r="BH18" s="59">
        <f t="shared" si="8"/>
        <v>370.69798219818796</v>
      </c>
      <c r="BI18" s="59">
        <f ca="1">AVERAGE(OFFSET($BH$3,0,0,'Données projet'!$E$11+1,1))-AVERAGE(OFFSET($H$3,0,0,'Données projet'!$E$11+1,1))</f>
        <v>247.61330734992077</v>
      </c>
      <c r="BJ18" s="59">
        <f t="shared" si="38"/>
        <v>278.55937893537259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7.6959999999999988</v>
      </c>
      <c r="D19" s="11">
        <f t="shared" si="32"/>
        <v>2.7967643238239419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80.996777236535692</v>
      </c>
      <c r="H19" s="66">
        <f t="shared" si="1"/>
        <v>311.60823119732669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8.526315789473685</v>
      </c>
      <c r="N19" s="13">
        <f>IF('Données projet'!$A$36&gt;35,N18+M19-V18,IF(A19&lt;'Données projet'!$A$36,$K$205^A19,IF(A19='Données projet'!$A$36,'Données projet'!$B$36,N18+M19-V18)))</f>
        <v>72.551136968384853</v>
      </c>
      <c r="O19" s="13">
        <f>N19*VLOOKUP('Données projet'!$B$9,Paramètres!$A$1:$I$89,3,0)*VLOOKUP('Données projet'!$B$9,Paramètres!$A$1:$I$89,5,0)</f>
        <v>40.55608556532713</v>
      </c>
      <c r="P19" s="13">
        <f t="shared" si="33"/>
        <v>12.145918805157919</v>
      </c>
      <c r="Q19" s="20">
        <f t="shared" si="2"/>
        <v>91.78932427859479</v>
      </c>
      <c r="R19" s="59">
        <f t="shared" si="0"/>
        <v>385.1226576119281</v>
      </c>
      <c r="S19" s="59">
        <f ca="1">AVERAGE(OFFSET($R$3,0,0,'Données projet'!$E$9+1,1))-AVERAGE(OFFSET($H$3,0,0,'Données projet'!$E$9+1,1))</f>
        <v>382.55387448074327</v>
      </c>
      <c r="T19" s="59">
        <f t="shared" si="34"/>
        <v>476.29465646955543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26.5</v>
      </c>
      <c r="AI19" s="13">
        <f>IF('Données projet'!$A$62&gt;35,AI18+AH19-AQ18,IF(A19&lt;'Données projet'!$A$62,$AF$205^A19,IF(A19='Données projet'!$A$62,'Données projet'!$B$62,AI18+AH19-AQ18)))</f>
        <v>209</v>
      </c>
      <c r="AJ19" s="13">
        <f>AI19*VLOOKUP('Données projet'!$B$10,Paramètres!$A$1:$I$89,3,0)*VLOOKUP('Données projet'!$B$10,Paramètres!$A$1:$I$89,5,0)</f>
        <v>114.114</v>
      </c>
      <c r="AK19" s="13">
        <f t="shared" si="35"/>
        <v>30.2981940217283</v>
      </c>
      <c r="AL19" s="20">
        <f t="shared" si="4"/>
        <v>251.51790458784345</v>
      </c>
      <c r="AM19" s="59">
        <f t="shared" si="5"/>
        <v>544.85123792117679</v>
      </c>
      <c r="AN19" s="59">
        <f ca="1">AVERAGE(OFFSET($AM$3,0,0,'Données projet'!$E$10+1,1))-AVERAGE(OFFSET($H$3,0,0,'Données projet'!$E$10+1,1))</f>
        <v>417.99456559608217</v>
      </c>
      <c r="AO19" s="59">
        <f t="shared" si="36"/>
        <v>651.41353014863932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6.6</v>
      </c>
      <c r="BD19" s="12">
        <f>IF('Données projet'!$A$88&gt;35,BD18+BC19-BL18,IF(A19&lt;'Données projet'!$A$88,$BA$205^A19,IF(A19='Données projet'!$A$88,'Données projet'!$B$88,BD18+BC19-BL18)))</f>
        <v>49.711760658095955</v>
      </c>
      <c r="BE19" s="13">
        <f>BD19*VLOOKUP('Données projet'!$B$11,Paramètres!$A$1:$I$89,3,0)*VLOOKUP('Données projet'!$B$11,Paramètres!$A$1:$I$89,5,0)</f>
        <v>43.428194110912635</v>
      </c>
      <c r="BF19" s="13">
        <f t="shared" si="37"/>
        <v>12.902896129065022</v>
      </c>
      <c r="BG19" s="20">
        <f t="shared" si="7"/>
        <v>98.109982167961064</v>
      </c>
      <c r="BH19" s="59">
        <f t="shared" si="8"/>
        <v>391.44331550129436</v>
      </c>
      <c r="BI19" s="59">
        <f ca="1">AVERAGE(OFFSET($BH$3,0,0,'Données projet'!$E$11+1,1))-AVERAGE(OFFSET($H$3,0,0,'Données projet'!$E$11+1,1))</f>
        <v>247.61330734992077</v>
      </c>
      <c r="BJ19" s="59">
        <f t="shared" si="38"/>
        <v>278.55937893537259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8.1769999999999996</v>
      </c>
      <c r="D20" s="11">
        <f t="shared" si="32"/>
        <v>2.9506664679221988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85.897776243609954</v>
      </c>
      <c r="H20" s="66">
        <f t="shared" si="1"/>
        <v>312.7140190982978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8.526315789473685</v>
      </c>
      <c r="N20" s="13">
        <f>IF('Données projet'!$A$36&gt;35,N19+M20-V19,IF(A20&lt;'Données projet'!$A$36,$K$205^A20,IF(A20='Données projet'!$A$36,'Données projet'!$B$36,N19+M20-V19)))</f>
        <v>94.827540520682575</v>
      </c>
      <c r="O20" s="13">
        <f>N20*VLOOKUP('Données projet'!$B$9,Paramètres!$A$1:$I$89,3,0)*VLOOKUP('Données projet'!$B$9,Paramètres!$A$1:$I$89,5,0)</f>
        <v>53.008595151061563</v>
      </c>
      <c r="P20" s="13">
        <f t="shared" si="33"/>
        <v>15.388080542084102</v>
      </c>
      <c r="Q20" s="20">
        <f t="shared" si="2"/>
        <v>119.12421016556203</v>
      </c>
      <c r="R20" s="59">
        <f t="shared" si="0"/>
        <v>412.45754349889535</v>
      </c>
      <c r="S20" s="59">
        <f ca="1">AVERAGE(OFFSET($R$3,0,0,'Données projet'!$E$9+1,1))-AVERAGE(OFFSET($H$3,0,0,'Données projet'!$E$9+1,1))</f>
        <v>382.55387448074327</v>
      </c>
      <c r="T20" s="59">
        <f t="shared" si="34"/>
        <v>476.29465646955543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26.5</v>
      </c>
      <c r="AI20" s="13">
        <f>IF('Données projet'!$A$62&gt;35,AI19+AH20-AQ19,IF(A20&lt;'Données projet'!$A$62,$AF$205^A20,IF(A20='Données projet'!$A$62,'Données projet'!$B$62,AI19+AH20-AQ19)))</f>
        <v>235.5</v>
      </c>
      <c r="AJ20" s="13">
        <f>AI20*VLOOKUP('Données projet'!$B$10,Paramètres!$A$1:$I$89,3,0)*VLOOKUP('Données projet'!$B$10,Paramètres!$A$1:$I$89,5,0)</f>
        <v>128.583</v>
      </c>
      <c r="AK20" s="13">
        <f t="shared" si="35"/>
        <v>33.6687236758629</v>
      </c>
      <c r="AL20" s="20">
        <f t="shared" si="4"/>
        <v>282.58841873546118</v>
      </c>
      <c r="AM20" s="59">
        <f t="shared" si="5"/>
        <v>575.92175206879449</v>
      </c>
      <c r="AN20" s="59">
        <f ca="1">AVERAGE(OFFSET($AM$3,0,0,'Données projet'!$E$10+1,1))-AVERAGE(OFFSET($H$3,0,0,'Données projet'!$E$10+1,1))</f>
        <v>417.99456559608217</v>
      </c>
      <c r="AO20" s="59">
        <f t="shared" si="36"/>
        <v>651.41353014863932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6.6</v>
      </c>
      <c r="BD20" s="12">
        <f>IF('Données projet'!$A$88&gt;35,BD19+BC20-BL19,IF(A20&lt;'Données projet'!$A$88,$BA$205^A20,IF(A20='Données projet'!$A$88,'Données projet'!$B$88,BD19+BC20-BL19)))</f>
        <v>63.458213501978861</v>
      </c>
      <c r="BE20" s="13">
        <f>BD20*VLOOKUP('Données projet'!$B$11,Paramètres!$A$1:$I$89,3,0)*VLOOKUP('Données projet'!$B$11,Paramètres!$A$1:$I$89,5,0)</f>
        <v>55.437095315328747</v>
      </c>
      <c r="BF20" s="13">
        <f t="shared" si="37"/>
        <v>16.009366884744278</v>
      </c>
      <c r="BG20" s="20">
        <f t="shared" si="7"/>
        <v>124.4359216651272</v>
      </c>
      <c r="BH20" s="59">
        <f t="shared" si="8"/>
        <v>417.7692549984605</v>
      </c>
      <c r="BI20" s="59">
        <f ca="1">AVERAGE(OFFSET($BH$3,0,0,'Données projet'!$E$11+1,1))-AVERAGE(OFFSET($H$3,0,0,'Données projet'!$E$11+1,1))</f>
        <v>247.61330734992077</v>
      </c>
      <c r="BJ20" s="59">
        <f t="shared" si="38"/>
        <v>278.55937893537259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8.6579999999999995</v>
      </c>
      <c r="D21" s="11">
        <f t="shared" si="32"/>
        <v>3.1035177947823605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90.790663679021733</v>
      </c>
      <c r="H21" s="66">
        <f t="shared" si="1"/>
        <v>313.81797682591258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8.526315789473685</v>
      </c>
      <c r="N21" s="13">
        <f>IF('Données projet'!$A$36&gt;35,N20+M21-V20,IF(A21&lt;'Données projet'!$A$36,$K$205^A21,IF(A21='Données projet'!$A$36,'Données projet'!$B$36,N20+M21-V20)))</f>
        <v>123.94378388749713</v>
      </c>
      <c r="O21" s="13">
        <f>N21*VLOOKUP('Données projet'!$B$9,Paramètres!$A$1:$I$89,3,0)*VLOOKUP('Données projet'!$B$9,Paramètres!$A$1:$I$89,5,0)</f>
        <v>69.284575193110896</v>
      </c>
      <c r="P21" s="13">
        <f t="shared" si="33"/>
        <v>19.495686293334202</v>
      </c>
      <c r="Q21" s="20">
        <f t="shared" si="2"/>
        <v>154.62562208889187</v>
      </c>
      <c r="R21" s="59">
        <f t="shared" si="0"/>
        <v>447.95895542222519</v>
      </c>
      <c r="S21" s="59">
        <f ca="1">AVERAGE(OFFSET($R$3,0,0,'Données projet'!$E$9+1,1))-AVERAGE(OFFSET($H$3,0,0,'Données projet'!$E$9+1,1))</f>
        <v>382.55387448074327</v>
      </c>
      <c r="T21" s="59">
        <f t="shared" si="34"/>
        <v>476.29465646955543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>
        <f>VLOOKUP(A21,'Données projet'!$A$61:$I$81,2,0)</f>
        <v>262</v>
      </c>
      <c r="AG21" s="12">
        <f>VLOOKUP(A21,'Données projet'!$A$61:$I$81,9,0)</f>
        <v>26.5</v>
      </c>
      <c r="AH21" s="12">
        <f t="array" ref="AH21">INDEX(AG:AG,MIN(IF(ISNUMBER(AG21:AG217),ROW(AG21:AG217),"")))</f>
        <v>26.5</v>
      </c>
      <c r="AI21" s="13">
        <f>IF('Données projet'!$A$62&gt;35,AI20+AH21-AQ20,IF(A21&lt;'Données projet'!$A$62,$AF$205^A21,IF(A21='Données projet'!$A$62,'Données projet'!$B$62,AI20+AH21-AQ20)))</f>
        <v>262</v>
      </c>
      <c r="AJ21" s="13">
        <f>AI21*VLOOKUP('Données projet'!$B$10,Paramètres!$A$1:$I$89,3,0)*VLOOKUP('Données projet'!$B$10,Paramètres!$A$1:$I$89,5,0)</f>
        <v>143.05199999999999</v>
      </c>
      <c r="AK21" s="13">
        <f t="shared" si="35"/>
        <v>36.995295872593921</v>
      </c>
      <c r="AL21" s="20">
        <f t="shared" si="4"/>
        <v>313.5823736447677</v>
      </c>
      <c r="AM21" s="59">
        <f t="shared" si="5"/>
        <v>606.91570697810107</v>
      </c>
      <c r="AN21" s="59">
        <f ca="1">AVERAGE(OFFSET($AM$3,0,0,'Données projet'!$E$10+1,1))-AVERAGE(OFFSET($H$3,0,0,'Données projet'!$E$10+1,1))</f>
        <v>417.99456559608217</v>
      </c>
      <c r="AO21" s="59">
        <f t="shared" si="36"/>
        <v>651.41353014863932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6.6</v>
      </c>
      <c r="BD21" s="12">
        <f>IF('Données projet'!$A$88&gt;35,BD20+BC21-BL20,IF(A21&lt;'Données projet'!$A$88,$BA$205^A21,IF(A21='Données projet'!$A$88,'Données projet'!$B$88,BD20+BC21-BL20)))</f>
        <v>81.005878841406769</v>
      </c>
      <c r="BE21" s="13">
        <f>BD21*VLOOKUP('Données projet'!$B$11,Paramètres!$A$1:$I$89,3,0)*VLOOKUP('Données projet'!$B$11,Paramètres!$A$1:$I$89,5,0)</f>
        <v>70.766735755852963</v>
      </c>
      <c r="BF21" s="13">
        <f t="shared" si="37"/>
        <v>19.863744192515547</v>
      </c>
      <c r="BG21" s="20">
        <f t="shared" si="7"/>
        <v>157.84808591007513</v>
      </c>
      <c r="BH21" s="59">
        <f t="shared" si="8"/>
        <v>451.18141924340841</v>
      </c>
      <c r="BI21" s="59">
        <f ca="1">AVERAGE(OFFSET($BH$3,0,0,'Données projet'!$E$11+1,1))-AVERAGE(OFFSET($H$3,0,0,'Données projet'!$E$11+1,1))</f>
        <v>247.61330734992077</v>
      </c>
      <c r="BJ21" s="59">
        <f t="shared" si="38"/>
        <v>278.55937893537259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9.1389999999999993</v>
      </c>
      <c r="D22" s="11">
        <f t="shared" si="32"/>
        <v>3.2553833368644418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95.675941547725515</v>
      </c>
      <c r="H22" s="66">
        <f t="shared" si="1"/>
        <v>314.92021764503886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162</v>
      </c>
      <c r="L22" s="12">
        <f>VLOOKUP(A22,'Données projet'!$A$35:$I$55,9,0)</f>
        <v>8.526315789473685</v>
      </c>
      <c r="M22" s="12">
        <f t="array" ref="M22">INDEX(L:L,MIN(IF(ISNUMBER(L22:L218),ROW(L22:L218),"")))</f>
        <v>8.526315789473685</v>
      </c>
      <c r="N22" s="13">
        <f>IF('Données projet'!$A$36&gt;35,N21+M22-V21,IF(A22&lt;'Données projet'!$A$36,$K$205^A22,IF(A22='Données projet'!$A$36,'Données projet'!$B$36,N21+M22-V21)))</f>
        <v>162</v>
      </c>
      <c r="O22" s="13">
        <f>N22*VLOOKUP('Données projet'!$B$9,Paramètres!$A$1:$I$89,3,0)*VLOOKUP('Données projet'!$B$9,Paramètres!$A$1:$I$89,5,0)</f>
        <v>90.557999999999993</v>
      </c>
      <c r="P22" s="13">
        <f t="shared" si="33"/>
        <v>24.699752708509138</v>
      </c>
      <c r="Q22" s="20">
        <f t="shared" si="2"/>
        <v>200.74058596732007</v>
      </c>
      <c r="R22" s="59">
        <f t="shared" si="0"/>
        <v>494.07391930065342</v>
      </c>
      <c r="S22" s="59">
        <f ca="1">AVERAGE(OFFSET($R$3,0,0,'Données projet'!$E$9+1,1))-AVERAGE(OFFSET($H$3,0,0,'Données projet'!$E$9+1,1))</f>
        <v>382.55387448074327</v>
      </c>
      <c r="T22" s="59">
        <f t="shared" si="34"/>
        <v>476.29465646955543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1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26.833333333333332</v>
      </c>
      <c r="AI22" s="13">
        <f>IF('Données projet'!$A$62&gt;35,AI21+AH22-AQ21,IF(A22&lt;'Données projet'!$A$62,$AF$205^A22,IF(A22='Données projet'!$A$62,'Données projet'!$B$62,AI21+AH22-AQ21)))</f>
        <v>288.83333333333331</v>
      </c>
      <c r="AJ22" s="13">
        <f>AI22*VLOOKUP('Données projet'!$B$10,Paramètres!$A$1:$I$89,3,0)*VLOOKUP('Données projet'!$B$10,Paramètres!$A$1:$I$89,5,0)</f>
        <v>157.703</v>
      </c>
      <c r="AK22" s="13">
        <f t="shared" si="35"/>
        <v>40.32398542895293</v>
      </c>
      <c r="AL22" s="20">
        <f t="shared" si="4"/>
        <v>344.89699962209301</v>
      </c>
      <c r="AM22" s="59">
        <f t="shared" si="5"/>
        <v>638.23033295542632</v>
      </c>
      <c r="AN22" s="59">
        <f ca="1">AVERAGE(OFFSET($AM$3,0,0,'Données projet'!$E$10+1,1))-AVERAGE(OFFSET($H$3,0,0,'Données projet'!$E$10+1,1))</f>
        <v>417.99456559608217</v>
      </c>
      <c r="AO22" s="59">
        <f t="shared" si="36"/>
        <v>651.41353014863932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6.6</v>
      </c>
      <c r="BD22" s="12">
        <f>IF('Données projet'!$A$88&gt;35,BD21+BC22-BL21,IF(A22&lt;'Données projet'!$A$88,$BA$205^A22,IF(A22='Données projet'!$A$88,'Données projet'!$B$88,BD21+BC22-BL21)))</f>
        <v>103.40587994435182</v>
      </c>
      <c r="BE22" s="13">
        <f>BD22*VLOOKUP('Données projet'!$B$11,Paramètres!$A$1:$I$89,3,0)*VLOOKUP('Données projet'!$B$11,Paramètres!$A$1:$I$89,5,0)</f>
        <v>90.335376719385764</v>
      </c>
      <c r="BF22" s="13">
        <f t="shared" si="37"/>
        <v>24.646092265003244</v>
      </c>
      <c r="BG22" s="20">
        <f t="shared" si="7"/>
        <v>200.25939181447754</v>
      </c>
      <c r="BH22" s="59">
        <f t="shared" si="8"/>
        <v>493.59272514781082</v>
      </c>
      <c r="BI22" s="59">
        <f ca="1">AVERAGE(OFFSET($BH$3,0,0,'Données projet'!$E$11+1,1))-AVERAGE(OFFSET($H$3,0,0,'Données projet'!$E$11+1,1))</f>
        <v>247.61330734992077</v>
      </c>
      <c r="BJ22" s="59">
        <f t="shared" si="38"/>
        <v>278.55937893537259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9.6199999999999992</v>
      </c>
      <c r="D23" s="11">
        <f t="shared" si="32"/>
        <v>3.4063208944730636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100.55405602751136</v>
      </c>
      <c r="H23" s="66">
        <f t="shared" si="1"/>
        <v>316.02084222454056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28.833333333333332</v>
      </c>
      <c r="N23" s="13">
        <f>IF('Données projet'!$A$36&gt;35,N22+M23-V22,IF(A23&lt;'Données projet'!$A$36,$K$205^A23,IF(A23='Données projet'!$A$36,'Données projet'!$B$36,N22+M23-V22)))</f>
        <v>190.83333333333334</v>
      </c>
      <c r="O23" s="13">
        <f>N23*VLOOKUP('Données projet'!$B$9,Paramètres!$A$1:$I$89,3,0)*VLOOKUP('Données projet'!$B$9,Paramètres!$A$1:$I$89,5,0)</f>
        <v>106.67583333333334</v>
      </c>
      <c r="P23" s="13">
        <f t="shared" si="33"/>
        <v>28.546391754319739</v>
      </c>
      <c r="Q23" s="20">
        <f t="shared" si="2"/>
        <v>235.51204202766243</v>
      </c>
      <c r="R23" s="59">
        <f t="shared" si="0"/>
        <v>528.84537536099572</v>
      </c>
      <c r="S23" s="59">
        <f ca="1">AVERAGE(OFFSET($R$3,0,0,'Données projet'!$E$9+1,1))-AVERAGE(OFFSET($H$3,0,0,'Données projet'!$E$9+1,1))</f>
        <v>382.55387448074327</v>
      </c>
      <c r="T23" s="59">
        <f t="shared" si="34"/>
        <v>476.29465646955543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26.833333333333332</v>
      </c>
      <c r="AI23" s="13">
        <f>IF('Données projet'!$A$62&gt;35,AI22+AH23-AQ22,IF(A23&lt;'Données projet'!$A$62,$AF$205^A23,IF(A23='Données projet'!$A$62,'Données projet'!$B$62,AI22+AH23-AQ22)))</f>
        <v>315.66666666666663</v>
      </c>
      <c r="AJ23" s="13">
        <f>AI23*VLOOKUP('Données projet'!$B$10,Paramètres!$A$1:$I$89,3,0)*VLOOKUP('Données projet'!$B$10,Paramètres!$A$1:$I$89,5,0)</f>
        <v>172.35399999999998</v>
      </c>
      <c r="AK23" s="13">
        <f t="shared" si="35"/>
        <v>43.616818567364454</v>
      </c>
      <c r="AL23" s="20">
        <f t="shared" si="4"/>
        <v>376.14917567149308</v>
      </c>
      <c r="AM23" s="59">
        <f t="shared" si="5"/>
        <v>669.4825090048264</v>
      </c>
      <c r="AN23" s="59">
        <f ca="1">AVERAGE(OFFSET($AM$3,0,0,'Données projet'!$E$10+1,1))-AVERAGE(OFFSET($H$3,0,0,'Données projet'!$E$10+1,1))</f>
        <v>417.99456559608217</v>
      </c>
      <c r="AO23" s="59">
        <f t="shared" si="36"/>
        <v>651.41353014863932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132</v>
      </c>
      <c r="BB23" s="12">
        <f>VLOOKUP(A23,'Données projet'!$A$87:$I$107,9,0)</f>
        <v>6.6</v>
      </c>
      <c r="BC23" s="12">
        <f t="array" ref="BC23">INDEX(BB:BB,MIN(IF(ISNUMBER(BB23:BB219),ROW(BB23:BB219),"")))</f>
        <v>6.6</v>
      </c>
      <c r="BD23" s="12">
        <f>IF('Données projet'!$A$88&gt;35,BD22+BC23-BL22,IF(A23&lt;'Données projet'!$A$88,$BA$205^A23,IF(A23='Données projet'!$A$88,'Données projet'!$B$88,BD22+BC23-BL22)))</f>
        <v>132</v>
      </c>
      <c r="BE23" s="13">
        <f>BD23*VLOOKUP('Données projet'!$B$11,Paramètres!$A$1:$I$89,3,0)*VLOOKUP('Données projet'!$B$11,Paramètres!$A$1:$I$89,5,0)</f>
        <v>115.3152</v>
      </c>
      <c r="BF23" s="13">
        <f t="shared" si="37"/>
        <v>30.579827148797317</v>
      </c>
      <c r="BG23" s="20">
        <f t="shared" si="7"/>
        <v>254.10050561748861</v>
      </c>
      <c r="BH23" s="59">
        <f t="shared" si="8"/>
        <v>547.43383895082195</v>
      </c>
      <c r="BI23" s="59">
        <f ca="1">AVERAGE(OFFSET($BH$3,0,0,'Données projet'!$E$11+1,1))-AVERAGE(OFFSET($H$3,0,0,'Données projet'!$E$11+1,1))</f>
        <v>247.61330734992077</v>
      </c>
      <c r="BJ23" s="59">
        <f t="shared" si="38"/>
        <v>278.55937893537259</v>
      </c>
      <c r="BK23" s="15">
        <f>IF(ISNA(VLOOKUP(A23,'Données projet'!$A$87:$I$107,3,0)),0,VLOOKUP(A23,'Données projet'!$A$87:$I$107,3,0))</f>
        <v>1</v>
      </c>
      <c r="BL23" s="15">
        <f>IF(ISNA(VLOOKUP(A23,'Données projet'!$A$87:$I$107,4,0)),0,VLOOKUP(A23,'Données projet'!$A$87:$I$107,4,0))</f>
        <v>50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10.100999999999999</v>
      </c>
      <c r="D24" s="11">
        <f t="shared" si="32"/>
        <v>3.556382161371384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105.42540615795455</v>
      </c>
      <c r="H24" s="66">
        <f t="shared" si="1"/>
        <v>317.11994059772178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28.833333333333332</v>
      </c>
      <c r="N24" s="13">
        <f>IF('Données projet'!$A$36&gt;35,N23+M24-V23,IF(A24&lt;'Données projet'!$A$36,$K$205^A24,IF(A24='Données projet'!$A$36,'Données projet'!$B$36,N23+M24-V23)))</f>
        <v>219.66666666666669</v>
      </c>
      <c r="O24" s="13">
        <f>N24*VLOOKUP('Données projet'!$B$9,Paramètres!$A$1:$I$89,3,0)*VLOOKUP('Données projet'!$B$9,Paramètres!$A$1:$I$89,5,0)</f>
        <v>122.79366666666668</v>
      </c>
      <c r="P24" s="13">
        <f t="shared" si="33"/>
        <v>32.32570088253398</v>
      </c>
      <c r="Q24" s="20">
        <f t="shared" si="2"/>
        <v>270.16623181485778</v>
      </c>
      <c r="R24" s="59">
        <f t="shared" si="0"/>
        <v>563.4995651481911</v>
      </c>
      <c r="S24" s="59">
        <f ca="1">AVERAGE(OFFSET($R$3,0,0,'Données projet'!$E$9+1,1))-AVERAGE(OFFSET($H$3,0,0,'Données projet'!$E$9+1,1))</f>
        <v>382.55387448074327</v>
      </c>
      <c r="T24" s="59">
        <f t="shared" si="34"/>
        <v>476.29465646955543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26.833333333333332</v>
      </c>
      <c r="AI24" s="13">
        <f>IF('Données projet'!$A$62&gt;35,AI23+AH24-AQ23,IF(A24&lt;'Données projet'!$A$62,$AF$205^A24,IF(A24='Données projet'!$A$62,'Données projet'!$B$62,AI23+AH24-AQ23)))</f>
        <v>342.49999999999994</v>
      </c>
      <c r="AJ24" s="13">
        <f>AI24*VLOOKUP('Données projet'!$B$10,Paramètres!$A$1:$I$89,3,0)*VLOOKUP('Données projet'!$B$10,Paramètres!$A$1:$I$89,5,0)</f>
        <v>187.00499999999997</v>
      </c>
      <c r="AK24" s="13">
        <f t="shared" si="35"/>
        <v>46.877189812776564</v>
      </c>
      <c r="AL24" s="20">
        <f t="shared" si="4"/>
        <v>407.34481392391916</v>
      </c>
      <c r="AM24" s="59">
        <f t="shared" si="5"/>
        <v>700.67814725725248</v>
      </c>
      <c r="AN24" s="59">
        <f ca="1">AVERAGE(OFFSET($AM$3,0,0,'Données projet'!$E$10+1,1))-AVERAGE(OFFSET($H$3,0,0,'Données projet'!$E$10+1,1))</f>
        <v>417.99456559608217</v>
      </c>
      <c r="AO24" s="59">
        <f t="shared" si="36"/>
        <v>651.41353014863932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12.2</v>
      </c>
      <c r="BD24" s="12">
        <f>IF('Données projet'!$A$88&gt;35,BD23+BC24-BL23,IF(A24&lt;'Données projet'!$A$88,$BA$205^A24,IF(A24='Données projet'!$A$88,'Données projet'!$B$88,BD23+BC24-BL23)))</f>
        <v>94.199999999999989</v>
      </c>
      <c r="BE24" s="13">
        <f>BD24*VLOOKUP('Données projet'!$B$11,Paramètres!$A$1:$I$89,3,0)*VLOOKUP('Données projet'!$B$11,Paramètres!$A$1:$I$89,5,0)</f>
        <v>82.293120000000002</v>
      </c>
      <c r="BF24" s="13">
        <f t="shared" si="37"/>
        <v>22.696938367376966</v>
      </c>
      <c r="BG24" s="20">
        <f t="shared" si="7"/>
        <v>182.85768498984825</v>
      </c>
      <c r="BH24" s="59">
        <f t="shared" si="8"/>
        <v>476.19101832318154</v>
      </c>
      <c r="BI24" s="59">
        <f ca="1">AVERAGE(OFFSET($BH$3,0,0,'Données projet'!$E$11+1,1))-AVERAGE(OFFSET($H$3,0,0,'Données projet'!$E$11+1,1))</f>
        <v>247.61330734992077</v>
      </c>
      <c r="BJ24" s="59">
        <f t="shared" si="38"/>
        <v>278.55937893537259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10.581999999999999</v>
      </c>
      <c r="D25" s="11">
        <f t="shared" si="32"/>
        <v>3.7056136299176217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110.29035082743428</v>
      </c>
      <c r="H25" s="66">
        <f t="shared" si="1"/>
        <v>318.21759373877319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28.833333333333332</v>
      </c>
      <c r="N25" s="13">
        <f>IF('Données projet'!$A$36&gt;35,N24+M25-V24,IF(A25&lt;'Données projet'!$A$36,$K$205^A25,IF(A25='Données projet'!$A$36,'Données projet'!$B$36,N24+M25-V24)))</f>
        <v>248.50000000000003</v>
      </c>
      <c r="O25" s="13">
        <f>N25*VLOOKUP('Données projet'!$B$9,Paramètres!$A$1:$I$89,3,0)*VLOOKUP('Données projet'!$B$9,Paramètres!$A$1:$I$89,5,0)</f>
        <v>138.91150000000002</v>
      </c>
      <c r="P25" s="13">
        <f t="shared" si="33"/>
        <v>36.047532265727178</v>
      </c>
      <c r="Q25" s="20">
        <f t="shared" si="2"/>
        <v>304.72031452947482</v>
      </c>
      <c r="R25" s="59">
        <f t="shared" si="0"/>
        <v>598.05364786280813</v>
      </c>
      <c r="S25" s="59">
        <f ca="1">AVERAGE(OFFSET($R$3,0,0,'Données projet'!$E$9+1,1))-AVERAGE(OFFSET($H$3,0,0,'Données projet'!$E$9+1,1))</f>
        <v>382.55387448074327</v>
      </c>
      <c r="T25" s="59">
        <f t="shared" si="34"/>
        <v>476.29465646955543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26.833333333333332</v>
      </c>
      <c r="AI25" s="13">
        <f>IF('Données projet'!$A$62&gt;35,AI24+AH25-AQ24,IF(A25&lt;'Données projet'!$A$62,$AF$205^A25,IF(A25='Données projet'!$A$62,'Données projet'!$B$62,AI24+AH25-AQ24)))</f>
        <v>369.33333333333326</v>
      </c>
      <c r="AJ25" s="13">
        <f>AI25*VLOOKUP('Données projet'!$B$10,Paramètres!$A$1:$I$89,3,0)*VLOOKUP('Données projet'!$B$10,Paramètres!$A$1:$I$89,5,0)</f>
        <v>201.65599999999998</v>
      </c>
      <c r="AK25" s="13">
        <f t="shared" si="35"/>
        <v>50.107931560694468</v>
      </c>
      <c r="AL25" s="20">
        <f t="shared" si="4"/>
        <v>438.48884746820949</v>
      </c>
      <c r="AM25" s="59">
        <f t="shared" si="5"/>
        <v>731.8221808015428</v>
      </c>
      <c r="AN25" s="59">
        <f ca="1">AVERAGE(OFFSET($AM$3,0,0,'Données projet'!$E$10+1,1))-AVERAGE(OFFSET($H$3,0,0,'Données projet'!$E$10+1,1))</f>
        <v>417.99456559608217</v>
      </c>
      <c r="AO25" s="59">
        <f t="shared" si="36"/>
        <v>651.41353014863932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12.2</v>
      </c>
      <c r="BD25" s="12">
        <f>IF('Données projet'!$A$88&gt;35,BD24+BC25-BL24,IF(A25&lt;'Données projet'!$A$88,$BA$205^A25,IF(A25='Données projet'!$A$88,'Données projet'!$B$88,BD24+BC25-BL24)))</f>
        <v>106.39999999999999</v>
      </c>
      <c r="BE25" s="13">
        <f>BD25*VLOOKUP('Données projet'!$B$11,Paramètres!$A$1:$I$89,3,0)*VLOOKUP('Données projet'!$B$11,Paramètres!$A$1:$I$89,5,0)</f>
        <v>92.951040000000006</v>
      </c>
      <c r="BF25" s="13">
        <f t="shared" si="37"/>
        <v>25.275602869272223</v>
      </c>
      <c r="BG25" s="20">
        <f t="shared" si="7"/>
        <v>205.9114029973158</v>
      </c>
      <c r="BH25" s="59">
        <f t="shared" si="8"/>
        <v>499.24473633064912</v>
      </c>
      <c r="BI25" s="59">
        <f ca="1">AVERAGE(OFFSET($BH$3,0,0,'Données projet'!$E$11+1,1))-AVERAGE(OFFSET($H$3,0,0,'Données projet'!$E$11+1,1))</f>
        <v>247.61330734992077</v>
      </c>
      <c r="BJ25" s="59">
        <f t="shared" si="38"/>
        <v>278.55937893537259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11.062999999999999</v>
      </c>
      <c r="D26" s="11">
        <f t="shared" si="32"/>
        <v>3.8540573269792704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115.14921445387506</v>
      </c>
      <c r="H26" s="66">
        <f t="shared" si="1"/>
        <v>319.31387484448885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28.833333333333332</v>
      </c>
      <c r="N26" s="13">
        <f>IF('Données projet'!$A$36&gt;35,N25+M26-V25,IF(A26&lt;'Données projet'!$A$36,$K$205^A26,IF(A26='Données projet'!$A$36,'Données projet'!$B$36,N25+M26-V25)))</f>
        <v>277.33333333333337</v>
      </c>
      <c r="O26" s="13">
        <f>N26*VLOOKUP('Données projet'!$B$9,Paramètres!$A$1:$I$89,3,0)*VLOOKUP('Données projet'!$B$9,Paramètres!$A$1:$I$89,5,0)</f>
        <v>155.02933333333334</v>
      </c>
      <c r="P26" s="13">
        <f t="shared" si="33"/>
        <v>39.719316712120367</v>
      </c>
      <c r="Q26" s="20">
        <f t="shared" si="2"/>
        <v>339.1872321624985</v>
      </c>
      <c r="R26" s="59">
        <f t="shared" si="0"/>
        <v>632.52056549583176</v>
      </c>
      <c r="S26" s="59">
        <f ca="1">AVERAGE(OFFSET($R$3,0,0,'Données projet'!$E$9+1,1))-AVERAGE(OFFSET($H$3,0,0,'Données projet'!$E$9+1,1))</f>
        <v>382.55387448074327</v>
      </c>
      <c r="T26" s="59">
        <f t="shared" si="34"/>
        <v>476.29465646955543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26.833333333333332</v>
      </c>
      <c r="AI26" s="13">
        <f>IF('Données projet'!$A$62&gt;35,AI25+AH26-AQ25,IF(A26&lt;'Données projet'!$A$62,$AF$205^A26,IF(A26='Données projet'!$A$62,'Données projet'!$B$62,AI25+AH26-AQ25)))</f>
        <v>396.16666666666657</v>
      </c>
      <c r="AJ26" s="13">
        <f>AI26*VLOOKUP('Données projet'!$B$10,Paramètres!$A$1:$I$89,3,0)*VLOOKUP('Données projet'!$B$10,Paramètres!$A$1:$I$89,5,0)</f>
        <v>216.30699999999996</v>
      </c>
      <c r="AK26" s="13">
        <f t="shared" si="35"/>
        <v>53.311441307282493</v>
      </c>
      <c r="AL26" s="20">
        <f t="shared" si="4"/>
        <v>469.58545194351694</v>
      </c>
      <c r="AM26" s="59">
        <f t="shared" si="5"/>
        <v>762.91878527685026</v>
      </c>
      <c r="AN26" s="59">
        <f ca="1">AVERAGE(OFFSET($AM$3,0,0,'Données projet'!$E$10+1,1))-AVERAGE(OFFSET($H$3,0,0,'Données projet'!$E$10+1,1))</f>
        <v>417.99456559608217</v>
      </c>
      <c r="AO26" s="59">
        <f t="shared" si="36"/>
        <v>651.41353014863932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12.2</v>
      </c>
      <c r="BD26" s="12">
        <f>IF('Données projet'!$A$88&gt;35,BD25+BC26-BL25,IF(A26&lt;'Données projet'!$A$88,$BA$205^A26,IF(A26='Données projet'!$A$88,'Données projet'!$B$88,BD25+BC26-BL25)))</f>
        <v>118.6</v>
      </c>
      <c r="BE26" s="13">
        <f>BD26*VLOOKUP('Données projet'!$B$11,Paramètres!$A$1:$I$89,3,0)*VLOOKUP('Données projet'!$B$11,Paramètres!$A$1:$I$89,5,0)</f>
        <v>103.60896</v>
      </c>
      <c r="BF26" s="13">
        <f t="shared" si="37"/>
        <v>27.820000397643376</v>
      </c>
      <c r="BG26" s="20">
        <f t="shared" si="7"/>
        <v>228.90543935922889</v>
      </c>
      <c r="BH26" s="59">
        <f t="shared" si="8"/>
        <v>522.23877269256218</v>
      </c>
      <c r="BI26" s="59">
        <f ca="1">AVERAGE(OFFSET($BH$3,0,0,'Données projet'!$E$11+1,1))-AVERAGE(OFFSET($H$3,0,0,'Données projet'!$E$11+1,1))</f>
        <v>247.61330734992077</v>
      </c>
      <c r="BJ26" s="59">
        <f t="shared" si="38"/>
        <v>278.55937893537259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11.543999999999999</v>
      </c>
      <c r="D27" s="11">
        <f t="shared" si="32"/>
        <v>4.0017514182509002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120.00229164965606</v>
      </c>
      <c r="H27" s="66">
        <f t="shared" si="1"/>
        <v>320.40885038678698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28.833333333333332</v>
      </c>
      <c r="N27" s="13">
        <f>IF('Données projet'!$A$36&gt;35,N26+M27-V26,IF(A27&lt;'Données projet'!$A$36,$K$205^A27,IF(A27='Données projet'!$A$36,'Données projet'!$B$36,N26+M27-V26)))</f>
        <v>306.16666666666669</v>
      </c>
      <c r="O27" s="13">
        <f>N27*VLOOKUP('Données projet'!$B$9,Paramètres!$A$1:$I$89,3,0)*VLOOKUP('Données projet'!$B$9,Paramètres!$A$1:$I$89,5,0)</f>
        <v>171.14716666666669</v>
      </c>
      <c r="P27" s="13">
        <f t="shared" si="33"/>
        <v>43.346850105371793</v>
      </c>
      <c r="Q27" s="20">
        <f t="shared" si="2"/>
        <v>373.57707921130037</v>
      </c>
      <c r="R27" s="59">
        <f t="shared" si="0"/>
        <v>666.91041254463369</v>
      </c>
      <c r="S27" s="59">
        <f ca="1">AVERAGE(OFFSET($R$3,0,0,'Données projet'!$E$9+1,1))-AVERAGE(OFFSET($H$3,0,0,'Données projet'!$E$9+1,1))</f>
        <v>382.55387448074327</v>
      </c>
      <c r="T27" s="59">
        <f t="shared" si="34"/>
        <v>476.29465646955543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>
        <f>VLOOKUP(A27,'Données projet'!$A$61:$I$81,2,0)</f>
        <v>423</v>
      </c>
      <c r="AG27" s="12">
        <f>VLOOKUP(A27,'Données projet'!$A$61:$I$81,9,0)</f>
        <v>26.833333333333332</v>
      </c>
      <c r="AH27" s="12">
        <f t="array" ref="AH27">INDEX(AG:AG,MIN(IF(ISNUMBER(AG27:AG223),ROW(AG27:AG223),"")))</f>
        <v>26.833333333333332</v>
      </c>
      <c r="AI27" s="13">
        <f>IF('Données projet'!$A$62&gt;35,AI26+AH27-AQ26,IF(A27&lt;'Données projet'!$A$62,$AF$205^A27,IF(A27='Données projet'!$A$62,'Données projet'!$B$62,AI26+AH27-AQ26)))</f>
        <v>422.99999999999989</v>
      </c>
      <c r="AJ27" s="13">
        <f>AI27*VLOOKUP('Données projet'!$B$10,Paramètres!$A$1:$I$89,3,0)*VLOOKUP('Données projet'!$B$10,Paramètres!$A$1:$I$89,5,0)</f>
        <v>230.95799999999994</v>
      </c>
      <c r="AK27" s="13">
        <f t="shared" si="35"/>
        <v>56.489773392384429</v>
      </c>
      <c r="AL27" s="20">
        <f t="shared" si="4"/>
        <v>500.63820532506946</v>
      </c>
      <c r="AM27" s="59">
        <f t="shared" si="5"/>
        <v>793.97153865840278</v>
      </c>
      <c r="AN27" s="59">
        <f ca="1">AVERAGE(OFFSET($AM$3,0,0,'Données projet'!$E$10+1,1))-AVERAGE(OFFSET($H$3,0,0,'Données projet'!$E$10+1,1))</f>
        <v>417.99456559608217</v>
      </c>
      <c r="AO27" s="59">
        <f t="shared" si="36"/>
        <v>651.41353014863932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12.2</v>
      </c>
      <c r="BD27" s="12">
        <f>IF('Données projet'!$A$88&gt;35,BD26+BC27-BL26,IF(A27&lt;'Données projet'!$A$88,$BA$205^A27,IF(A27='Données projet'!$A$88,'Données projet'!$B$88,BD26+BC27-BL26)))</f>
        <v>130.79999999999998</v>
      </c>
      <c r="BE27" s="13">
        <f>BD27*VLOOKUP('Données projet'!$B$11,Paramètres!$A$1:$I$89,3,0)*VLOOKUP('Données projet'!$B$11,Paramètres!$A$1:$I$89,5,0)</f>
        <v>114.26687999999999</v>
      </c>
      <c r="BF27" s="13">
        <f t="shared" si="37"/>
        <v>30.334057329879929</v>
      </c>
      <c r="BG27" s="20">
        <f t="shared" si="7"/>
        <v>251.84663251620748</v>
      </c>
      <c r="BH27" s="59">
        <f t="shared" si="8"/>
        <v>545.17996584954085</v>
      </c>
      <c r="BI27" s="59">
        <f ca="1">AVERAGE(OFFSET($BH$3,0,0,'Données projet'!$E$11+1,1))-AVERAGE(OFFSET($H$3,0,0,'Données projet'!$E$11+1,1))</f>
        <v>247.61330734992077</v>
      </c>
      <c r="BJ27" s="59">
        <f t="shared" si="38"/>
        <v>278.55937893537259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12.024999999999999</v>
      </c>
      <c r="D28" s="11">
        <f t="shared" si="32"/>
        <v>4.1487307090142194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124.84985108712732</v>
      </c>
      <c r="H28" s="66">
        <f t="shared" si="1"/>
        <v>321.50258098486643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335</v>
      </c>
      <c r="L28" s="12">
        <f>VLOOKUP(A28,'Données projet'!$A$35:$I$55,9,0)</f>
        <v>28.833333333333332</v>
      </c>
      <c r="M28" s="12">
        <f t="array" ref="M28">INDEX(L:L,MIN(IF(ISNUMBER(L28:L224),ROW(L28:L224),"")))</f>
        <v>28.833333333333332</v>
      </c>
      <c r="N28" s="13">
        <f>IF('Données projet'!$A$36&gt;35,N27+M28-V27,IF(A28&lt;'Données projet'!$A$36,$K$205^A28,IF(A28='Données projet'!$A$36,'Données projet'!$B$36,N27+M28-V27)))</f>
        <v>335</v>
      </c>
      <c r="O28" s="13">
        <f>N28*VLOOKUP('Données projet'!$B$9,Paramètres!$A$1:$I$89,3,0)*VLOOKUP('Données projet'!$B$9,Paramètres!$A$1:$I$89,5,0)</f>
        <v>187.26500000000001</v>
      </c>
      <c r="P28" s="13">
        <f t="shared" si="33"/>
        <v>46.934773872544483</v>
      </c>
      <c r="Q28" s="20">
        <f t="shared" si="2"/>
        <v>407.89793949468162</v>
      </c>
      <c r="R28" s="59">
        <f t="shared" si="0"/>
        <v>701.23127282801488</v>
      </c>
      <c r="S28" s="59">
        <f ca="1">AVERAGE(OFFSET($R$3,0,0,'Données projet'!$E$9+1,1))-AVERAGE(OFFSET($H$3,0,0,'Données projet'!$E$9+1,1))</f>
        <v>382.55387448074327</v>
      </c>
      <c r="T28" s="59">
        <f t="shared" si="34"/>
        <v>476.29465646955543</v>
      </c>
      <c r="U28" s="15">
        <f>IF(ISNA(VLOOKUP(A28,'Données projet'!$A$35:$I$55,3,0)),0,VLOOKUP(A28,'Données projet'!$A$35:$I$55,3,0))</f>
        <v>1</v>
      </c>
      <c r="V28" s="15">
        <f>IF(ISNA(VLOOKUP(A28,'Données projet'!$A$35:$I$55,4,0)),0,VLOOKUP(A28,'Données projet'!$A$35:$I$55,4,0))</f>
        <v>54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0.55000000000000004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21.937304095826462</v>
      </c>
      <c r="AB28" s="21">
        <f>EXP(-LN(2)/2)*AB27+(1-EXP(-LN(2)/2))/(LN(2)/2)*V28*Y28*VLOOKUP('Données projet'!$B$9,Paramètres!$A$1:$I$89,3,0)*0.475*44/12</f>
        <v>0</v>
      </c>
      <c r="AC28" s="22">
        <f t="shared" si="3"/>
        <v>21.937304095826462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26.666666666666668</v>
      </c>
      <c r="AI28" s="13">
        <f>IF('Données projet'!$A$62&gt;35,AI27+AH28-AQ27,IF(A28&lt;'Données projet'!$A$62,$AF$205^A28,IF(A28='Données projet'!$A$62,'Données projet'!$B$62,AI27+AH28-AQ27)))</f>
        <v>449.66666666666657</v>
      </c>
      <c r="AJ28" s="13">
        <f>AI28*VLOOKUP('Données projet'!$B$10,Paramètres!$A$1:$I$89,3,0)*VLOOKUP('Données projet'!$B$10,Paramètres!$A$1:$I$89,5,0)</f>
        <v>245.51799999999994</v>
      </c>
      <c r="AK28" s="13">
        <f t="shared" si="35"/>
        <v>59.625179848894327</v>
      </c>
      <c r="AL28" s="20">
        <f t="shared" si="4"/>
        <v>531.45770490349082</v>
      </c>
      <c r="AM28" s="59">
        <f t="shared" si="5"/>
        <v>824.79103823682408</v>
      </c>
      <c r="AN28" s="59">
        <f ca="1">AVERAGE(OFFSET($AM$3,0,0,'Données projet'!$E$10+1,1))-AVERAGE(OFFSET($H$3,0,0,'Données projet'!$E$10+1,1))</f>
        <v>417.99456559608217</v>
      </c>
      <c r="AO28" s="59">
        <f t="shared" si="36"/>
        <v>651.41353014863932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>
        <f>VLOOKUP(A28,'Données projet'!$A$87:$I$107,2,0)</f>
        <v>143</v>
      </c>
      <c r="BB28" s="12">
        <f>VLOOKUP(A28,'Données projet'!$A$87:$I$107,9,0)</f>
        <v>12.2</v>
      </c>
      <c r="BC28" s="12">
        <f t="array" ref="BC28">INDEX(BB:BB,MIN(IF(ISNUMBER(BB28:BB224),ROW(BB28:BB224),"")))</f>
        <v>12.2</v>
      </c>
      <c r="BD28" s="12">
        <f>IF('Données projet'!$A$88&gt;35,BD27+BC28-BL27,IF(A28&lt;'Données projet'!$A$88,$BA$205^A28,IF(A28='Données projet'!$A$88,'Données projet'!$B$88,BD27+BC28-BL27)))</f>
        <v>142.99999999999997</v>
      </c>
      <c r="BE28" s="13">
        <f>BD28*VLOOKUP('Données projet'!$B$11,Paramètres!$A$1:$I$89,3,0)*VLOOKUP('Données projet'!$B$11,Paramètres!$A$1:$I$89,5,0)</f>
        <v>124.9248</v>
      </c>
      <c r="BF28" s="13">
        <f t="shared" si="37"/>
        <v>32.820925500842712</v>
      </c>
      <c r="BG28" s="20">
        <f t="shared" si="7"/>
        <v>274.74047191396772</v>
      </c>
      <c r="BH28" s="59">
        <f t="shared" si="8"/>
        <v>568.07380524730104</v>
      </c>
      <c r="BI28" s="59">
        <f ca="1">AVERAGE(OFFSET($BH$3,0,0,'Données projet'!$E$11+1,1))-AVERAGE(OFFSET($H$3,0,0,'Données projet'!$E$11+1,1))</f>
        <v>247.61330734992077</v>
      </c>
      <c r="BJ28" s="59">
        <f t="shared" si="38"/>
        <v>278.55937893537259</v>
      </c>
      <c r="BK28" s="15">
        <f>IF(ISNA(VLOOKUP(A28,'Données projet'!$A$87:$I$107,3,0)),0,VLOOKUP(A28,'Données projet'!$A$87:$I$107,3,0))</f>
        <v>2</v>
      </c>
      <c r="BL28" s="15">
        <f>IF(ISNA(VLOOKUP(A28,'Données projet'!$A$87:$I$107,4,0)),0,VLOOKUP(A28,'Données projet'!$A$87:$I$107,4,0))</f>
        <v>37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12.505999999999998</v>
      </c>
      <c r="D29" s="11">
        <f t="shared" si="32"/>
        <v>4.2950270625211857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129.69213872823372</v>
      </c>
      <c r="H29" s="66">
        <f t="shared" si="1"/>
        <v>322.59512213389104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28</v>
      </c>
      <c r="N29" s="13">
        <f>IF('Données projet'!$A$36&gt;35,N28+M29-V28,IF(A29&lt;'Données projet'!$A$36,$K$205^A29,IF(A29='Données projet'!$A$36,'Données projet'!$B$36,N28+M29-V28)))</f>
        <v>309</v>
      </c>
      <c r="O29" s="13">
        <f>N29*VLOOKUP('Données projet'!$B$9,Paramètres!$A$1:$I$89,3,0)*VLOOKUP('Données projet'!$B$9,Paramètres!$A$1:$I$89,5,0)</f>
        <v>172.73100000000002</v>
      </c>
      <c r="P29" s="13">
        <f t="shared" si="33"/>
        <v>43.701108252019125</v>
      </c>
      <c r="Q29" s="20">
        <f t="shared" si="2"/>
        <v>376.9525885389333</v>
      </c>
      <c r="R29" s="59">
        <f t="shared" si="0"/>
        <v>670.28592187226661</v>
      </c>
      <c r="S29" s="59">
        <f ca="1">AVERAGE(OFFSET($R$3,0,0,'Données projet'!$E$9+1,1))-AVERAGE(OFFSET($H$3,0,0,'Données projet'!$E$9+1,1))</f>
        <v>382.55387448074327</v>
      </c>
      <c r="T29" s="59">
        <f t="shared" si="34"/>
        <v>476.29465646955543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21.337427361693404</v>
      </c>
      <c r="AB29" s="21">
        <f>EXP(-LN(2)/2)*AB28+(1-EXP(-LN(2)/2))/(LN(2)/2)*V29*Y29*VLOOKUP('Données projet'!$B$9,Paramètres!$A$1:$I$89,3,0)*0.475*44/12</f>
        <v>0</v>
      </c>
      <c r="AC29" s="22">
        <f t="shared" si="3"/>
        <v>21.337427361693404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26.666666666666668</v>
      </c>
      <c r="AI29" s="13">
        <f>IF('Données projet'!$A$62&gt;35,AI28+AH29-AQ28,IF(A29&lt;'Données projet'!$A$62,$AF$205^A29,IF(A29='Données projet'!$A$62,'Données projet'!$B$62,AI28+AH29-AQ28)))</f>
        <v>476.33333333333326</v>
      </c>
      <c r="AJ29" s="13">
        <f>AI29*VLOOKUP('Données projet'!$B$10,Paramètres!$A$1:$I$89,3,0)*VLOOKUP('Données projet'!$B$10,Paramètres!$A$1:$I$89,5,0)</f>
        <v>260.07799999999997</v>
      </c>
      <c r="AK29" s="13">
        <f t="shared" si="35"/>
        <v>62.739004113845937</v>
      </c>
      <c r="AL29" s="20">
        <f t="shared" si="4"/>
        <v>562.23961549828152</v>
      </c>
      <c r="AM29" s="59">
        <f t="shared" si="5"/>
        <v>855.57294883161489</v>
      </c>
      <c r="AN29" s="59">
        <f ca="1">AVERAGE(OFFSET($AM$3,0,0,'Données projet'!$E$10+1,1))-AVERAGE(OFFSET($H$3,0,0,'Données projet'!$E$10+1,1))</f>
        <v>417.99456559608217</v>
      </c>
      <c r="AO29" s="59">
        <f t="shared" si="36"/>
        <v>651.41353014863932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11.4</v>
      </c>
      <c r="BD29" s="12">
        <f>IF('Données projet'!$A$88&gt;35,BD28+BC29-BL28,IF(A29&lt;'Données projet'!$A$88,$BA$205^A29,IF(A29='Données projet'!$A$88,'Données projet'!$B$88,BD28+BC29-BL28)))</f>
        <v>117.39999999999998</v>
      </c>
      <c r="BE29" s="13">
        <f>BD29*VLOOKUP('Données projet'!$B$11,Paramètres!$A$1:$I$89,3,0)*VLOOKUP('Données projet'!$B$11,Paramètres!$A$1:$I$89,5,0)</f>
        <v>102.56064000000001</v>
      </c>
      <c r="BF29" s="13">
        <f t="shared" si="37"/>
        <v>27.571134131783779</v>
      </c>
      <c r="BG29" s="20">
        <f t="shared" si="7"/>
        <v>226.64617327952342</v>
      </c>
      <c r="BH29" s="59">
        <f t="shared" si="8"/>
        <v>519.97950661285677</v>
      </c>
      <c r="BI29" s="59">
        <f ca="1">AVERAGE(OFFSET($BH$3,0,0,'Données projet'!$E$11+1,1))-AVERAGE(OFFSET($H$3,0,0,'Données projet'!$E$11+1,1))</f>
        <v>247.61330734992077</v>
      </c>
      <c r="BJ29" s="59">
        <f t="shared" si="38"/>
        <v>278.55937893537259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12.986999999999998</v>
      </c>
      <c r="D30" s="11">
        <f t="shared" si="32"/>
        <v>4.4406697522000558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134.52938054329866</v>
      </c>
      <c r="H30" s="66">
        <f t="shared" si="1"/>
        <v>323.68652481841508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28</v>
      </c>
      <c r="N30" s="13">
        <f>IF('Données projet'!$A$36&gt;35,N29+M30-V29,IF(A30&lt;'Données projet'!$A$36,$K$205^A30,IF(A30='Données projet'!$A$36,'Données projet'!$B$36,N29+M30-V29)))</f>
        <v>337</v>
      </c>
      <c r="O30" s="13">
        <f>N30*VLOOKUP('Données projet'!$B$9,Paramètres!$A$1:$I$89,3,0)*VLOOKUP('Données projet'!$B$9,Paramètres!$A$1:$I$89,5,0)</f>
        <v>188.38300000000001</v>
      </c>
      <c r="P30" s="13">
        <f t="shared" si="33"/>
        <v>47.182279474248382</v>
      </c>
      <c r="Q30" s="20">
        <f t="shared" si="2"/>
        <v>410.27619508431599</v>
      </c>
      <c r="R30" s="59">
        <f t="shared" si="0"/>
        <v>703.60952841764924</v>
      </c>
      <c r="S30" s="59">
        <f ca="1">AVERAGE(OFFSET($R$3,0,0,'Données projet'!$E$9+1,1))-AVERAGE(OFFSET($H$3,0,0,'Données projet'!$E$9+1,1))</f>
        <v>382.55387448074327</v>
      </c>
      <c r="T30" s="59">
        <f t="shared" si="34"/>
        <v>476.29465646955543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20.75395428840136</v>
      </c>
      <c r="AB30" s="21">
        <f>EXP(-LN(2)/2)*AB29+(1-EXP(-LN(2)/2))/(LN(2)/2)*V30*Y30*VLOOKUP('Données projet'!$B$9,Paramètres!$A$1:$I$89,3,0)*0.475*44/12</f>
        <v>0</v>
      </c>
      <c r="AC30" s="22">
        <f t="shared" si="3"/>
        <v>20.75395428840136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26.666666666666668</v>
      </c>
      <c r="AI30" s="13">
        <f>IF('Données projet'!$A$62&gt;35,AI29+AH30-AQ29,IF(A30&lt;'Données projet'!$A$62,$AF$205^A30,IF(A30='Données projet'!$A$62,'Données projet'!$B$62,AI29+AH30-AQ29)))</f>
        <v>502.99999999999994</v>
      </c>
      <c r="AJ30" s="13">
        <f>AI30*VLOOKUP('Données projet'!$B$10,Paramètres!$A$1:$I$89,3,0)*VLOOKUP('Données projet'!$B$10,Paramètres!$A$1:$I$89,5,0)</f>
        <v>274.63799999999998</v>
      </c>
      <c r="AK30" s="13">
        <f t="shared" si="35"/>
        <v>65.832592125710022</v>
      </c>
      <c r="AL30" s="20">
        <f t="shared" si="4"/>
        <v>592.98628128561154</v>
      </c>
      <c r="AM30" s="59">
        <f t="shared" si="5"/>
        <v>886.3196146189448</v>
      </c>
      <c r="AN30" s="59">
        <f ca="1">AVERAGE(OFFSET($AM$3,0,0,'Données projet'!$E$10+1,1))-AVERAGE(OFFSET($H$3,0,0,'Données projet'!$E$10+1,1))</f>
        <v>417.99456559608217</v>
      </c>
      <c r="AO30" s="59">
        <f t="shared" si="36"/>
        <v>651.41353014863932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11.4</v>
      </c>
      <c r="BD30" s="12">
        <f>IF('Données projet'!$A$88&gt;35,BD29+BC30-BL29,IF(A30&lt;'Données projet'!$A$88,$BA$205^A30,IF(A30='Données projet'!$A$88,'Données projet'!$B$88,BD29+BC30-BL29)))</f>
        <v>128.79999999999998</v>
      </c>
      <c r="BE30" s="13">
        <f>BD30*VLOOKUP('Données projet'!$B$11,Paramètres!$A$1:$I$89,3,0)*VLOOKUP('Données projet'!$B$11,Paramètres!$A$1:$I$89,5,0)</f>
        <v>112.51968000000001</v>
      </c>
      <c r="BF30" s="13">
        <f t="shared" si="37"/>
        <v>29.923856072189899</v>
      </c>
      <c r="BG30" s="20">
        <f t="shared" si="7"/>
        <v>248.08915865906408</v>
      </c>
      <c r="BH30" s="59">
        <f t="shared" si="8"/>
        <v>541.42249199239745</v>
      </c>
      <c r="BI30" s="59">
        <f ca="1">AVERAGE(OFFSET($BH$3,0,0,'Données projet'!$E$11+1,1))-AVERAGE(OFFSET($H$3,0,0,'Données projet'!$E$11+1,1))</f>
        <v>247.61330734992077</v>
      </c>
      <c r="BJ30" s="59">
        <f t="shared" si="38"/>
        <v>278.55937893537259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13.467999999999998</v>
      </c>
      <c r="D31" s="11">
        <f t="shared" si="32"/>
        <v>4.5856857602159096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139.36178481570172</v>
      </c>
      <c r="H31" s="66">
        <f t="shared" si="1"/>
        <v>324.77683603237602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28</v>
      </c>
      <c r="N31" s="13">
        <f>IF('Données projet'!$A$36&gt;35,N30+M31-V30,IF(A31&lt;'Données projet'!$A$36,$K$205^A31,IF(A31='Données projet'!$A$36,'Données projet'!$B$36,N30+M31-V30)))</f>
        <v>365</v>
      </c>
      <c r="O31" s="13">
        <f>N31*VLOOKUP('Données projet'!$B$9,Paramètres!$A$1:$I$89,3,0)*VLOOKUP('Données projet'!$B$9,Paramètres!$A$1:$I$89,5,0)</f>
        <v>204.035</v>
      </c>
      <c r="P31" s="13">
        <f t="shared" si="33"/>
        <v>50.629905099971396</v>
      </c>
      <c r="Q31" s="20">
        <f t="shared" si="2"/>
        <v>443.54137638245015</v>
      </c>
      <c r="R31" s="59">
        <f t="shared" si="0"/>
        <v>736.87470971578341</v>
      </c>
      <c r="S31" s="59">
        <f ca="1">AVERAGE(OFFSET($R$3,0,0,'Données projet'!$E$9+1,1))-AVERAGE(OFFSET($H$3,0,0,'Données projet'!$E$9+1,1))</f>
        <v>382.55387448074327</v>
      </c>
      <c r="T31" s="59">
        <f t="shared" si="34"/>
        <v>476.29465646955543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20.186436316982004</v>
      </c>
      <c r="AB31" s="21">
        <f>EXP(-LN(2)/2)*AB30+(1-EXP(-LN(2)/2))/(LN(2)/2)*V31*Y31*VLOOKUP('Données projet'!$B$9,Paramètres!$A$1:$I$89,3,0)*0.475*44/12</f>
        <v>0</v>
      </c>
      <c r="AC31" s="22">
        <f t="shared" si="3"/>
        <v>20.186436316982004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26.666666666666668</v>
      </c>
      <c r="AI31" s="13">
        <f>IF('Données projet'!$A$62&gt;35,AI30+AH31-AQ30,IF(A31&lt;'Données projet'!$A$62,$AF$205^A31,IF(A31='Données projet'!$A$62,'Données projet'!$B$62,AI30+AH31-AQ30)))</f>
        <v>529.66666666666663</v>
      </c>
      <c r="AJ31" s="13">
        <f>AI31*VLOOKUP('Données projet'!$B$10,Paramètres!$A$1:$I$89,3,0)*VLOOKUP('Données projet'!$B$10,Paramètres!$A$1:$I$89,5,0)</f>
        <v>289.19799999999998</v>
      </c>
      <c r="AK31" s="13">
        <f t="shared" si="35"/>
        <v>68.907139052299499</v>
      </c>
      <c r="AL31" s="20">
        <f t="shared" si="4"/>
        <v>623.69978384942158</v>
      </c>
      <c r="AM31" s="59">
        <f t="shared" si="5"/>
        <v>917.03311718275495</v>
      </c>
      <c r="AN31" s="59">
        <f ca="1">AVERAGE(OFFSET($AM$3,0,0,'Données projet'!$E$10+1,1))-AVERAGE(OFFSET($H$3,0,0,'Données projet'!$E$10+1,1))</f>
        <v>417.99456559608217</v>
      </c>
      <c r="AO31" s="59">
        <f t="shared" si="36"/>
        <v>651.41353014863932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11.4</v>
      </c>
      <c r="BD31" s="12">
        <f>IF('Données projet'!$A$88&gt;35,BD30+BC31-BL30,IF(A31&lt;'Données projet'!$A$88,$BA$205^A31,IF(A31='Données projet'!$A$88,'Données projet'!$B$88,BD30+BC31-BL30)))</f>
        <v>140.19999999999999</v>
      </c>
      <c r="BE31" s="13">
        <f>BD31*VLOOKUP('Données projet'!$B$11,Paramètres!$A$1:$I$89,3,0)*VLOOKUP('Données projet'!$B$11,Paramètres!$A$1:$I$89,5,0)</f>
        <v>122.47872000000001</v>
      </c>
      <c r="BF31" s="13">
        <f t="shared" si="37"/>
        <v>32.252430308904003</v>
      </c>
      <c r="BG31" s="20">
        <f t="shared" si="7"/>
        <v>269.49008678800777</v>
      </c>
      <c r="BH31" s="59">
        <f t="shared" si="8"/>
        <v>562.82342012134109</v>
      </c>
      <c r="BI31" s="59">
        <f ca="1">AVERAGE(OFFSET($BH$3,0,0,'Données projet'!$E$11+1,1))-AVERAGE(OFFSET($H$3,0,0,'Données projet'!$E$11+1,1))</f>
        <v>247.61330734992077</v>
      </c>
      <c r="BJ31" s="59">
        <f t="shared" si="38"/>
        <v>278.55937893537259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13.948999999999998</v>
      </c>
      <c r="D32" s="11">
        <f t="shared" si="32"/>
        <v>4.7301000321811131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144.18954410806472</v>
      </c>
      <c r="H32" s="66">
        <f t="shared" si="1"/>
        <v>325.86609922271543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28</v>
      </c>
      <c r="N32" s="13">
        <f>IF('Données projet'!$A$36&gt;35,N31+M32-V31,IF(A32&lt;'Données projet'!$A$36,$K$205^A32,IF(A32='Données projet'!$A$36,'Données projet'!$B$36,N31+M32-V31)))</f>
        <v>393</v>
      </c>
      <c r="O32" s="13">
        <f>N32*VLOOKUP('Données projet'!$B$9,Paramètres!$A$1:$I$89,3,0)*VLOOKUP('Données projet'!$B$9,Paramètres!$A$1:$I$89,5,0)</f>
        <v>219.68700000000001</v>
      </c>
      <c r="P32" s="13">
        <f t="shared" si="33"/>
        <v>54.046851081096591</v>
      </c>
      <c r="Q32" s="20">
        <f t="shared" si="2"/>
        <v>476.75312396624321</v>
      </c>
      <c r="R32" s="59">
        <f t="shared" si="0"/>
        <v>770.08645729957652</v>
      </c>
      <c r="S32" s="59">
        <f ca="1">AVERAGE(OFFSET($R$3,0,0,'Données projet'!$E$9+1,1))-AVERAGE(OFFSET($H$3,0,0,'Données projet'!$E$9+1,1))</f>
        <v>382.55387448074327</v>
      </c>
      <c r="T32" s="59">
        <f t="shared" si="34"/>
        <v>476.29465646955543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19.634437154335583</v>
      </c>
      <c r="AB32" s="21">
        <f>EXP(-LN(2)/2)*AB31+(1-EXP(-LN(2)/2))/(LN(2)/2)*V32*Y32*VLOOKUP('Données projet'!$B$9,Paramètres!$A$1:$I$89,3,0)*0.475*44/12</f>
        <v>0</v>
      </c>
      <c r="AC32" s="22">
        <f t="shared" si="3"/>
        <v>19.634437154335583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26.666666666666668</v>
      </c>
      <c r="AI32" s="13">
        <f>IF('Données projet'!$A$62&gt;35,AI31+AH32-AQ31,IF(A32&lt;'Données projet'!$A$62,$AF$205^A32,IF(A32='Données projet'!$A$62,'Données projet'!$B$62,AI31+AH32-AQ31)))</f>
        <v>556.33333333333326</v>
      </c>
      <c r="AJ32" s="13">
        <f>AI32*VLOOKUP('Données projet'!$B$10,Paramètres!$A$1:$I$89,3,0)*VLOOKUP('Données projet'!$B$10,Paramètres!$A$1:$I$89,5,0)</f>
        <v>303.75799999999998</v>
      </c>
      <c r="AK32" s="13">
        <f t="shared" si="35"/>
        <v>71.963712919312869</v>
      </c>
      <c r="AL32" s="20">
        <f t="shared" si="4"/>
        <v>654.38198333446974</v>
      </c>
      <c r="AM32" s="59">
        <f t="shared" si="5"/>
        <v>947.71531666780311</v>
      </c>
      <c r="AN32" s="59">
        <f ca="1">AVERAGE(OFFSET($AM$3,0,0,'Données projet'!$E$10+1,1))-AVERAGE(OFFSET($H$3,0,0,'Données projet'!$E$10+1,1))</f>
        <v>417.99456559608217</v>
      </c>
      <c r="AO32" s="59">
        <f t="shared" si="36"/>
        <v>651.41353014863932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11.4</v>
      </c>
      <c r="BD32" s="12">
        <f>IF('Données projet'!$A$88&gt;35,BD31+BC32-BL31,IF(A32&lt;'Données projet'!$A$88,$BA$205^A32,IF(A32='Données projet'!$A$88,'Données projet'!$B$88,BD31+BC32-BL31)))</f>
        <v>151.6</v>
      </c>
      <c r="BE32" s="13">
        <f>BD32*VLOOKUP('Données projet'!$B$11,Paramètres!$A$1:$I$89,3,0)*VLOOKUP('Données projet'!$B$11,Paramètres!$A$1:$I$89,5,0)</f>
        <v>132.43776</v>
      </c>
      <c r="BF32" s="13">
        <f t="shared" si="37"/>
        <v>34.559043580858436</v>
      </c>
      <c r="BG32" s="20">
        <f t="shared" si="7"/>
        <v>290.85276623666175</v>
      </c>
      <c r="BH32" s="59">
        <f t="shared" si="8"/>
        <v>584.18609956999512</v>
      </c>
      <c r="BI32" s="59">
        <f ca="1">AVERAGE(OFFSET($BH$3,0,0,'Données projet'!$E$11+1,1))-AVERAGE(OFFSET($H$3,0,0,'Données projet'!$E$11+1,1))</f>
        <v>247.61330734992077</v>
      </c>
      <c r="BJ32" s="59">
        <f t="shared" si="38"/>
        <v>278.55937893537259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14.429999999999998</v>
      </c>
      <c r="D33" s="11">
        <f t="shared" si="32"/>
        <v>4.8739356957462956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149.01283694962049</v>
      </c>
      <c r="H33" s="66">
        <f t="shared" si="1"/>
        <v>326.95435467009145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421</v>
      </c>
      <c r="L33" s="12">
        <f>VLOOKUP(A33,'Données projet'!$A$35:$I$55,9,0)</f>
        <v>28</v>
      </c>
      <c r="M33" s="12">
        <f t="array" ref="M33">INDEX(L:L,MIN(IF(ISNUMBER(L33:L229),ROW(L33:L229),"")))</f>
        <v>28</v>
      </c>
      <c r="N33" s="13">
        <f>IF('Données projet'!$A$36&gt;35,N32+M33-V32,IF(A33&lt;'Données projet'!$A$36,$K$205^A33,IF(A33='Données projet'!$A$36,'Données projet'!$B$36,N32+M33-V32)))</f>
        <v>421</v>
      </c>
      <c r="O33" s="13">
        <f>N33*VLOOKUP('Données projet'!$B$9,Paramètres!$A$1:$I$89,3,0)*VLOOKUP('Données projet'!$B$9,Paramètres!$A$1:$I$89,5,0)</f>
        <v>235.339</v>
      </c>
      <c r="P33" s="13">
        <f t="shared" si="33"/>
        <v>57.43555185051494</v>
      </c>
      <c r="Q33" s="20">
        <f t="shared" si="2"/>
        <v>509.91567780631357</v>
      </c>
      <c r="R33" s="59">
        <f t="shared" si="0"/>
        <v>803.24901113964688</v>
      </c>
      <c r="S33" s="59">
        <f ca="1">AVERAGE(OFFSET($R$3,0,0,'Données projet'!$E$9+1,1))-AVERAGE(OFFSET($H$3,0,0,'Données projet'!$E$9+1,1))</f>
        <v>382.55387448074327</v>
      </c>
      <c r="T33" s="59">
        <f t="shared" si="34"/>
        <v>476.29465646955543</v>
      </c>
      <c r="U33" s="15">
        <f>IF(ISNA(VLOOKUP(A33,'Données projet'!$A$35:$I$55,3,0)),0,VLOOKUP(A33,'Données projet'!$A$35:$I$55,3,0))</f>
        <v>2</v>
      </c>
      <c r="V33" s="15">
        <f>IF(ISNA(VLOOKUP(A33,'Données projet'!$A$35:$I$55,4,0)),0,VLOOKUP(A33,'Données projet'!$A$35:$I$55,4,0))</f>
        <v>54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0.55000000000000004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41.034836533646569</v>
      </c>
      <c r="AB33" s="21">
        <f>EXP(-LN(2)/2)*AB32+(1-EXP(-LN(2)/2))/(LN(2)/2)*V33*Y33*VLOOKUP('Données projet'!$B$9,Paramètres!$A$1:$I$89,3,0)*0.475*44/12</f>
        <v>0</v>
      </c>
      <c r="AC33" s="22">
        <f t="shared" si="3"/>
        <v>41.034836533646569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583</v>
      </c>
      <c r="AG33" s="12">
        <f>VLOOKUP(A33,'Données projet'!$A$61:$I$81,9,0)</f>
        <v>26.666666666666668</v>
      </c>
      <c r="AH33" s="12">
        <f t="array" ref="AH33">INDEX(AG:AG,MIN(IF(ISNUMBER(AG33:AG229),ROW(AG33:AG229),"")))</f>
        <v>26.666666666666668</v>
      </c>
      <c r="AI33" s="13">
        <f>IF('Données projet'!$A$62&gt;35,AI32+AH33-AQ32,IF(A33&lt;'Données projet'!$A$62,$AF$205^A33,IF(A33='Données projet'!$A$62,'Données projet'!$B$62,AI32+AH33-AQ32)))</f>
        <v>582.99999999999989</v>
      </c>
      <c r="AJ33" s="13">
        <f>AI33*VLOOKUP('Données projet'!$B$10,Paramètres!$A$1:$I$89,3,0)*VLOOKUP('Données projet'!$B$10,Paramètres!$A$1:$I$89,5,0)</f>
        <v>318.31799999999993</v>
      </c>
      <c r="AK33" s="13">
        <f t="shared" si="35"/>
        <v>75.003273580132586</v>
      </c>
      <c r="AL33" s="20">
        <f t="shared" si="4"/>
        <v>685.03455148539751</v>
      </c>
      <c r="AM33" s="59">
        <f t="shared" si="5"/>
        <v>978.36788481873077</v>
      </c>
      <c r="AN33" s="59">
        <f ca="1">AVERAGE(OFFSET($AM$3,0,0,'Données projet'!$E$10+1,1))-AVERAGE(OFFSET($H$3,0,0,'Données projet'!$E$10+1,1))</f>
        <v>417.99456559608217</v>
      </c>
      <c r="AO33" s="59">
        <f t="shared" si="36"/>
        <v>651.41353014863932</v>
      </c>
      <c r="AP33" s="15">
        <f>IF(ISNA(VLOOKUP(A33,'Données projet'!$A$61:$I$81,3,0)),0,VLOOKUP(A33,'Données projet'!$A$61:$I$81,3,0))</f>
        <v>1</v>
      </c>
      <c r="AQ33" s="15">
        <f>IF(ISNA(VLOOKUP(A33,'Données projet'!$A$61:$I$81,4,0)),0,VLOOKUP(A33,'Données projet'!$A$61:$I$81,4,0))</f>
        <v>107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0.6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46.317239655458827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46.317239655458827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163</v>
      </c>
      <c r="BB33" s="12">
        <f>VLOOKUP(A33,'Données projet'!$A$87:$I$107,9,0)</f>
        <v>11.4</v>
      </c>
      <c r="BC33" s="12">
        <f t="array" ref="BC33">INDEX(BB:BB,MIN(IF(ISNUMBER(BB33:BB229),ROW(BB33:BB229),"")))</f>
        <v>11.4</v>
      </c>
      <c r="BD33" s="12">
        <f>IF('Données projet'!$A$88&gt;35,BD32+BC33-BL32,IF(A33&lt;'Données projet'!$A$88,$BA$205^A33,IF(A33='Données projet'!$A$88,'Données projet'!$B$88,BD32+BC33-BL32)))</f>
        <v>163</v>
      </c>
      <c r="BE33" s="13">
        <f>BD33*VLOOKUP('Données projet'!$B$11,Paramètres!$A$1:$I$89,3,0)*VLOOKUP('Données projet'!$B$11,Paramètres!$A$1:$I$89,5,0)</f>
        <v>142.39680000000004</v>
      </c>
      <c r="BF33" s="13">
        <f t="shared" si="37"/>
        <v>36.845535084476985</v>
      </c>
      <c r="BG33" s="20">
        <f t="shared" si="7"/>
        <v>312.18040027213078</v>
      </c>
      <c r="BH33" s="59">
        <f t="shared" si="8"/>
        <v>605.51373360546404</v>
      </c>
      <c r="BI33" s="59">
        <f ca="1">AVERAGE(OFFSET($BH$3,0,0,'Données projet'!$E$11+1,1))-AVERAGE(OFFSET($H$3,0,0,'Données projet'!$E$11+1,1))</f>
        <v>247.61330734992077</v>
      </c>
      <c r="BJ33" s="59">
        <f t="shared" si="38"/>
        <v>278.55937893537259</v>
      </c>
      <c r="BK33" s="15">
        <f>IF(ISNA(VLOOKUP(A33,'Données projet'!$A$87:$I$107,3,0)),0,VLOOKUP(A33,'Données projet'!$A$87:$I$107,3,0))</f>
        <v>3</v>
      </c>
      <c r="BL33" s="15">
        <f>IF(ISNA(VLOOKUP(A33,'Données projet'!$A$87:$I$107,4,0)),0,VLOOKUP(A33,'Données projet'!$A$87:$I$107,4,0))</f>
        <v>37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14.910999999999998</v>
      </c>
      <c r="D34" s="11">
        <f t="shared" si="32"/>
        <v>5.0172142492270986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153.83182929227934</v>
      </c>
      <c r="H34" s="66">
        <f t="shared" si="1"/>
        <v>328.04163981740385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27.6</v>
      </c>
      <c r="N34" s="13">
        <f>IF('Données projet'!$A$36&gt;35,N33+M34-V33,IF(A34&lt;'Données projet'!$A$36,$K$205^A34,IF(A34='Données projet'!$A$36,'Données projet'!$B$36,N33+M34-V33)))</f>
        <v>394.6</v>
      </c>
      <c r="O34" s="13">
        <f>N34*VLOOKUP('Données projet'!$B$9,Paramètres!$A$1:$I$89,3,0)*VLOOKUP('Données projet'!$B$9,Paramètres!$A$1:$I$89,5,0)</f>
        <v>220.5814</v>
      </c>
      <c r="P34" s="13">
        <f t="shared" si="33"/>
        <v>54.241230721401301</v>
      </c>
      <c r="Q34" s="20">
        <f t="shared" si="2"/>
        <v>478.64941517310723</v>
      </c>
      <c r="R34" s="59">
        <f t="shared" si="0"/>
        <v>771.98274850644054</v>
      </c>
      <c r="S34" s="59">
        <f ca="1">AVERAGE(OFFSET($R$3,0,0,'Données projet'!$E$9+1,1))-AVERAGE(OFFSET($H$3,0,0,'Données projet'!$E$9+1,1))</f>
        <v>382.55387448074327</v>
      </c>
      <c r="T34" s="59">
        <f t="shared" si="34"/>
        <v>476.29465646955543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39.912736770705735</v>
      </c>
      <c r="AB34" s="21">
        <f>EXP(-LN(2)/2)*AB33+(1-EXP(-LN(2)/2))/(LN(2)/2)*V34*Y34*VLOOKUP('Données projet'!$B$9,Paramètres!$A$1:$I$89,3,0)*0.475*44/12</f>
        <v>0</v>
      </c>
      <c r="AC34" s="22">
        <f t="shared" si="3"/>
        <v>39.912736770705735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24.166666666666668</v>
      </c>
      <c r="AI34" s="13">
        <f>IF('Données projet'!$A$62&gt;35,AI33+AH34-AQ33,IF(A34&lt;'Données projet'!$A$62,$AF$205^A34,IF(A34='Données projet'!$A$62,'Données projet'!$B$62,AI33+AH34-AQ33)))</f>
        <v>500.16666666666652</v>
      </c>
      <c r="AJ34" s="13">
        <f>AI34*VLOOKUP('Données projet'!$B$10,Paramètres!$A$1:$I$89,3,0)*VLOOKUP('Données projet'!$B$10,Paramètres!$A$1:$I$89,5,0)</f>
        <v>273.09099999999995</v>
      </c>
      <c r="AK34" s="13">
        <f t="shared" si="35"/>
        <v>65.504822276997572</v>
      </c>
      <c r="AL34" s="20">
        <f t="shared" si="4"/>
        <v>589.72105713243729</v>
      </c>
      <c r="AM34" s="59">
        <f t="shared" si="5"/>
        <v>883.05439046577067</v>
      </c>
      <c r="AN34" s="59">
        <f ca="1">AVERAGE(OFFSET($AM$3,0,0,'Données projet'!$E$10+1,1))-AVERAGE(OFFSET($H$3,0,0,'Données projet'!$E$10+1,1))</f>
        <v>417.99456559608217</v>
      </c>
      <c r="AO34" s="59">
        <f t="shared" si="36"/>
        <v>651.41353014863932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45.050692301362531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45.050692301362531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10.6</v>
      </c>
      <c r="BD34" s="12">
        <f>IF('Données projet'!$A$88&gt;35,BD33+BC34-BL33,IF(A34&lt;'Données projet'!$A$88,$BA$205^A34,IF(A34='Données projet'!$A$88,'Données projet'!$B$88,BD33+BC34-BL33)))</f>
        <v>136.6</v>
      </c>
      <c r="BE34" s="13">
        <f>BD34*VLOOKUP('Données projet'!$B$11,Paramètres!$A$1:$I$89,3,0)*VLOOKUP('Données projet'!$B$11,Paramètres!$A$1:$I$89,5,0)</f>
        <v>119.33376000000001</v>
      </c>
      <c r="BF34" s="13">
        <f t="shared" si="37"/>
        <v>31.519559440518702</v>
      </c>
      <c r="BG34" s="20">
        <f t="shared" si="7"/>
        <v>262.7361980255701</v>
      </c>
      <c r="BH34" s="59">
        <f t="shared" si="8"/>
        <v>556.06953135890342</v>
      </c>
      <c r="BI34" s="59">
        <f ca="1">AVERAGE(OFFSET($BH$3,0,0,'Données projet'!$E$11+1,1))-AVERAGE(OFFSET($H$3,0,0,'Données projet'!$E$11+1,1))</f>
        <v>247.61330734992077</v>
      </c>
      <c r="BJ34" s="59">
        <f t="shared" si="38"/>
        <v>278.55937893537259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15.391999999999998</v>
      </c>
      <c r="D35" s="11">
        <f t="shared" si="32"/>
        <v>5.1599557252083068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158.64667577353779</v>
      </c>
      <c r="H35" s="66">
        <f t="shared" si="1"/>
        <v>329.12798955473778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27.6</v>
      </c>
      <c r="N35" s="13">
        <f>IF('Données projet'!$A$36&gt;35,N34+M35-V34,IF(A35&lt;'Données projet'!$A$36,$K$205^A35,IF(A35='Données projet'!$A$36,'Données projet'!$B$36,N34+M35-V34)))</f>
        <v>422.20000000000005</v>
      </c>
      <c r="O35" s="13">
        <f>N35*VLOOKUP('Données projet'!$B$9,Paramètres!$A$1:$I$89,3,0)*VLOOKUP('Données projet'!$B$9,Paramètres!$A$1:$I$89,5,0)</f>
        <v>236.00980000000004</v>
      </c>
      <c r="P35" s="13">
        <f t="shared" si="33"/>
        <v>57.580183613654185</v>
      </c>
      <c r="Q35" s="20">
        <f t="shared" ref="Q35:Q66" si="53">(O35+P35)*0.475*44/12</f>
        <v>511.3358881271144</v>
      </c>
      <c r="R35" s="59">
        <f t="shared" si="0"/>
        <v>804.66922146044772</v>
      </c>
      <c r="S35" s="59">
        <f ca="1">AVERAGE(OFFSET($R$3,0,0,'Données projet'!$E$9+1,1))-AVERAGE(OFFSET($H$3,0,0,'Données projet'!$E$9+1,1))</f>
        <v>382.55387448074327</v>
      </c>
      <c r="T35" s="59">
        <f t="shared" si="34"/>
        <v>476.29465646955543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38.821320884791184</v>
      </c>
      <c r="AB35" s="21">
        <f>EXP(-LN(2)/2)*AB34+(1-EXP(-LN(2)/2))/(LN(2)/2)*V35*Y35*VLOOKUP('Données projet'!$B$9,Paramètres!$A$1:$I$89,3,0)*0.475*44/12</f>
        <v>0</v>
      </c>
      <c r="AC35" s="22">
        <f t="shared" si="3"/>
        <v>38.821320884791184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24.166666666666668</v>
      </c>
      <c r="AI35" s="13">
        <f>IF('Données projet'!$A$62&gt;35,AI34+AH35-AQ34,IF(A35&lt;'Données projet'!$A$62,$AF$205^A35,IF(A35='Données projet'!$A$62,'Données projet'!$B$62,AI34+AH35-AQ34)))</f>
        <v>524.33333333333314</v>
      </c>
      <c r="AJ35" s="13">
        <f>AI35*VLOOKUP('Données projet'!$B$10,Paramètres!$A$1:$I$89,3,0)*VLOOKUP('Données projet'!$B$10,Paramètres!$A$1:$I$89,5,0)</f>
        <v>286.28599999999989</v>
      </c>
      <c r="AK35" s="13">
        <f t="shared" si="35"/>
        <v>68.293700022502861</v>
      </c>
      <c r="AL35" s="20">
        <f t="shared" si="4"/>
        <v>617.55964420585894</v>
      </c>
      <c r="AM35" s="59">
        <f t="shared" si="5"/>
        <v>910.89297753919232</v>
      </c>
      <c r="AN35" s="59">
        <f ca="1">AVERAGE(OFFSET($AM$3,0,0,'Données projet'!$E$10+1,1))-AVERAGE(OFFSET($H$3,0,0,'Données projet'!$E$10+1,1))</f>
        <v>417.99456559608217</v>
      </c>
      <c r="AO35" s="59">
        <f t="shared" si="36"/>
        <v>651.41353014863932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43.81877875126883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43.81877875126883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10.6</v>
      </c>
      <c r="BD35" s="12">
        <f>IF('Données projet'!$A$88&gt;35,BD34+BC35-BL34,IF(A35&lt;'Données projet'!$A$88,$BA$205^A35,IF(A35='Données projet'!$A$88,'Données projet'!$B$88,BD34+BC35-BL34)))</f>
        <v>147.19999999999999</v>
      </c>
      <c r="BE35" s="13">
        <f>BD35*VLOOKUP('Données projet'!$B$11,Paramètres!$A$1:$I$89,3,0)*VLOOKUP('Données projet'!$B$11,Paramètres!$A$1:$I$89,5,0)</f>
        <v>128.59392</v>
      </c>
      <c r="BF35" s="13">
        <f t="shared" si="37"/>
        <v>33.671250175837564</v>
      </c>
      <c r="BG35" s="20">
        <f t="shared" si="7"/>
        <v>282.61183805625041</v>
      </c>
      <c r="BH35" s="59">
        <f t="shared" si="8"/>
        <v>575.94517138958372</v>
      </c>
      <c r="BI35" s="59">
        <f ca="1">AVERAGE(OFFSET($BH$3,0,0,'Données projet'!$E$11+1,1))-AVERAGE(OFFSET($H$3,0,0,'Données projet'!$E$11+1,1))</f>
        <v>247.61330734992077</v>
      </c>
      <c r="BJ35" s="59">
        <f t="shared" si="38"/>
        <v>278.55937893537259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15.872999999999998</v>
      </c>
      <c r="D36" s="11">
        <f t="shared" si="32"/>
        <v>5.3021788331229462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163.4575208170894</v>
      </c>
      <c r="H36" s="66">
        <f t="shared" si="1"/>
        <v>330.21343646768912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27.6</v>
      </c>
      <c r="N36" s="13">
        <f>IF('Données projet'!$A$36&gt;35,N35+M36-V35,IF(A36&lt;'Données projet'!$A$36,$K$205^A36,IF(A36='Données projet'!$A$36,'Données projet'!$B$36,N35+M36-V35)))</f>
        <v>449.80000000000007</v>
      </c>
      <c r="O36" s="13">
        <f>N36*VLOOKUP('Données projet'!$B$9,Paramètres!$A$1:$I$89,3,0)*VLOOKUP('Données projet'!$B$9,Paramètres!$A$1:$I$89,5,0)</f>
        <v>251.43820000000002</v>
      </c>
      <c r="P36" s="13">
        <f t="shared" si="33"/>
        <v>60.893806844597648</v>
      </c>
      <c r="Q36" s="20">
        <f t="shared" si="53"/>
        <v>543.978245254341</v>
      </c>
      <c r="R36" s="59">
        <f t="shared" si="0"/>
        <v>837.31157858767438</v>
      </c>
      <c r="S36" s="59">
        <f ca="1">AVERAGE(OFFSET($R$3,0,0,'Données projet'!$E$9+1,1))-AVERAGE(OFFSET($H$3,0,0,'Données projet'!$E$9+1,1))</f>
        <v>382.55387448074327</v>
      </c>
      <c r="T36" s="59">
        <f t="shared" si="34"/>
        <v>476.29465646955543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37.759749823672031</v>
      </c>
      <c r="AB36" s="21">
        <f>EXP(-LN(2)/2)*AB35+(1-EXP(-LN(2)/2))/(LN(2)/2)*V36*Y36*VLOOKUP('Données projet'!$B$9,Paramètres!$A$1:$I$89,3,0)*0.475*44/12</f>
        <v>0</v>
      </c>
      <c r="AC36" s="22">
        <f t="shared" si="3"/>
        <v>37.759749823672031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24.166666666666668</v>
      </c>
      <c r="AI36" s="13">
        <f>IF('Données projet'!$A$62&gt;35,AI35+AH36-AQ35,IF(A36&lt;'Données projet'!$A$62,$AF$205^A36,IF(A36='Données projet'!$A$62,'Données projet'!$B$62,AI35+AH36-AQ35)))</f>
        <v>548.49999999999977</v>
      </c>
      <c r="AJ36" s="13">
        <f>AI36*VLOOKUP('Données projet'!$B$10,Paramètres!$A$1:$I$89,3,0)*VLOOKUP('Données projet'!$B$10,Paramètres!$A$1:$I$89,5,0)</f>
        <v>299.48099999999988</v>
      </c>
      <c r="AK36" s="13">
        <f t="shared" si="35"/>
        <v>71.067650178747357</v>
      </c>
      <c r="AL36" s="20">
        <f t="shared" si="4"/>
        <v>645.37223239465152</v>
      </c>
      <c r="AM36" s="59">
        <f t="shared" si="5"/>
        <v>938.70556572798478</v>
      </c>
      <c r="AN36" s="59">
        <f ca="1">AVERAGE(OFFSET($AM$3,0,0,'Données projet'!$E$10+1,1))-AVERAGE(OFFSET($H$3,0,0,'Données projet'!$E$10+1,1))</f>
        <v>417.99456559608217</v>
      </c>
      <c r="AO36" s="59">
        <f t="shared" si="36"/>
        <v>651.41353014863932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42.620551941985958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42.620551941985958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10.6</v>
      </c>
      <c r="BD36" s="12">
        <f>IF('Données projet'!$A$88&gt;35,BD35+BC36-BL35,IF(A36&lt;'Données projet'!$A$88,$BA$205^A36,IF(A36='Données projet'!$A$88,'Données projet'!$B$88,BD35+BC36-BL35)))</f>
        <v>157.79999999999998</v>
      </c>
      <c r="BE36" s="13">
        <f>BD36*VLOOKUP('Données projet'!$B$11,Paramètres!$A$1:$I$89,3,0)*VLOOKUP('Données projet'!$B$11,Paramètres!$A$1:$I$89,5,0)</f>
        <v>137.85408000000001</v>
      </c>
      <c r="BF36" s="13">
        <f t="shared" si="37"/>
        <v>35.804964283629964</v>
      </c>
      <c r="BG36" s="20">
        <f t="shared" si="7"/>
        <v>302.45616879398887</v>
      </c>
      <c r="BH36" s="59">
        <f t="shared" si="8"/>
        <v>595.78950212732218</v>
      </c>
      <c r="BI36" s="59">
        <f ca="1">AVERAGE(OFFSET($BH$3,0,0,'Données projet'!$E$11+1,1))-AVERAGE(OFFSET($H$3,0,0,'Données projet'!$E$11+1,1))</f>
        <v>247.61330734992077</v>
      </c>
      <c r="BJ36" s="59">
        <f t="shared" si="38"/>
        <v>278.55937893537259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16.353999999999999</v>
      </c>
      <c r="D37" s="11">
        <f t="shared" si="32"/>
        <v>5.4439010840635174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168.26449959627979</v>
      </c>
      <c r="H37" s="66">
        <f t="shared" si="1"/>
        <v>331.29801105474394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27.6</v>
      </c>
      <c r="N37" s="13">
        <f>IF('Données projet'!$A$36&gt;35,N36+M37-V36,IF(A37&lt;'Données projet'!$A$36,$K$205^A37,IF(A37='Données projet'!$A$36,'Données projet'!$B$36,N36+M37-V36)))</f>
        <v>477.40000000000009</v>
      </c>
      <c r="O37" s="13">
        <f>N37*VLOOKUP('Données projet'!$B$9,Paramètres!$A$1:$I$89,3,0)*VLOOKUP('Données projet'!$B$9,Paramètres!$A$1:$I$89,5,0)</f>
        <v>266.86660000000006</v>
      </c>
      <c r="P37" s="13">
        <f t="shared" si="33"/>
        <v>64.183831628008477</v>
      </c>
      <c r="Q37" s="20">
        <f t="shared" si="53"/>
        <v>576.57950175211477</v>
      </c>
      <c r="R37" s="59">
        <f t="shared" si="0"/>
        <v>869.91283508544802</v>
      </c>
      <c r="S37" s="59">
        <f ca="1">AVERAGE(OFFSET($R$3,0,0,'Données projet'!$E$9+1,1))-AVERAGE(OFFSET($H$3,0,0,'Données projet'!$E$9+1,1))</f>
        <v>382.55387448074327</v>
      </c>
      <c r="T37" s="59">
        <f t="shared" si="34"/>
        <v>476.29465646955543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36.727207479044779</v>
      </c>
      <c r="AB37" s="21">
        <f>EXP(-LN(2)/2)*AB36+(1-EXP(-LN(2)/2))/(LN(2)/2)*V37*Y37*VLOOKUP('Données projet'!$B$9,Paramètres!$A$1:$I$89,3,0)*0.475*44/12</f>
        <v>0</v>
      </c>
      <c r="AC37" s="22">
        <f t="shared" si="3"/>
        <v>36.727207479044779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24.166666666666668</v>
      </c>
      <c r="AI37" s="13">
        <f>IF('Données projet'!$A$62&gt;35,AI36+AH37-AQ36,IF(A37&lt;'Données projet'!$A$62,$AF$205^A37,IF(A37='Données projet'!$A$62,'Données projet'!$B$62,AI36+AH37-AQ36)))</f>
        <v>572.6666666666664</v>
      </c>
      <c r="AJ37" s="13">
        <f>AI37*VLOOKUP('Données projet'!$B$10,Paramètres!$A$1:$I$89,3,0)*VLOOKUP('Données projet'!$B$10,Paramètres!$A$1:$I$89,5,0)</f>
        <v>312.67599999999982</v>
      </c>
      <c r="AK37" s="13">
        <f t="shared" si="35"/>
        <v>73.827405609875768</v>
      </c>
      <c r="AL37" s="20">
        <f t="shared" si="4"/>
        <v>673.16009810386652</v>
      </c>
      <c r="AM37" s="59">
        <f t="shared" si="5"/>
        <v>966.49343143719989</v>
      </c>
      <c r="AN37" s="59">
        <f ca="1">AVERAGE(OFFSET($AM$3,0,0,'Données projet'!$E$10+1,1))-AVERAGE(OFFSET($H$3,0,0,'Données projet'!$E$10+1,1))</f>
        <v>417.99456559608217</v>
      </c>
      <c r="AO37" s="59">
        <f t="shared" si="36"/>
        <v>651.41353014863932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41.455090707814939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41.455090707814939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10.6</v>
      </c>
      <c r="BD37" s="12">
        <f>IF('Données projet'!$A$88&gt;35,BD36+BC37-BL36,IF(A37&lt;'Données projet'!$A$88,$BA$205^A37,IF(A37='Données projet'!$A$88,'Données projet'!$B$88,BD36+BC37-BL36)))</f>
        <v>168.39999999999998</v>
      </c>
      <c r="BE37" s="13">
        <f>BD37*VLOOKUP('Données projet'!$B$11,Paramètres!$A$1:$I$89,3,0)*VLOOKUP('Données projet'!$B$11,Paramètres!$A$1:$I$89,5,0)</f>
        <v>147.11424</v>
      </c>
      <c r="BF37" s="13">
        <f t="shared" si="37"/>
        <v>37.922046712608186</v>
      </c>
      <c r="BG37" s="20">
        <f t="shared" si="7"/>
        <v>322.27153269112591</v>
      </c>
      <c r="BH37" s="59">
        <f t="shared" si="8"/>
        <v>615.60486602445917</v>
      </c>
      <c r="BI37" s="59">
        <f ca="1">AVERAGE(OFFSET($BH$3,0,0,'Données projet'!$E$11+1,1))-AVERAGE(OFFSET($H$3,0,0,'Données projet'!$E$11+1,1))</f>
        <v>247.61330734992077</v>
      </c>
      <c r="BJ37" s="59">
        <f t="shared" si="38"/>
        <v>278.55937893537259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16.835000000000001</v>
      </c>
      <c r="D38" s="11">
        <f t="shared" si="32"/>
        <v>5.5851389004969132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173.06773888102882</v>
      </c>
      <c r="H38" s="66">
        <f t="shared" si="1"/>
        <v>332.38174191836544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505</v>
      </c>
      <c r="L38" s="12">
        <f>VLOOKUP(A38,'Données projet'!$A$35:$I$55,9,0)</f>
        <v>27.6</v>
      </c>
      <c r="M38" s="12">
        <f t="array" ref="M38">INDEX(L:L,MIN(IF(ISNUMBER(L38:L234),ROW(L38:L234),"")))</f>
        <v>27.6</v>
      </c>
      <c r="N38" s="13">
        <f>IF('Données projet'!$A$36&gt;35,N37+M38-V37,IF(A38&lt;'Données projet'!$A$36,$K$205^A38,IF(A38='Données projet'!$A$36,'Données projet'!$B$36,N37+M38-V37)))</f>
        <v>505.00000000000011</v>
      </c>
      <c r="O38" s="13">
        <f>N38*VLOOKUP('Données projet'!$B$9,Paramètres!$A$1:$I$89,3,0)*VLOOKUP('Données projet'!$B$9,Paramètres!$A$1:$I$89,5,0)</f>
        <v>282.29500000000007</v>
      </c>
      <c r="P38" s="13">
        <f t="shared" si="33"/>
        <v>67.451777696853824</v>
      </c>
      <c r="Q38" s="20">
        <f t="shared" si="53"/>
        <v>609.14230448868716</v>
      </c>
      <c r="R38" s="59">
        <f t="shared" si="0"/>
        <v>902.47563782202042</v>
      </c>
      <c r="S38" s="59">
        <f ca="1">AVERAGE(OFFSET($R$3,0,0,'Données projet'!$E$9+1,1))-AVERAGE(OFFSET($H$3,0,0,'Données projet'!$E$9+1,1))</f>
        <v>382.55387448074327</v>
      </c>
      <c r="T38" s="59">
        <f t="shared" si="34"/>
        <v>476.29465646955543</v>
      </c>
      <c r="U38" s="15">
        <f>IF(ISNA(VLOOKUP(A38,'Données projet'!$A$35:$I$55,3,0)),0,VLOOKUP(A38,'Données projet'!$A$35:$I$55,3,0))</f>
        <v>3</v>
      </c>
      <c r="V38" s="15">
        <f>IF(ISNA(VLOOKUP(A38,'Données projet'!$A$35:$I$55,4,0)),0,VLOOKUP(A38,'Données projet'!$A$35:$I$55,4,0))</f>
        <v>69</v>
      </c>
      <c r="W38" s="16">
        <f>IF(ISNA(VLOOKUP(A38,'Données projet'!$A$35:$I$55,5,0)),0%,VLOOKUP(A38,'Données projet'!$A$35:$I$55,5,0)*VLOOKUP('Données projet'!$B$9,Paramètres!$A$1:$I$89,7,0))</f>
        <v>0.55000000000000004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28.14180468591718</v>
      </c>
      <c r="AA38" s="21">
        <f>EXP(-LN(2)/25)*AA37+(1-EXP(-LN(2)/25))/(LN(2)/25)*Calculateur!V38*Calculateur!X38*VLOOKUP('Données projet'!$B$9,Paramètres!$A$1:$I$89,3,0)*0.475*44/12</f>
        <v>35.722900059130396</v>
      </c>
      <c r="AB38" s="21">
        <f>EXP(-LN(2)/2)*AB37+(1-EXP(-LN(2)/2))/(LN(2)/2)*V38*Y38*VLOOKUP('Données projet'!$B$9,Paramètres!$A$1:$I$89,3,0)*0.475*44/12</f>
        <v>0</v>
      </c>
      <c r="AC38" s="22">
        <f t="shared" si="3"/>
        <v>63.864704745047575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24.166666666666668</v>
      </c>
      <c r="AI38" s="13">
        <f>IF('Données projet'!$A$62&gt;35,AI37+AH38-AQ37,IF(A38&lt;'Données projet'!$A$62,$AF$205^A38,IF(A38='Données projet'!$A$62,'Données projet'!$B$62,AI37+AH38-AQ37)))</f>
        <v>596.83333333333303</v>
      </c>
      <c r="AJ38" s="13">
        <f>AI38*VLOOKUP('Données projet'!$B$10,Paramètres!$A$1:$I$89,3,0)*VLOOKUP('Données projet'!$B$10,Paramètres!$A$1:$I$89,5,0)</f>
        <v>325.87099999999987</v>
      </c>
      <c r="AK38" s="13">
        <f t="shared" si="35"/>
        <v>76.573633827002482</v>
      </c>
      <c r="AL38" s="20">
        <f t="shared" si="4"/>
        <v>700.9244039153624</v>
      </c>
      <c r="AM38" s="59">
        <f t="shared" si="5"/>
        <v>994.25773724869578</v>
      </c>
      <c r="AN38" s="59">
        <f ca="1">AVERAGE(OFFSET($AM$3,0,0,'Données projet'!$E$10+1,1))-AVERAGE(OFFSET($H$3,0,0,'Données projet'!$E$10+1,1))</f>
        <v>417.99456559608217</v>
      </c>
      <c r="AO38" s="59">
        <f t="shared" si="36"/>
        <v>651.41353014863932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40.321499072381265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40.321499072381265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179</v>
      </c>
      <c r="BB38" s="12">
        <f>VLOOKUP(A38,'Données projet'!$A$87:$I$107,9,0)</f>
        <v>10.6</v>
      </c>
      <c r="BC38" s="12">
        <f t="array" ref="BC38">INDEX(BB:BB,MIN(IF(ISNUMBER(BB38:BB234),ROW(BB38:BB234),"")))</f>
        <v>10.6</v>
      </c>
      <c r="BD38" s="12">
        <f>IF('Données projet'!$A$88&gt;35,BD37+BC38-BL37,IF(A38&lt;'Données projet'!$A$88,$BA$205^A38,IF(A38='Données projet'!$A$88,'Données projet'!$B$88,BD37+BC38-BL37)))</f>
        <v>178.99999999999997</v>
      </c>
      <c r="BE38" s="13">
        <f>BD38*VLOOKUP('Données projet'!$B$11,Paramètres!$A$1:$I$89,3,0)*VLOOKUP('Données projet'!$B$11,Paramètres!$A$1:$I$89,5,0)</f>
        <v>156.37440000000001</v>
      </c>
      <c r="BF38" s="13">
        <f t="shared" si="37"/>
        <v>40.023663524293205</v>
      </c>
      <c r="BG38" s="20">
        <f t="shared" si="7"/>
        <v>342.05996063814399</v>
      </c>
      <c r="BH38" s="59">
        <f t="shared" si="8"/>
        <v>635.39329397147731</v>
      </c>
      <c r="BI38" s="59">
        <f ca="1">AVERAGE(OFFSET($BH$3,0,0,'Données projet'!$E$11+1,1))-AVERAGE(OFFSET($H$3,0,0,'Données projet'!$E$11+1,1))</f>
        <v>247.61330734992077</v>
      </c>
      <c r="BJ38" s="59">
        <f t="shared" si="38"/>
        <v>278.55937893537259</v>
      </c>
      <c r="BK38" s="15">
        <f>IF(ISNA(VLOOKUP(A38,'Données projet'!$A$87:$I$107,3,0)),0,VLOOKUP(A38,'Données projet'!$A$87:$I$107,3,0))</f>
        <v>4</v>
      </c>
      <c r="BL38" s="15">
        <f>IF(ISNA(VLOOKUP(A38,'Données projet'!$A$87:$I$107,4,0)),0,VLOOKUP(A38,'Données projet'!$A$87:$I$107,4,0))</f>
        <v>36</v>
      </c>
      <c r="BM38" s="16">
        <f>IF(ISNA(VLOOKUP(A38,'Données projet'!$A$87:$I$107,5,0)),0%,VLOOKUP(A38,'Données projet'!$A$87:$I$107,5,0)*VLOOKUP('Données projet'!$B$11,Paramètres!$A$1:$I$89,7,0))</f>
        <v>0.43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14.949638536708571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14.949638536708571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17.316000000000003</v>
      </c>
      <c r="D39" s="11">
        <f t="shared" si="32"/>
        <v>5.7259077130880893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177.86735778524144</v>
      </c>
      <c r="H39" s="66">
        <f t="shared" si="1"/>
        <v>333.46465593362842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25.6</v>
      </c>
      <c r="N39" s="13">
        <f>IF('Données projet'!$A$36&gt;35,N38+M39-V38,IF(A39&lt;'Données projet'!$A$36,$K$205^A39,IF(A39='Données projet'!$A$36,'Données projet'!$B$36,N38+M39-V38)))</f>
        <v>461.60000000000014</v>
      </c>
      <c r="O39" s="13">
        <f>N39*VLOOKUP('Données projet'!$B$9,Paramètres!$A$1:$I$89,3,0)*VLOOKUP('Données projet'!$B$9,Paramètres!$A$1:$I$89,5,0)</f>
        <v>258.03440000000006</v>
      </c>
      <c r="P39" s="13">
        <f t="shared" si="33"/>
        <v>62.303206596431174</v>
      </c>
      <c r="Q39" s="20">
        <f t="shared" si="53"/>
        <v>557.9213314887844</v>
      </c>
      <c r="R39" s="59">
        <f t="shared" si="0"/>
        <v>851.25466482211777</v>
      </c>
      <c r="S39" s="59">
        <f ca="1">AVERAGE(OFFSET($R$3,0,0,'Données projet'!$E$9+1,1))-AVERAGE(OFFSET($H$3,0,0,'Données projet'!$E$9+1,1))</f>
        <v>382.55387448074327</v>
      </c>
      <c r="T39" s="59">
        <f t="shared" si="34"/>
        <v>476.29465646955543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27.589961060832319</v>
      </c>
      <c r="AA39" s="21">
        <f>EXP(-LN(2)/25)*AA38+(1-EXP(-LN(2)/25))/(LN(2)/25)*Calculateur!V39*Calculateur!X39*VLOOKUP('Données projet'!$B$9,Paramètres!$A$1:$I$89,3,0)*0.475*44/12</f>
        <v>34.746055478427806</v>
      </c>
      <c r="AB39" s="21">
        <f>EXP(-LN(2)/2)*AB38+(1-EXP(-LN(2)/2))/(LN(2)/2)*V39*Y39*VLOOKUP('Données projet'!$B$9,Paramètres!$A$1:$I$89,3,0)*0.475*44/12</f>
        <v>0</v>
      </c>
      <c r="AC39" s="22">
        <f t="shared" si="3"/>
        <v>62.336016539260129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>
        <f>VLOOKUP(A39,'Données projet'!$A$61:$I$81,2,0)</f>
        <v>621</v>
      </c>
      <c r="AG39" s="12">
        <f>VLOOKUP(A39,'Données projet'!$A$61:$I$81,9,0)</f>
        <v>24.166666666666668</v>
      </c>
      <c r="AH39" s="12">
        <f t="array" ref="AH39">INDEX(AG:AG,MIN(IF(ISNUMBER(AG39:AG235),ROW(AG39:AG235),"")))</f>
        <v>24.166666666666668</v>
      </c>
      <c r="AI39" s="13">
        <f>IF('Données projet'!$A$62&gt;35,AI38+AH39-AQ38,IF(A39&lt;'Données projet'!$A$62,$AF$205^A39,IF(A39='Données projet'!$A$62,'Données projet'!$B$62,AI38+AH39-AQ38)))</f>
        <v>620.99999999999966</v>
      </c>
      <c r="AJ39" s="13">
        <f>AI39*VLOOKUP('Données projet'!$B$10,Paramètres!$A$1:$I$89,3,0)*VLOOKUP('Données projet'!$B$10,Paramètres!$A$1:$I$89,5,0)</f>
        <v>339.0659999999998</v>
      </c>
      <c r="AK39" s="13">
        <f t="shared" si="35"/>
        <v>79.306945224864819</v>
      </c>
      <c r="AL39" s="20">
        <f t="shared" si="4"/>
        <v>728.66621293330593</v>
      </c>
      <c r="AM39" s="59">
        <f t="shared" si="5"/>
        <v>1021.9995462666393</v>
      </c>
      <c r="AN39" s="59">
        <f ca="1">AVERAGE(OFFSET($AM$3,0,0,'Données projet'!$E$10+1,1))-AVERAGE(OFFSET($H$3,0,0,'Données projet'!$E$10+1,1))</f>
        <v>417.99456559608217</v>
      </c>
      <c r="AO39" s="59">
        <f t="shared" si="36"/>
        <v>651.41353014863932</v>
      </c>
      <c r="AP39" s="15">
        <f>IF(ISNA(VLOOKUP(A39,'Données projet'!$A$61:$I$81,3,0)),0,VLOOKUP(A39,'Données projet'!$A$61:$I$81,3,0))</f>
        <v>2</v>
      </c>
      <c r="AQ39" s="15">
        <f>IF(ISNA(VLOOKUP(A39,'Données projet'!$A$61:$I$81,4,0)),0,VLOOKUP(A39,'Données projet'!$A$61:$I$81,4,0))</f>
        <v>119</v>
      </c>
      <c r="AR39" s="16">
        <f>IF(ISNA(VLOOKUP(A39,'Données projet'!$A$61:$I$81,5,0)),0%,VLOOKUP(A39,'Données projet'!$A$61:$I$81,5,0)*VLOOKUP('Données projet'!$B$10,Paramètres!$A$1:$I$89,7,0))</f>
        <v>0.6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51.715319356637217</v>
      </c>
      <c r="AV39" s="21">
        <f>EXP(-LN(2)/25)*AV38+(1-EXP(-LN(2)/25))/(LN(2)/25)*Calculateur!AQ39*Calculateur!AS39*VLOOKUP('Données projet'!$B$10,Paramètres!$A$1:$I$89,3,0)*0.475*44/12</f>
        <v>39.218905559831519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90.934224916468736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9.6</v>
      </c>
      <c r="BD39" s="12">
        <f>IF('Données projet'!$A$88&gt;35,BD38+BC39-BL38,IF(A39&lt;'Données projet'!$A$88,$BA$205^A39,IF(A39='Données projet'!$A$88,'Données projet'!$B$88,BD38+BC39-BL38)))</f>
        <v>152.59999999999997</v>
      </c>
      <c r="BE39" s="13">
        <f>BD39*VLOOKUP('Données projet'!$B$11,Paramètres!$A$1:$I$89,3,0)*VLOOKUP('Données projet'!$B$11,Paramètres!$A$1:$I$89,5,0)</f>
        <v>133.31135999999998</v>
      </c>
      <c r="BF39" s="13">
        <f t="shared" si="37"/>
        <v>34.760393689821633</v>
      </c>
      <c r="BG39" s="20">
        <f t="shared" si="7"/>
        <v>292.72497100977256</v>
      </c>
      <c r="BH39" s="59">
        <f t="shared" si="8"/>
        <v>586.05830434310587</v>
      </c>
      <c r="BI39" s="59">
        <f ca="1">AVERAGE(OFFSET($BH$3,0,0,'Données projet'!$E$11+1,1))-AVERAGE(OFFSET($H$3,0,0,'Données projet'!$E$11+1,1))</f>
        <v>247.61330734992077</v>
      </c>
      <c r="BJ39" s="59">
        <f t="shared" si="38"/>
        <v>278.55937893537259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14.656485243382859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14.656485243382859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17.797000000000004</v>
      </c>
      <c r="D40" s="11">
        <f t="shared" si="32"/>
        <v>5.8662220464630659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182.66346842883772</v>
      </c>
      <c r="H40" s="66">
        <f t="shared" si="1"/>
        <v>334.54677839758983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25.6</v>
      </c>
      <c r="N40" s="13">
        <f>IF('Données projet'!$A$36&gt;35,N39+M40-V39,IF(A40&lt;'Données projet'!$A$36,$K$205^A40,IF(A40='Données projet'!$A$36,'Données projet'!$B$36,N39+M40-V39)))</f>
        <v>487.20000000000016</v>
      </c>
      <c r="O40" s="13">
        <f>N40*VLOOKUP('Données projet'!$B$9,Paramètres!$A$1:$I$89,3,0)*VLOOKUP('Données projet'!$B$9,Paramètres!$A$1:$I$89,5,0)</f>
        <v>272.34480000000008</v>
      </c>
      <c r="P40" s="13">
        <f t="shared" si="33"/>
        <v>65.346644318451709</v>
      </c>
      <c r="Q40" s="20">
        <f t="shared" si="53"/>
        <v>588.14593218797006</v>
      </c>
      <c r="R40" s="59">
        <f t="shared" si="0"/>
        <v>881.47926552130343</v>
      </c>
      <c r="S40" s="59">
        <f ca="1">AVERAGE(OFFSET($R$3,0,0,'Données projet'!$E$9+1,1))-AVERAGE(OFFSET($H$3,0,0,'Données projet'!$E$9+1,1))</f>
        <v>382.55387448074327</v>
      </c>
      <c r="T40" s="59">
        <f t="shared" si="34"/>
        <v>476.29465646955543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27.048938752643995</v>
      </c>
      <c r="AA40" s="21">
        <f>EXP(-LN(2)/25)*AA39+(1-EXP(-LN(2)/25))/(LN(2)/25)*Calculateur!V40*Calculateur!X40*VLOOKUP('Données projet'!$B$9,Paramètres!$A$1:$I$89,3,0)*0.475*44/12</f>
        <v>33.795922764154554</v>
      </c>
      <c r="AB40" s="21">
        <f>EXP(-LN(2)/2)*AB39+(1-EXP(-LN(2)/2))/(LN(2)/2)*V40*Y40*VLOOKUP('Données projet'!$B$9,Paramètres!$A$1:$I$89,3,0)*0.475*44/12</f>
        <v>0</v>
      </c>
      <c r="AC40" s="22">
        <f t="shared" si="3"/>
        <v>60.844861516798545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18.833333333333332</v>
      </c>
      <c r="AI40" s="13">
        <f>IF('Données projet'!$A$62&gt;35,AI39+AH40-AQ39,IF(A40&lt;'Données projet'!$A$62,$AF$205^A40,IF(A40='Données projet'!$A$62,'Données projet'!$B$62,AI39+AH40-AQ39)))</f>
        <v>520.83333333333303</v>
      </c>
      <c r="AJ40" s="13">
        <f>AI40*VLOOKUP('Données projet'!$B$10,Paramètres!$A$1:$I$89,3,0)*VLOOKUP('Données projet'!$B$10,Paramètres!$A$1:$I$89,5,0)</f>
        <v>284.37499999999983</v>
      </c>
      <c r="AK40" s="13">
        <f t="shared" si="35"/>
        <v>67.89073622148031</v>
      </c>
      <c r="AL40" s="20">
        <f t="shared" si="4"/>
        <v>613.52949058574461</v>
      </c>
      <c r="AM40" s="59">
        <f t="shared" si="5"/>
        <v>906.86282391907798</v>
      </c>
      <c r="AN40" s="59">
        <f ca="1">AVERAGE(OFFSET($AM$3,0,0,'Données projet'!$E$10+1,1))-AVERAGE(OFFSET($H$3,0,0,'Données projet'!$E$10+1,1))</f>
        <v>417.99456559608217</v>
      </c>
      <c r="AO40" s="59">
        <f t="shared" si="36"/>
        <v>651.41353014863932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50.701213487283731</v>
      </c>
      <c r="AV40" s="21">
        <f>EXP(-LN(2)/25)*AV39+(1-EXP(-LN(2)/25))/(LN(2)/25)*Calculateur!AQ40*Calculateur!AS40*VLOOKUP('Données projet'!$B$10,Paramètres!$A$1:$I$89,3,0)*0.475*44/12</f>
        <v>38.146462524865321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88.847676012149051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9.6</v>
      </c>
      <c r="BD40" s="12">
        <f>IF('Données projet'!$A$88&gt;35,BD39+BC40-BL39,IF(A40&lt;'Données projet'!$A$88,$BA$205^A40,IF(A40='Données projet'!$A$88,'Données projet'!$B$88,BD39+BC40-BL39)))</f>
        <v>162.19999999999996</v>
      </c>
      <c r="BE40" s="13">
        <f>BD40*VLOOKUP('Données projet'!$B$11,Paramètres!$A$1:$I$89,3,0)*VLOOKUP('Données projet'!$B$11,Paramètres!$A$1:$I$89,5,0)</f>
        <v>141.69791999999998</v>
      </c>
      <c r="BF40" s="13">
        <f t="shared" si="37"/>
        <v>36.685701801209362</v>
      </c>
      <c r="BG40" s="20">
        <f t="shared" si="7"/>
        <v>310.68480797043964</v>
      </c>
      <c r="BH40" s="59">
        <f t="shared" si="8"/>
        <v>604.01814130377295</v>
      </c>
      <c r="BI40" s="59">
        <f ca="1">AVERAGE(OFFSET($BH$3,0,0,'Données projet'!$E$11+1,1))-AVERAGE(OFFSET($H$3,0,0,'Données projet'!$E$11+1,1))</f>
        <v>247.61330734992077</v>
      </c>
      <c r="BJ40" s="59">
        <f t="shared" si="38"/>
        <v>278.55937893537259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14.369080507333409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14.369080507333409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18.278000000000006</v>
      </c>
      <c r="D41" s="11">
        <f t="shared" si="32"/>
        <v>6.0060955954395361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187.45617652619998</v>
      </c>
      <c r="H41" s="66">
        <f t="shared" si="1"/>
        <v>335.62813316205717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25.6</v>
      </c>
      <c r="N41" s="13">
        <f>IF('Données projet'!$A$36&gt;35,N40+M41-V40,IF(A41&lt;'Données projet'!$A$36,$K$205^A41,IF(A41='Données projet'!$A$36,'Données projet'!$B$36,N40+M41-V40)))</f>
        <v>512.80000000000018</v>
      </c>
      <c r="O41" s="13">
        <f>N41*VLOOKUP('Données projet'!$B$9,Paramètres!$A$1:$I$89,3,0)*VLOOKUP('Données projet'!$B$9,Paramètres!$A$1:$I$89,5,0)</f>
        <v>286.65520000000009</v>
      </c>
      <c r="P41" s="13">
        <f t="shared" si="33"/>
        <v>68.37151538584105</v>
      </c>
      <c r="Q41" s="20">
        <f t="shared" si="53"/>
        <v>618.33819596367323</v>
      </c>
      <c r="R41" s="59">
        <f t="shared" si="0"/>
        <v>911.6715292970066</v>
      </c>
      <c r="S41" s="59">
        <f ca="1">AVERAGE(OFFSET($R$3,0,0,'Données projet'!$E$9+1,1))-AVERAGE(OFFSET($H$3,0,0,'Données projet'!$E$9+1,1))</f>
        <v>382.55387448074327</v>
      </c>
      <c r="T41" s="59">
        <f t="shared" si="34"/>
        <v>476.29465646955543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26.518525561928222</v>
      </c>
      <c r="AA41" s="21">
        <f>EXP(-LN(2)/25)*AA40+(1-EXP(-LN(2)/25))/(LN(2)/25)*Calculateur!V41*Calculateur!X41*VLOOKUP('Données projet'!$B$9,Paramètres!$A$1:$I$89,3,0)*0.475*44/12</f>
        <v>32.871771478918411</v>
      </c>
      <c r="AB41" s="21">
        <f>EXP(-LN(2)/2)*AB40+(1-EXP(-LN(2)/2))/(LN(2)/2)*V41*Y41*VLOOKUP('Données projet'!$B$9,Paramètres!$A$1:$I$89,3,0)*0.475*44/12</f>
        <v>0</v>
      </c>
      <c r="AC41" s="22">
        <f t="shared" si="3"/>
        <v>59.390297040846633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18.833333333333332</v>
      </c>
      <c r="AI41" s="13">
        <f>IF('Données projet'!$A$62&gt;35,AI40+AH41-AQ40,IF(A41&lt;'Données projet'!$A$62,$AF$205^A41,IF(A41='Données projet'!$A$62,'Données projet'!$B$62,AI40+AH41-AQ40)))</f>
        <v>539.6666666666664</v>
      </c>
      <c r="AJ41" s="13">
        <f>AI41*VLOOKUP('Données projet'!$B$10,Paramètres!$A$1:$I$89,3,0)*VLOOKUP('Données projet'!$B$10,Paramètres!$A$1:$I$89,5,0)</f>
        <v>294.65799999999984</v>
      </c>
      <c r="AK41" s="13">
        <f t="shared" si="35"/>
        <v>70.055406729218078</v>
      </c>
      <c r="AL41" s="20">
        <f t="shared" si="4"/>
        <v>635.20918338672129</v>
      </c>
      <c r="AM41" s="59">
        <f t="shared" si="5"/>
        <v>928.54251672005466</v>
      </c>
      <c r="AN41" s="59">
        <f ca="1">AVERAGE(OFFSET($AM$3,0,0,'Données projet'!$E$10+1,1))-AVERAGE(OFFSET($H$3,0,0,'Données projet'!$E$10+1,1))</f>
        <v>417.99456559608217</v>
      </c>
      <c r="AO41" s="59">
        <f t="shared" si="36"/>
        <v>651.41353014863932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49.706993615484762</v>
      </c>
      <c r="AV41" s="21">
        <f>EXP(-LN(2)/25)*AV40+(1-EXP(-LN(2)/25))/(LN(2)/25)*Calculateur!AQ41*Calculateur!AS41*VLOOKUP('Données projet'!$B$10,Paramètres!$A$1:$I$89,3,0)*0.475*44/12</f>
        <v>37.103345501087603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86.810339116572365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9.6</v>
      </c>
      <c r="BD41" s="12">
        <f>IF('Données projet'!$A$88&gt;35,BD40+BC41-BL40,IF(A41&lt;'Données projet'!$A$88,$BA$205^A41,IF(A41='Données projet'!$A$88,'Données projet'!$B$88,BD40+BC41-BL40)))</f>
        <v>171.79999999999995</v>
      </c>
      <c r="BE41" s="13">
        <f>BD41*VLOOKUP('Données projet'!$B$11,Paramètres!$A$1:$I$89,3,0)*VLOOKUP('Données projet'!$B$11,Paramètres!$A$1:$I$89,5,0)</f>
        <v>150.08447999999999</v>
      </c>
      <c r="BF41" s="13">
        <f t="shared" si="37"/>
        <v>38.597783374841299</v>
      </c>
      <c r="BG41" s="20">
        <f t="shared" si="7"/>
        <v>328.62160871118186</v>
      </c>
      <c r="BH41" s="59">
        <f t="shared" si="8"/>
        <v>621.95494204451518</v>
      </c>
      <c r="BI41" s="59">
        <f ca="1">AVERAGE(OFFSET($BH$3,0,0,'Données projet'!$E$11+1,1))-AVERAGE(OFFSET($H$3,0,0,'Données projet'!$E$11+1,1))</f>
        <v>247.61330734992077</v>
      </c>
      <c r="BJ41" s="59">
        <f t="shared" si="38"/>
        <v>278.55937893537259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14.087311602858311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14.087311602858311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18.759000000000007</v>
      </c>
      <c r="D42" s="11">
        <f t="shared" si="32"/>
        <v>6.1455412930074749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192.24558191093493</v>
      </c>
      <c r="H42" s="66">
        <f t="shared" si="1"/>
        <v>336.70874275198798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25.6</v>
      </c>
      <c r="N42" s="13">
        <f>IF('Données projet'!$A$36&gt;35,N41+M42-V41,IF(A42&lt;'Données projet'!$A$36,$K$205^A42,IF(A42='Données projet'!$A$36,'Données projet'!$B$36,N41+M42-V41)))</f>
        <v>538.4000000000002</v>
      </c>
      <c r="O42" s="13">
        <f>N42*VLOOKUP('Données projet'!$B$9,Paramètres!$A$1:$I$89,3,0)*VLOOKUP('Données projet'!$B$9,Paramètres!$A$1:$I$89,5,0)</f>
        <v>300.96560000000011</v>
      </c>
      <c r="P42" s="13">
        <f t="shared" si="33"/>
        <v>71.378852450242803</v>
      </c>
      <c r="Q42" s="20">
        <f t="shared" si="53"/>
        <v>648.49992135083971</v>
      </c>
      <c r="R42" s="59">
        <f t="shared" si="0"/>
        <v>941.83325468417297</v>
      </c>
      <c r="S42" s="59">
        <f ca="1">AVERAGE(OFFSET($R$3,0,0,'Données projet'!$E$9+1,1))-AVERAGE(OFFSET($H$3,0,0,'Données projet'!$E$9+1,1))</f>
        <v>382.55387448074327</v>
      </c>
      <c r="T42" s="59">
        <f t="shared" si="34"/>
        <v>476.29465646955543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25.998513450362282</v>
      </c>
      <c r="AA42" s="21">
        <f>EXP(-LN(2)/25)*AA41+(1-EXP(-LN(2)/25))/(LN(2)/25)*Calculateur!V42*Calculateur!X42*VLOOKUP('Données projet'!$B$9,Paramètres!$A$1:$I$89,3,0)*0.475*44/12</f>
        <v>31.972891159176054</v>
      </c>
      <c r="AB42" s="21">
        <f>EXP(-LN(2)/2)*AB41+(1-EXP(-LN(2)/2))/(LN(2)/2)*V42*Y42*VLOOKUP('Données projet'!$B$9,Paramètres!$A$1:$I$89,3,0)*0.475*44/12</f>
        <v>0</v>
      </c>
      <c r="AC42" s="22">
        <f t="shared" si="3"/>
        <v>57.97140460953834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18.833333333333332</v>
      </c>
      <c r="AI42" s="13">
        <f>IF('Données projet'!$A$62&gt;35,AI41+AH42-AQ41,IF(A42&lt;'Données projet'!$A$62,$AF$205^A42,IF(A42='Données projet'!$A$62,'Données projet'!$B$62,AI41+AH42-AQ41)))</f>
        <v>558.49999999999977</v>
      </c>
      <c r="AJ42" s="13">
        <f>AI42*VLOOKUP('Données projet'!$B$10,Paramètres!$A$1:$I$89,3,0)*VLOOKUP('Données projet'!$B$10,Paramètres!$A$1:$I$89,5,0)</f>
        <v>304.94099999999992</v>
      </c>
      <c r="AK42" s="13">
        <f t="shared" si="35"/>
        <v>72.211300001924627</v>
      </c>
      <c r="AL42" s="20">
        <f t="shared" si="4"/>
        <v>656.87358917001859</v>
      </c>
      <c r="AM42" s="59">
        <f t="shared" si="5"/>
        <v>950.20692250335196</v>
      </c>
      <c r="AN42" s="59">
        <f ca="1">AVERAGE(OFFSET($AM$3,0,0,'Données projet'!$E$10+1,1))-AVERAGE(OFFSET($H$3,0,0,'Données projet'!$E$10+1,1))</f>
        <v>417.99456559608217</v>
      </c>
      <c r="AO42" s="59">
        <f t="shared" si="36"/>
        <v>651.41353014863932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48.732269788957531</v>
      </c>
      <c r="AV42" s="21">
        <f>EXP(-LN(2)/25)*AV41+(1-EXP(-LN(2)/25))/(LN(2)/25)*Calculateur!AQ42*Calculateur!AS42*VLOOKUP('Données projet'!$B$10,Paramètres!$A$1:$I$89,3,0)*0.475*44/12</f>
        <v>36.088752567180222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84.821022356137746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9.6</v>
      </c>
      <c r="BD42" s="12">
        <f>IF('Données projet'!$A$88&gt;35,BD41+BC42-BL41,IF(A42&lt;'Données projet'!$A$88,$BA$205^A42,IF(A42='Données projet'!$A$88,'Données projet'!$B$88,BD41+BC42-BL41)))</f>
        <v>181.39999999999995</v>
      </c>
      <c r="BE42" s="13">
        <f>BD42*VLOOKUP('Données projet'!$B$11,Paramètres!$A$1:$I$89,3,0)*VLOOKUP('Données projet'!$B$11,Paramètres!$A$1:$I$89,5,0)</f>
        <v>158.47103999999996</v>
      </c>
      <c r="BF42" s="13">
        <f t="shared" si="37"/>
        <v>40.497461727609561</v>
      </c>
      <c r="BG42" s="20">
        <f t="shared" si="7"/>
        <v>346.53680717558655</v>
      </c>
      <c r="BH42" s="59">
        <f t="shared" si="8"/>
        <v>639.8701405089198</v>
      </c>
      <c r="BI42" s="59">
        <f ca="1">AVERAGE(OFFSET($BH$3,0,0,'Données projet'!$E$11+1,1))-AVERAGE(OFFSET($H$3,0,0,'Données projet'!$E$11+1,1))</f>
        <v>247.61330734992077</v>
      </c>
      <c r="BJ42" s="59">
        <f t="shared" si="38"/>
        <v>278.55937893537259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13.811068014737907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13.811068014737907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19.240000000000009</v>
      </c>
      <c r="D43" s="11">
        <f t="shared" si="32"/>
        <v>6.2845713711411841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197.03177900530045</v>
      </c>
      <c r="H43" s="66">
        <f t="shared" si="1"/>
        <v>337.78862847140419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564</v>
      </c>
      <c r="L43" s="12">
        <f>VLOOKUP(A43,'Données projet'!$A$35:$I$55,9,0)</f>
        <v>25.6</v>
      </c>
      <c r="M43" s="12">
        <f t="array" ref="M43">INDEX(L:L,MIN(IF(ISNUMBER(L43:L239),ROW(L43:L239),"")))</f>
        <v>25.6</v>
      </c>
      <c r="N43" s="13">
        <f>IF('Données projet'!$A$36&gt;35,N42+M43-V42,IF(A43&lt;'Données projet'!$A$36,$K$205^A43,IF(A43='Données projet'!$A$36,'Données projet'!$B$36,N42+M43-V42)))</f>
        <v>564.00000000000023</v>
      </c>
      <c r="O43" s="13">
        <f>N43*VLOOKUP('Données projet'!$B$9,Paramètres!$A$1:$I$89,3,0)*VLOOKUP('Données projet'!$B$9,Paramètres!$A$1:$I$89,5,0)</f>
        <v>315.27600000000012</v>
      </c>
      <c r="P43" s="13">
        <f t="shared" si="33"/>
        <v>74.36958441265493</v>
      </c>
      <c r="Q43" s="20">
        <f t="shared" si="53"/>
        <v>678.63272618537417</v>
      </c>
      <c r="R43" s="59">
        <f t="shared" si="0"/>
        <v>971.96605951870743</v>
      </c>
      <c r="S43" s="59">
        <f ca="1">AVERAGE(OFFSET($R$3,0,0,'Données projet'!$E$9+1,1))-AVERAGE(OFFSET($H$3,0,0,'Données projet'!$E$9+1,1))</f>
        <v>382.55387448074327</v>
      </c>
      <c r="T43" s="59">
        <f t="shared" si="34"/>
        <v>476.29465646955543</v>
      </c>
      <c r="U43" s="15">
        <f>IF(ISNA(VLOOKUP(A43,'Données projet'!$A$35:$I$55,3,0)),0,VLOOKUP(A43,'Données projet'!$A$35:$I$55,3,0))</f>
        <v>4</v>
      </c>
      <c r="V43" s="15">
        <f>IF(ISNA(VLOOKUP(A43,'Données projet'!$A$35:$I$55,4,0)),0,VLOOKUP(A43,'Données projet'!$A$35:$I$55,4,0))</f>
        <v>72</v>
      </c>
      <c r="W43" s="16">
        <f>IF(ISNA(VLOOKUP(A43,'Données projet'!$A$35:$I$55,5,0)),0%,VLOOKUP(A43,'Données projet'!$A$35:$I$55,5,0)*VLOOKUP('Données projet'!$B$9,Paramètres!$A$1:$I$89,7,0))</f>
        <v>0.55000000000000004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54.854059870519919</v>
      </c>
      <c r="AA43" s="21">
        <f>EXP(-LN(2)/25)*AA42+(1-EXP(-LN(2)/25))/(LN(2)/25)*Calculateur!V43*Calculateur!X43*VLOOKUP('Données projet'!$B$9,Paramètres!$A$1:$I$89,3,0)*0.475*44/12</f>
        <v>31.098590769047114</v>
      </c>
      <c r="AB43" s="21">
        <f>EXP(-LN(2)/2)*AB42+(1-EXP(-LN(2)/2))/(LN(2)/2)*V43*Y43*VLOOKUP('Données projet'!$B$9,Paramètres!$A$1:$I$89,3,0)*0.475*44/12</f>
        <v>0</v>
      </c>
      <c r="AC43" s="22">
        <f t="shared" si="3"/>
        <v>85.952650639567025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18.833333333333332</v>
      </c>
      <c r="AI43" s="13">
        <f>IF('Données projet'!$A$62&gt;35,AI42+AH43-AQ42,IF(A43&lt;'Données projet'!$A$62,$AF$205^A43,IF(A43='Données projet'!$A$62,'Données projet'!$B$62,AI42+AH43-AQ42)))</f>
        <v>577.33333333333314</v>
      </c>
      <c r="AJ43" s="13">
        <f>AI43*VLOOKUP('Données projet'!$B$10,Paramètres!$A$1:$I$89,3,0)*VLOOKUP('Données projet'!$B$10,Paramètres!$A$1:$I$89,5,0)</f>
        <v>315.22399999999988</v>
      </c>
      <c r="AK43" s="13">
        <f t="shared" si="35"/>
        <v>74.358745950570395</v>
      </c>
      <c r="AL43" s="20">
        <f t="shared" si="4"/>
        <v>678.52328253057647</v>
      </c>
      <c r="AM43" s="59">
        <f t="shared" si="5"/>
        <v>971.85661586390984</v>
      </c>
      <c r="AN43" s="59">
        <f ca="1">AVERAGE(OFFSET($AM$3,0,0,'Données projet'!$E$10+1,1))-AVERAGE(OFFSET($H$3,0,0,'Données projet'!$E$10+1,1))</f>
        <v>417.99456559608217</v>
      </c>
      <c r="AO43" s="59">
        <f t="shared" si="36"/>
        <v>651.41353014863932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47.776659702145672</v>
      </c>
      <c r="AV43" s="21">
        <f>EXP(-LN(2)/25)*AV42+(1-EXP(-LN(2)/25))/(LN(2)/25)*Calculateur!AQ43*Calculateur!AS43*VLOOKUP('Données projet'!$B$10,Paramètres!$A$1:$I$89,3,0)*0.475*44/12</f>
        <v>35.101903730405667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82.878563432551346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191</v>
      </c>
      <c r="BB43" s="12">
        <f>VLOOKUP(A43,'Données projet'!$A$87:$I$107,9,0)</f>
        <v>9.6</v>
      </c>
      <c r="BC43" s="12">
        <f t="array" ref="BC43">INDEX(BB:BB,MIN(IF(ISNUMBER(BB43:BB239),ROW(BB43:BB239),"")))</f>
        <v>9.6</v>
      </c>
      <c r="BD43" s="12">
        <f>IF('Données projet'!$A$88&gt;35,BD42+BC43-BL42,IF(A43&lt;'Données projet'!$A$88,$BA$205^A43,IF(A43='Données projet'!$A$88,'Données projet'!$B$88,BD42+BC43-BL42)))</f>
        <v>190.99999999999994</v>
      </c>
      <c r="BE43" s="13">
        <f>BD43*VLOOKUP('Données projet'!$B$11,Paramètres!$A$1:$I$89,3,0)*VLOOKUP('Données projet'!$B$11,Paramètres!$A$1:$I$89,5,0)</f>
        <v>166.85759999999996</v>
      </c>
      <c r="BF43" s="13">
        <f t="shared" si="37"/>
        <v>42.385468111966098</v>
      </c>
      <c r="BG43" s="20">
        <f t="shared" si="7"/>
        <v>364.43167696167421</v>
      </c>
      <c r="BH43" s="59">
        <f t="shared" si="8"/>
        <v>657.76501029500753</v>
      </c>
      <c r="BI43" s="59">
        <f ca="1">AVERAGE(OFFSET($BH$3,0,0,'Données projet'!$E$11+1,1))-AVERAGE(OFFSET($H$3,0,0,'Données projet'!$E$11+1,1))</f>
        <v>247.61330734992077</v>
      </c>
      <c r="BJ43" s="59">
        <f t="shared" si="38"/>
        <v>278.55937893537259</v>
      </c>
      <c r="BK43" s="15">
        <f>IF(ISNA(VLOOKUP(A43,'Données projet'!$A$87:$I$107,3,0)),0,VLOOKUP(A43,'Données projet'!$A$87:$I$107,3,0))</f>
        <v>5</v>
      </c>
      <c r="BL43" s="15">
        <f>IF(ISNA(VLOOKUP(A43,'Données projet'!$A$87:$I$107,4,0)),0,VLOOKUP(A43,'Données projet'!$A$87:$I$107,4,0))</f>
        <v>33</v>
      </c>
      <c r="BM43" s="16">
        <f>IF(ISNA(VLOOKUP(A43,'Données projet'!$A$87:$I$107,5,0)),0%,VLOOKUP(A43,'Données projet'!$A$87:$I$107,5,0)*VLOOKUP('Données projet'!$B$11,Paramètres!$A$1:$I$89,7,0))</f>
        <v>0.43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27.244076720204784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27.244076720204784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19.721000000000011</v>
      </c>
      <c r="D44" s="11">
        <f t="shared" si="32"/>
        <v>6.4231974153589526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201.81485724136743</v>
      </c>
      <c r="H44" s="66">
        <f t="shared" si="1"/>
        <v>338.86781049841682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22.8</v>
      </c>
      <c r="N44" s="13">
        <f>IF('Données projet'!$A$36&gt;35,N43+M44-V43,IF(A44&lt;'Données projet'!$A$36,$K$205^A44,IF(A44='Données projet'!$A$36,'Données projet'!$B$36,N43+M44-V43)))</f>
        <v>514.80000000000018</v>
      </c>
      <c r="O44" s="13">
        <f>N44*VLOOKUP('Données projet'!$B$9,Paramètres!$A$1:$I$89,3,0)*VLOOKUP('Données projet'!$B$9,Paramètres!$A$1:$I$89,5,0)</f>
        <v>287.77320000000009</v>
      </c>
      <c r="P44" s="13">
        <f t="shared" si="33"/>
        <v>68.607082381743922</v>
      </c>
      <c r="Q44" s="20">
        <f t="shared" si="53"/>
        <v>620.69565848153741</v>
      </c>
      <c r="R44" s="59">
        <f t="shared" si="0"/>
        <v>914.02899181487078</v>
      </c>
      <c r="S44" s="59">
        <f ca="1">AVERAGE(OFFSET($R$3,0,0,'Données projet'!$E$9+1,1))-AVERAGE(OFFSET($H$3,0,0,'Données projet'!$E$9+1,1))</f>
        <v>382.55387448074327</v>
      </c>
      <c r="T44" s="59">
        <f t="shared" si="34"/>
        <v>476.29465646955543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53.778405214131872</v>
      </c>
      <c r="AA44" s="21">
        <f>EXP(-LN(2)/25)*AA43+(1-EXP(-LN(2)/25))/(LN(2)/25)*Calculateur!V44*Calculateur!X44*VLOOKUP('Données projet'!$B$9,Paramètres!$A$1:$I$89,3,0)*0.475*44/12</f>
        <v>30.248198169063709</v>
      </c>
      <c r="AB44" s="21">
        <f>EXP(-LN(2)/2)*AB43+(1-EXP(-LN(2)/2))/(LN(2)/2)*V44*Y44*VLOOKUP('Données projet'!$B$9,Paramètres!$A$1:$I$89,3,0)*0.475*44/12</f>
        <v>0</v>
      </c>
      <c r="AC44" s="22">
        <f t="shared" si="3"/>
        <v>84.026603383195578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18.833333333333332</v>
      </c>
      <c r="AI44" s="13">
        <f>IF('Données projet'!$A$62&gt;35,AI43+AH44-AQ43,IF(A44&lt;'Données projet'!$A$62,$AF$205^A44,IF(A44='Données projet'!$A$62,'Données projet'!$B$62,AI43+AH44-AQ43)))</f>
        <v>596.16666666666652</v>
      </c>
      <c r="AJ44" s="13">
        <f>AI44*VLOOKUP('Données projet'!$B$10,Paramètres!$A$1:$I$89,3,0)*VLOOKUP('Données projet'!$B$10,Paramètres!$A$1:$I$89,5,0)</f>
        <v>325.50699999999989</v>
      </c>
      <c r="AK44" s="13">
        <f t="shared" si="35"/>
        <v>76.498051740132453</v>
      </c>
      <c r="AL44" s="20">
        <f t="shared" si="4"/>
        <v>700.15879844739709</v>
      </c>
      <c r="AM44" s="59">
        <f t="shared" si="5"/>
        <v>993.49213178073046</v>
      </c>
      <c r="AN44" s="59">
        <f ca="1">AVERAGE(OFFSET($AM$3,0,0,'Données projet'!$E$10+1,1))-AVERAGE(OFFSET($H$3,0,0,'Données projet'!$E$10+1,1))</f>
        <v>417.99456559608217</v>
      </c>
      <c r="AO44" s="59">
        <f t="shared" si="36"/>
        <v>651.41353014863932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46.839788546271592</v>
      </c>
      <c r="AV44" s="21">
        <f>EXP(-LN(2)/25)*AV43+(1-EXP(-LN(2)/25))/(LN(2)/25)*Calculateur!AQ44*Calculateur!AS44*VLOOKUP('Données projet'!$B$10,Paramètres!$A$1:$I$89,3,0)*0.475*44/12</f>
        <v>34.142040326968832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80.981828873240431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8.6</v>
      </c>
      <c r="BD44" s="12">
        <f>IF('Données projet'!$A$88&gt;35,BD43+BC44-BL43,IF(A44&lt;'Données projet'!$A$88,$BA$205^A44,IF(A44='Données projet'!$A$88,'Données projet'!$B$88,BD43+BC44-BL43)))</f>
        <v>166.59999999999994</v>
      </c>
      <c r="BE44" s="13">
        <f>BD44*VLOOKUP('Données projet'!$B$11,Paramètres!$A$1:$I$89,3,0)*VLOOKUP('Données projet'!$B$11,Paramètres!$A$1:$I$89,5,0)</f>
        <v>145.54175999999998</v>
      </c>
      <c r="BF44" s="13">
        <f t="shared" si="37"/>
        <v>37.563662342876064</v>
      </c>
      <c r="BG44" s="20">
        <f t="shared" si="7"/>
        <v>318.90861058050911</v>
      </c>
      <c r="BH44" s="59">
        <f t="shared" si="8"/>
        <v>612.24194391384242</v>
      </c>
      <c r="BI44" s="59">
        <f ca="1">AVERAGE(OFFSET($BH$3,0,0,'Données projet'!$E$11+1,1))-AVERAGE(OFFSET($H$3,0,0,'Données projet'!$E$11+1,1))</f>
        <v>247.61330734992077</v>
      </c>
      <c r="BJ44" s="59">
        <f t="shared" si="38"/>
        <v>278.55937893537259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26.709836992967553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26.709836992967553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20.202000000000012</v>
      </c>
      <c r="D45" s="11">
        <f t="shared" si="32"/>
        <v>6.5614304138099335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206.59490143993642</v>
      </c>
      <c r="H45" s="66">
        <f t="shared" si="1"/>
        <v>339.94630797071898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22.8</v>
      </c>
      <c r="N45" s="13">
        <f>IF('Données projet'!$A$36&gt;35,N44+M45-V44,IF(A45&lt;'Données projet'!$A$36,$K$205^A45,IF(A45='Données projet'!$A$36,'Données projet'!$B$36,N44+M45-V44)))</f>
        <v>537.60000000000014</v>
      </c>
      <c r="O45" s="13">
        <f>N45*VLOOKUP('Données projet'!$B$9,Paramètres!$A$1:$I$89,3,0)*VLOOKUP('Données projet'!$B$9,Paramètres!$A$1:$I$89,5,0)</f>
        <v>300.5184000000001</v>
      </c>
      <c r="P45" s="13">
        <f t="shared" si="33"/>
        <v>71.285129105116411</v>
      </c>
      <c r="Q45" s="20">
        <f t="shared" si="53"/>
        <v>647.55781319141124</v>
      </c>
      <c r="R45" s="59">
        <f t="shared" si="0"/>
        <v>940.8911465247445</v>
      </c>
      <c r="S45" s="59">
        <f ca="1">AVERAGE(OFFSET($R$3,0,0,'Données projet'!$E$9+1,1))-AVERAGE(OFFSET($H$3,0,0,'Données projet'!$E$9+1,1))</f>
        <v>382.55387448074327</v>
      </c>
      <c r="T45" s="59">
        <f t="shared" si="34"/>
        <v>476.29465646955543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52.723843489471037</v>
      </c>
      <c r="AA45" s="21">
        <f>EXP(-LN(2)/25)*AA44+(1-EXP(-LN(2)/25))/(LN(2)/25)*Calculateur!V45*Calculateur!X45*VLOOKUP('Données projet'!$B$9,Paramètres!$A$1:$I$89,3,0)*0.475*44/12</f>
        <v>29.421059599447055</v>
      </c>
      <c r="AB45" s="21">
        <f>EXP(-LN(2)/2)*AB44+(1-EXP(-LN(2)/2))/(LN(2)/2)*V45*Y45*VLOOKUP('Données projet'!$B$9,Paramètres!$A$1:$I$89,3,0)*0.475*44/12</f>
        <v>0</v>
      </c>
      <c r="AC45" s="22">
        <f t="shared" si="3"/>
        <v>82.144903088918085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615</v>
      </c>
      <c r="AG45" s="12">
        <f>VLOOKUP(A45,'Données projet'!$A$61:$I$81,9,0)</f>
        <v>18.833333333333332</v>
      </c>
      <c r="AH45" s="12">
        <f t="array" ref="AH45">INDEX(AG:AG,MIN(IF(ISNUMBER(AG45:AG241),ROW(AG45:AG241),"")))</f>
        <v>18.833333333333332</v>
      </c>
      <c r="AI45" s="13">
        <f>IF('Données projet'!$A$62&gt;35,AI44+AH45-AQ44,IF(A45&lt;'Données projet'!$A$62,$AF$205^A45,IF(A45='Données projet'!$A$62,'Données projet'!$B$62,AI44+AH45-AQ44)))</f>
        <v>614.99999999999989</v>
      </c>
      <c r="AJ45" s="13">
        <f>AI45*VLOOKUP('Données projet'!$B$10,Paramètres!$A$1:$I$89,3,0)*VLOOKUP('Données projet'!$B$10,Paramètres!$A$1:$I$89,5,0)</f>
        <v>335.78999999999996</v>
      </c>
      <c r="AK45" s="13">
        <f t="shared" si="35"/>
        <v>78.629504026326686</v>
      </c>
      <c r="AL45" s="20">
        <f t="shared" si="4"/>
        <v>721.78063617918542</v>
      </c>
      <c r="AM45" s="59">
        <f t="shared" si="5"/>
        <v>1015.1139695125187</v>
      </c>
      <c r="AN45" s="59">
        <f ca="1">AVERAGE(OFFSET($AM$3,0,0,'Données projet'!$E$10+1,1))-AVERAGE(OFFSET($H$3,0,0,'Données projet'!$E$10+1,1))</f>
        <v>417.99456559608217</v>
      </c>
      <c r="AO45" s="59">
        <f t="shared" si="36"/>
        <v>651.41353014863932</v>
      </c>
      <c r="AP45" s="15">
        <f>IF(ISNA(VLOOKUP(A45,'Données projet'!$A$61:$I$81,3,0)),0,VLOOKUP(A45,'Données projet'!$A$61:$I$81,3,0))</f>
        <v>3</v>
      </c>
      <c r="AQ45" s="15">
        <f>IF(ISNA(VLOOKUP(A45,'Données projet'!$A$61:$I$81,4,0)),0,VLOOKUP(A45,'Données projet'!$A$61:$I$81,4,0))</f>
        <v>121</v>
      </c>
      <c r="AR45" s="16">
        <f>IF(ISNA(VLOOKUP(A45,'Données projet'!$A$61:$I$81,5,0)),0%,VLOOKUP(A45,'Données projet'!$A$61:$I$81,5,0)*VLOOKUP('Données projet'!$B$10,Paramètres!$A$1:$I$89,7,0))</f>
        <v>0.6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98.505773250170421</v>
      </c>
      <c r="AV45" s="21">
        <f>EXP(-LN(2)/25)*AV44+(1-EXP(-LN(2)/25))/(LN(2)/25)*Calculateur!AQ45*Calculateur!AS45*VLOOKUP('Données projet'!$B$10,Paramètres!$A$1:$I$89,3,0)*0.475*44/12</f>
        <v>33.208424438775999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131.71419768894643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8.6</v>
      </c>
      <c r="BD45" s="12">
        <f>IF('Données projet'!$A$88&gt;35,BD44+BC45-BL44,IF(A45&lt;'Données projet'!$A$88,$BA$205^A45,IF(A45='Données projet'!$A$88,'Données projet'!$B$88,BD44+BC45-BL44)))</f>
        <v>175.19999999999993</v>
      </c>
      <c r="BE45" s="13">
        <f>BD45*VLOOKUP('Données projet'!$B$11,Paramètres!$A$1:$I$89,3,0)*VLOOKUP('Données projet'!$B$11,Paramètres!$A$1:$I$89,5,0)</f>
        <v>153.05471999999995</v>
      </c>
      <c r="BF45" s="13">
        <f t="shared" si="37"/>
        <v>39.271965088385166</v>
      </c>
      <c r="BG45" s="20">
        <f t="shared" si="7"/>
        <v>334.96897652893739</v>
      </c>
      <c r="BH45" s="59">
        <f t="shared" si="8"/>
        <v>628.3023098622707</v>
      </c>
      <c r="BI45" s="59">
        <f ca="1">AVERAGE(OFFSET($BH$3,0,0,'Données projet'!$E$11+1,1))-AVERAGE(OFFSET($H$3,0,0,'Données projet'!$E$11+1,1))</f>
        <v>247.61330734992077</v>
      </c>
      <c r="BJ45" s="59">
        <f t="shared" si="38"/>
        <v>278.55937893537259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26.186073380927382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26.186073380927382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20.683000000000014</v>
      </c>
      <c r="D46" s="11">
        <f t="shared" si="32"/>
        <v>6.6992808015544414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211.3719921523502</v>
      </c>
      <c r="H46" s="66">
        <f t="shared" si="1"/>
        <v>341.02413906270732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22.8</v>
      </c>
      <c r="N46" s="13">
        <f>IF('Données projet'!$A$36&gt;35,N45+M46-V45,IF(A46&lt;'Données projet'!$A$36,$K$205^A46,IF(A46='Données projet'!$A$36,'Données projet'!$B$36,N45+M46-V45)))</f>
        <v>560.40000000000009</v>
      </c>
      <c r="O46" s="13">
        <f>N46*VLOOKUP('Données projet'!$B$9,Paramètres!$A$1:$I$89,3,0)*VLOOKUP('Données projet'!$B$9,Paramètres!$A$1:$I$89,5,0)</f>
        <v>313.26360000000005</v>
      </c>
      <c r="P46" s="13">
        <f t="shared" si="33"/>
        <v>73.949983766039026</v>
      </c>
      <c r="Q46" s="20">
        <f t="shared" si="53"/>
        <v>674.39699172585131</v>
      </c>
      <c r="R46" s="59">
        <f t="shared" si="0"/>
        <v>967.73032505918468</v>
      </c>
      <c r="S46" s="59">
        <f ca="1">AVERAGE(OFFSET($R$3,0,0,'Données projet'!$E$9+1,1))-AVERAGE(OFFSET($H$3,0,0,'Données projet'!$E$9+1,1))</f>
        <v>382.55387448074327</v>
      </c>
      <c r="T46" s="59">
        <f t="shared" si="34"/>
        <v>476.29465646955543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51.68996107701166</v>
      </c>
      <c r="AA46" s="21">
        <f>EXP(-LN(2)/25)*AA45+(1-EXP(-LN(2)/25))/(LN(2)/25)*Calculateur!V46*Calculateur!X46*VLOOKUP('Données projet'!$B$9,Paramètres!$A$1:$I$89,3,0)*0.475*44/12</f>
        <v>28.616539177513893</v>
      </c>
      <c r="AB46" s="21">
        <f>EXP(-LN(2)/2)*AB45+(1-EXP(-LN(2)/2))/(LN(2)/2)*V46*Y46*VLOOKUP('Données projet'!$B$9,Paramètres!$A$1:$I$89,3,0)*0.475*44/12</f>
        <v>0</v>
      </c>
      <c r="AC46" s="22">
        <f t="shared" si="3"/>
        <v>80.30650025452556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17.666666666666668</v>
      </c>
      <c r="AI46" s="13">
        <f>IF('Données projet'!$A$62&gt;35,AI45+AH46-AQ45,IF(A46&lt;'Données projet'!$A$62,$AF$205^A46,IF(A46='Données projet'!$A$62,'Données projet'!$B$62,AI45+AH46-AQ45)))</f>
        <v>511.66666666666652</v>
      </c>
      <c r="AJ46" s="13">
        <f>AI46*VLOOKUP('Données projet'!$B$10,Paramètres!$A$1:$I$89,3,0)*VLOOKUP('Données projet'!$B$10,Paramètres!$A$1:$I$89,5,0)</f>
        <v>279.36999999999989</v>
      </c>
      <c r="AK46" s="13">
        <f t="shared" si="35"/>
        <v>66.833854321831694</v>
      </c>
      <c r="AL46" s="20">
        <f t="shared" si="4"/>
        <v>602.97171294385669</v>
      </c>
      <c r="AM46" s="59">
        <f t="shared" si="5"/>
        <v>896.30504627719006</v>
      </c>
      <c r="AN46" s="59">
        <f ca="1">AVERAGE(OFFSET($AM$3,0,0,'Données projet'!$E$10+1,1))-AVERAGE(OFFSET($H$3,0,0,'Données projet'!$E$10+1,1))</f>
        <v>417.99456559608217</v>
      </c>
      <c r="AO46" s="59">
        <f t="shared" si="36"/>
        <v>651.41353014863932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96.5741351193236</v>
      </c>
      <c r="AV46" s="21">
        <f>EXP(-LN(2)/25)*AV45+(1-EXP(-LN(2)/25))/(LN(2)/25)*Calculateur!AQ46*Calculateur!AS46*VLOOKUP('Données projet'!$B$10,Paramètres!$A$1:$I$89,3,0)*0.475*44/12</f>
        <v>32.30033832614253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128.87447344546612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8.6</v>
      </c>
      <c r="BD46" s="12">
        <f>IF('Données projet'!$A$88&gt;35,BD45+BC46-BL45,IF(A46&lt;'Données projet'!$A$88,$BA$205^A46,IF(A46='Données projet'!$A$88,'Données projet'!$B$88,BD45+BC46-BL45)))</f>
        <v>183.79999999999993</v>
      </c>
      <c r="BE46" s="13">
        <f>BD46*VLOOKUP('Données projet'!$B$11,Paramètres!$A$1:$I$89,3,0)*VLOOKUP('Données projet'!$B$11,Paramètres!$A$1:$I$89,5,0)</f>
        <v>160.56767999999997</v>
      </c>
      <c r="BF46" s="13">
        <f t="shared" si="37"/>
        <v>40.970530810309882</v>
      </c>
      <c r="BG46" s="20">
        <f t="shared" si="7"/>
        <v>351.01238382795628</v>
      </c>
      <c r="BH46" s="59">
        <f t="shared" si="8"/>
        <v>644.3457171612896</v>
      </c>
      <c r="BI46" s="59">
        <f ca="1">AVERAGE(OFFSET($BH$3,0,0,'Données projet'!$E$11+1,1))-AVERAGE(OFFSET($H$3,0,0,'Données projet'!$E$11+1,1))</f>
        <v>247.61330734992077</v>
      </c>
      <c r="BJ46" s="59">
        <f t="shared" si="38"/>
        <v>278.55937893537259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25.672580453855062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25.672580453855062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21.164000000000016</v>
      </c>
      <c r="D47" s="11">
        <f t="shared" si="32"/>
        <v>6.8367585006090259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216.14620596961367</v>
      </c>
      <c r="H47" s="66">
        <f t="shared" si="1"/>
        <v>342.1013210552274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22.8</v>
      </c>
      <c r="N47" s="13">
        <f>IF('Données projet'!$A$36&gt;35,N46+M47-V46,IF(A47&lt;'Données projet'!$A$36,$K$205^A47,IF(A47='Données projet'!$A$36,'Données projet'!$B$36,N46+M47-V46)))</f>
        <v>583.20000000000005</v>
      </c>
      <c r="O47" s="13">
        <f>N47*VLOOKUP('Données projet'!$B$9,Paramètres!$A$1:$I$89,3,0)*VLOOKUP('Données projet'!$B$9,Paramètres!$A$1:$I$89,5,0)</f>
        <v>326.00880000000001</v>
      </c>
      <c r="P47" s="13">
        <f t="shared" si="33"/>
        <v>76.602244480772981</v>
      </c>
      <c r="Q47" s="20">
        <f t="shared" si="53"/>
        <v>701.2142358040129</v>
      </c>
      <c r="R47" s="59">
        <f t="shared" si="0"/>
        <v>994.54756913734627</v>
      </c>
      <c r="S47" s="59">
        <f ca="1">AVERAGE(OFFSET($R$3,0,0,'Données projet'!$E$9+1,1))-AVERAGE(OFFSET($H$3,0,0,'Données projet'!$E$9+1,1))</f>
        <v>382.55387448074327</v>
      </c>
      <c r="T47" s="59">
        <f t="shared" si="34"/>
        <v>476.29465646955543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50.67635246805461</v>
      </c>
      <c r="AA47" s="21">
        <f>EXP(-LN(2)/25)*AA46+(1-EXP(-LN(2)/25))/(LN(2)/25)*Calculateur!V47*Calculateur!X47*VLOOKUP('Données projet'!$B$9,Paramètres!$A$1:$I$89,3,0)*0.475*44/12</f>
        <v>27.834018408826385</v>
      </c>
      <c r="AB47" s="21">
        <f>EXP(-LN(2)/2)*AB46+(1-EXP(-LN(2)/2))/(LN(2)/2)*V47*Y47*VLOOKUP('Données projet'!$B$9,Paramètres!$A$1:$I$89,3,0)*0.475*44/12</f>
        <v>0</v>
      </c>
      <c r="AC47" s="22">
        <f t="shared" si="3"/>
        <v>78.510370876880998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17.666666666666668</v>
      </c>
      <c r="AI47" s="13">
        <f>IF('Données projet'!$A$62&gt;35,AI46+AH47-AQ46,IF(A47&lt;'Données projet'!$A$62,$AF$205^A47,IF(A47='Données projet'!$A$62,'Données projet'!$B$62,AI46+AH47-AQ46)))</f>
        <v>529.33333333333314</v>
      </c>
      <c r="AJ47" s="13">
        <f>AI47*VLOOKUP('Données projet'!$B$10,Paramètres!$A$1:$I$89,3,0)*VLOOKUP('Données projet'!$B$10,Paramètres!$A$1:$I$89,5,0)</f>
        <v>289.01599999999991</v>
      </c>
      <c r="AK47" s="13">
        <f t="shared" si="35"/>
        <v>68.868820248862306</v>
      </c>
      <c r="AL47" s="20">
        <f t="shared" si="4"/>
        <v>623.31606193343498</v>
      </c>
      <c r="AM47" s="59">
        <f t="shared" si="5"/>
        <v>916.64939526676835</v>
      </c>
      <c r="AN47" s="59">
        <f ca="1">AVERAGE(OFFSET($AM$3,0,0,'Données projet'!$E$10+1,1))-AVERAGE(OFFSET($H$3,0,0,'Données projet'!$E$10+1,1))</f>
        <v>417.99456559608217</v>
      </c>
      <c r="AO47" s="59">
        <f t="shared" si="36"/>
        <v>651.41353014863932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94.680375234039758</v>
      </c>
      <c r="AV47" s="21">
        <f>EXP(-LN(2)/25)*AV46+(1-EXP(-LN(2)/25))/(LN(2)/25)*Calculateur!AQ47*Calculateur!AS47*VLOOKUP('Données projet'!$B$10,Paramètres!$A$1:$I$89,3,0)*0.475*44/12</f>
        <v>31.417083876013194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126.09745911005295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8.6</v>
      </c>
      <c r="BD47" s="12">
        <f>IF('Données projet'!$A$88&gt;35,BD46+BC47-BL46,IF(A47&lt;'Données projet'!$A$88,$BA$205^A47,IF(A47='Données projet'!$A$88,'Données projet'!$B$88,BD46+BC47-BL46)))</f>
        <v>192.39999999999992</v>
      </c>
      <c r="BE47" s="13">
        <f>BD47*VLOOKUP('Données projet'!$B$11,Paramètres!$A$1:$I$89,3,0)*VLOOKUP('Données projet'!$B$11,Paramètres!$A$1:$I$89,5,0)</f>
        <v>168.08063999999996</v>
      </c>
      <c r="BF47" s="13">
        <f t="shared" si="37"/>
        <v>42.659867131343425</v>
      </c>
      <c r="BG47" s="20">
        <f t="shared" si="7"/>
        <v>367.03971658708974</v>
      </c>
      <c r="BH47" s="59">
        <f t="shared" si="8"/>
        <v>660.373049920423</v>
      </c>
      <c r="BI47" s="59">
        <f ca="1">AVERAGE(OFFSET($BH$3,0,0,'Données projet'!$E$11+1,1))-AVERAGE(OFFSET($H$3,0,0,'Données projet'!$E$11+1,1))</f>
        <v>247.61330734992077</v>
      </c>
      <c r="BJ47" s="59">
        <f t="shared" si="38"/>
        <v>278.55937893537259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25.169156809882871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25.169156809882871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21.645000000000017</v>
      </c>
      <c r="D48" s="11">
        <f t="shared" si="32"/>
        <v>6.973872956248516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220.91761580262028</v>
      </c>
      <c r="H48" s="66">
        <f t="shared" si="1"/>
        <v>343.17787039879954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606</v>
      </c>
      <c r="L48" s="12">
        <f>VLOOKUP(A48,'Données projet'!$A$35:$I$55,9,0)</f>
        <v>22.8</v>
      </c>
      <c r="M48" s="12">
        <f t="array" ref="M48">INDEX(L:L,MIN(IF(ISNUMBER(L48:L244),ROW(L48:L244),"")))</f>
        <v>22.8</v>
      </c>
      <c r="N48" s="13">
        <f>IF('Données projet'!$A$36&gt;35,N47+M48-V47,IF(A48&lt;'Données projet'!$A$36,$K$205^A48,IF(A48='Données projet'!$A$36,'Données projet'!$B$36,N47+M48-V47)))</f>
        <v>606</v>
      </c>
      <c r="O48" s="13">
        <f>N48*VLOOKUP('Données projet'!$B$9,Paramètres!$A$1:$I$89,3,0)*VLOOKUP('Données projet'!$B$9,Paramètres!$A$1:$I$89,5,0)</f>
        <v>338.75400000000002</v>
      </c>
      <c r="P48" s="13">
        <f t="shared" si="33"/>
        <v>79.242459951408904</v>
      </c>
      <c r="Q48" s="20">
        <f t="shared" si="53"/>
        <v>728.01050108203719</v>
      </c>
      <c r="R48" s="59">
        <f t="shared" si="0"/>
        <v>1021.3438344153706</v>
      </c>
      <c r="S48" s="59">
        <f ca="1">AVERAGE(OFFSET($R$3,0,0,'Données projet'!$E$9+1,1))-AVERAGE(OFFSET($H$3,0,0,'Données projet'!$E$9+1,1))</f>
        <v>382.55387448074327</v>
      </c>
      <c r="T48" s="59">
        <f t="shared" si="34"/>
        <v>476.29465646955543</v>
      </c>
      <c r="U48" s="15">
        <f>IF(ISNA(VLOOKUP(A48,'Données projet'!$A$35:$I$55,3,0)),0,VLOOKUP(A48,'Données projet'!$A$35:$I$55,3,0))</f>
        <v>5</v>
      </c>
      <c r="V48" s="15">
        <f>IF(ISNA(VLOOKUP(A48,'Données projet'!$A$35:$I$55,4,0)),0,VLOOKUP(A48,'Données projet'!$A$35:$I$55,4,0))</f>
        <v>66</v>
      </c>
      <c r="W48" s="16">
        <f>IF(ISNA(VLOOKUP(A48,'Données projet'!$A$35:$I$55,5,0)),0%,VLOOKUP(A48,'Données projet'!$A$35:$I$55,5,0)*VLOOKUP('Données projet'!$B$9,Paramètres!$A$1:$I$89,7,0))</f>
        <v>0.55000000000000004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76.600868066121521</v>
      </c>
      <c r="AA48" s="21">
        <f>EXP(-LN(2)/25)*AA47+(1-EXP(-LN(2)/25))/(LN(2)/25)*Calculateur!V48*Calculateur!X48*VLOOKUP('Données projet'!$B$9,Paramètres!$A$1:$I$89,3,0)*0.475*44/12</f>
        <v>27.072895711709613</v>
      </c>
      <c r="AB48" s="21">
        <f>EXP(-LN(2)/2)*AB47+(1-EXP(-LN(2)/2))/(LN(2)/2)*V48*Y48*VLOOKUP('Données projet'!$B$9,Paramètres!$A$1:$I$89,3,0)*0.475*44/12</f>
        <v>0</v>
      </c>
      <c r="AC48" s="22">
        <f t="shared" si="3"/>
        <v>103.67376377783114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17.666666666666668</v>
      </c>
      <c r="AI48" s="13">
        <f>IF('Données projet'!$A$62&gt;35,AI47+AH48-AQ47,IF(A48&lt;'Données projet'!$A$62,$AF$205^A48,IF(A48='Données projet'!$A$62,'Données projet'!$B$62,AI47+AH48-AQ47)))</f>
        <v>546.99999999999977</v>
      </c>
      <c r="AJ48" s="13">
        <f>AI48*VLOOKUP('Données projet'!$B$10,Paramètres!$A$1:$I$89,3,0)*VLOOKUP('Données projet'!$B$10,Paramètres!$A$1:$I$89,5,0)</f>
        <v>298.66199999999986</v>
      </c>
      <c r="AK48" s="13">
        <f t="shared" si="35"/>
        <v>70.895894352455414</v>
      </c>
      <c r="AL48" s="20">
        <f t="shared" si="4"/>
        <v>643.64666599719283</v>
      </c>
      <c r="AM48" s="59">
        <f t="shared" si="5"/>
        <v>936.9799993305262</v>
      </c>
      <c r="AN48" s="59">
        <f ca="1">AVERAGE(OFFSET($AM$3,0,0,'Données projet'!$E$10+1,1))-AVERAGE(OFFSET($H$3,0,0,'Données projet'!$E$10+1,1))</f>
        <v>417.99456559608217</v>
      </c>
      <c r="AO48" s="59">
        <f t="shared" si="36"/>
        <v>651.41353014863932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92.823750825026863</v>
      </c>
      <c r="AV48" s="21">
        <f>EXP(-LN(2)/25)*AV47+(1-EXP(-LN(2)/25))/(LN(2)/25)*Calculateur!AQ48*Calculateur!AS48*VLOOKUP('Données projet'!$B$10,Paramètres!$A$1:$I$89,3,0)*0.475*44/12</f>
        <v>30.557982065270977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123.38173289029784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201</v>
      </c>
      <c r="BB48" s="12">
        <f>VLOOKUP(A48,'Données projet'!$A$87:$I$107,9,0)</f>
        <v>8.6</v>
      </c>
      <c r="BC48" s="12">
        <f t="array" ref="BC48">INDEX(BB:BB,MIN(IF(ISNUMBER(BB48:BB244),ROW(BB48:BB244),"")))</f>
        <v>8.6</v>
      </c>
      <c r="BD48" s="12">
        <f>IF('Données projet'!$A$88&gt;35,BD47+BC48-BL47,IF(A48&lt;'Données projet'!$A$88,$BA$205^A48,IF(A48='Données projet'!$A$88,'Données projet'!$B$88,BD47+BC48-BL47)))</f>
        <v>200.99999999999991</v>
      </c>
      <c r="BE48" s="13">
        <f>BD48*VLOOKUP('Données projet'!$B$11,Paramètres!$A$1:$I$89,3,0)*VLOOKUP('Données projet'!$B$11,Paramètres!$A$1:$I$89,5,0)</f>
        <v>175.59359999999995</v>
      </c>
      <c r="BF48" s="13">
        <f t="shared" si="37"/>
        <v>44.340433728638573</v>
      </c>
      <c r="BG48" s="20">
        <f t="shared" si="7"/>
        <v>383.05177541071203</v>
      </c>
      <c r="BH48" s="59">
        <f t="shared" si="8"/>
        <v>676.38510874404528</v>
      </c>
      <c r="BI48" s="59">
        <f ca="1">AVERAGE(OFFSET($BH$3,0,0,'Données projet'!$E$11+1,1))-AVERAGE(OFFSET($H$3,0,0,'Données projet'!$E$11+1,1))</f>
        <v>247.61330734992077</v>
      </c>
      <c r="BJ48" s="59">
        <f t="shared" si="38"/>
        <v>278.55937893537259</v>
      </c>
      <c r="BK48" s="15">
        <f>IF(ISNA(VLOOKUP(A48,'Données projet'!$A$87:$I$107,3,0)),0,VLOOKUP(A48,'Données projet'!$A$87:$I$107,3,0))</f>
        <v>6</v>
      </c>
      <c r="BL48" s="15">
        <f>IF(ISNA(VLOOKUP(A48,'Données projet'!$A$87:$I$107,4,0)),0,VLOOKUP(A48,'Données projet'!$A$87:$I$107,4,0))</f>
        <v>31</v>
      </c>
      <c r="BM48" s="16">
        <f>IF(ISNA(VLOOKUP(A48,'Données projet'!$A$87:$I$107,5,0)),0%,VLOOKUP(A48,'Données projet'!$A$87:$I$107,5,0)*VLOOKUP('Données projet'!$B$11,Paramètres!$A$1:$I$89,7,0))</f>
        <v>0.43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37.548904847565474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37.548904847565474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22.126000000000019</v>
      </c>
      <c r="D49" s="11">
        <f t="shared" si="32"/>
        <v>7.1106331699901988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225.68629113676658</v>
      </c>
      <c r="H49" s="66">
        <f t="shared" si="1"/>
        <v>344.25380277106626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17.8</v>
      </c>
      <c r="N49" s="13">
        <f>IF('Données projet'!$A$36&gt;35,N48+M49-V48,IF(A49&lt;'Données projet'!$A$36,$K$205^A49,IF(A49='Données projet'!$A$36,'Données projet'!$B$36,N48+M49-V48)))</f>
        <v>557.79999999999995</v>
      </c>
      <c r="O49" s="13">
        <f>N49*VLOOKUP('Données projet'!$B$9,Paramètres!$A$1:$I$89,3,0)*VLOOKUP('Données projet'!$B$9,Paramètres!$A$1:$I$89,5,0)</f>
        <v>311.81020000000001</v>
      </c>
      <c r="P49" s="13">
        <f t="shared" si="33"/>
        <v>73.646743780370684</v>
      </c>
      <c r="Q49" s="20">
        <f t="shared" si="53"/>
        <v>671.33751041747894</v>
      </c>
      <c r="R49" s="59">
        <f t="shared" si="0"/>
        <v>964.67084375081231</v>
      </c>
      <c r="S49" s="59">
        <f ca="1">AVERAGE(OFFSET($R$3,0,0,'Données projet'!$E$9+1,1))-AVERAGE(OFFSET($H$3,0,0,'Données projet'!$E$9+1,1))</f>
        <v>382.55387448074327</v>
      </c>
      <c r="T49" s="59">
        <f t="shared" si="34"/>
        <v>476.29465646955543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75.098771765260992</v>
      </c>
      <c r="AA49" s="21">
        <f>EXP(-LN(2)/25)*AA48+(1-EXP(-LN(2)/25))/(LN(2)/25)*Calculateur!V49*Calculateur!X49*VLOOKUP('Données projet'!$B$9,Paramètres!$A$1:$I$89,3,0)*0.475*44/12</f>
        <v>26.332585954771204</v>
      </c>
      <c r="AB49" s="21">
        <f>EXP(-LN(2)/2)*AB48+(1-EXP(-LN(2)/2))/(LN(2)/2)*V49*Y49*VLOOKUP('Données projet'!$B$9,Paramètres!$A$1:$I$89,3,0)*0.475*44/12</f>
        <v>0</v>
      </c>
      <c r="AC49" s="22">
        <f t="shared" si="3"/>
        <v>101.4313577200322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17.666666666666668</v>
      </c>
      <c r="AI49" s="13">
        <f>IF('Données projet'!$A$62&gt;35,AI48+AH49-AQ48,IF(A49&lt;'Données projet'!$A$62,$AF$205^A49,IF(A49='Données projet'!$A$62,'Données projet'!$B$62,AI48+AH49-AQ48)))</f>
        <v>564.6666666666664</v>
      </c>
      <c r="AJ49" s="13">
        <f>AI49*VLOOKUP('Données projet'!$B$10,Paramètres!$A$1:$I$89,3,0)*VLOOKUP('Données projet'!$B$10,Paramètres!$A$1:$I$89,5,0)</f>
        <v>308.30799999999988</v>
      </c>
      <c r="AK49" s="13">
        <f t="shared" si="35"/>
        <v>72.915360752538575</v>
      </c>
      <c r="AL49" s="20">
        <f t="shared" si="4"/>
        <v>663.96401997733767</v>
      </c>
      <c r="AM49" s="59">
        <f t="shared" si="5"/>
        <v>957.29735331067104</v>
      </c>
      <c r="AN49" s="59">
        <f ca="1">AVERAGE(OFFSET($AM$3,0,0,'Données projet'!$E$10+1,1))-AVERAGE(OFFSET($H$3,0,0,'Données projet'!$E$10+1,1))</f>
        <v>417.99456559608217</v>
      </c>
      <c r="AO49" s="59">
        <f t="shared" si="36"/>
        <v>651.41353014863932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91.003533688245639</v>
      </c>
      <c r="AV49" s="21">
        <f>EXP(-LN(2)/25)*AV48+(1-EXP(-LN(2)/25))/(LN(2)/25)*Calculateur!AQ49*Calculateur!AS49*VLOOKUP('Données projet'!$B$10,Paramètres!$A$1:$I$89,3,0)*0.475*44/12</f>
        <v>29.722372438721706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120.72590612696735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7.8</v>
      </c>
      <c r="BD49" s="12">
        <f>IF('Données projet'!$A$88&gt;35,BD48+BC49-BL48,IF(A49&lt;'Données projet'!$A$88,$BA$205^A49,IF(A49='Données projet'!$A$88,'Données projet'!$B$88,BD48+BC49-BL48)))</f>
        <v>177.79999999999993</v>
      </c>
      <c r="BE49" s="13">
        <f>BD49*VLOOKUP('Données projet'!$B$11,Paramètres!$A$1:$I$89,3,0)*VLOOKUP('Données projet'!$B$11,Paramètres!$A$1:$I$89,5,0)</f>
        <v>155.32607999999996</v>
      </c>
      <c r="BF49" s="13">
        <f t="shared" si="37"/>
        <v>39.786487601092411</v>
      </c>
      <c r="BG49" s="20">
        <f t="shared" si="7"/>
        <v>339.82105523856922</v>
      </c>
      <c r="BH49" s="59">
        <f t="shared" si="8"/>
        <v>633.15438857190247</v>
      </c>
      <c r="BI49" s="59">
        <f ca="1">AVERAGE(OFFSET($BH$3,0,0,'Données projet'!$E$11+1,1))-AVERAGE(OFFSET($H$3,0,0,'Données projet'!$E$11+1,1))</f>
        <v>247.61330734992077</v>
      </c>
      <c r="BJ49" s="59">
        <f t="shared" si="38"/>
        <v>278.55937893537259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36.812593726075228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36.812593726075228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22.607000000000021</v>
      </c>
      <c r="D50" s="11">
        <f t="shared" si="32"/>
        <v>7.2470477296289397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230.4522982638025</v>
      </c>
      <c r="H50" s="66">
        <f t="shared" si="1"/>
        <v>345.32913312910375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17.8</v>
      </c>
      <c r="N50" s="13">
        <f>IF('Données projet'!$A$36&gt;35,N49+M50-V49,IF(A50&lt;'Données projet'!$A$36,$K$205^A50,IF(A50='Données projet'!$A$36,'Données projet'!$B$36,N49+M50-V49)))</f>
        <v>575.59999999999991</v>
      </c>
      <c r="O50" s="13">
        <f>N50*VLOOKUP('Données projet'!$B$9,Paramètres!$A$1:$I$89,3,0)*VLOOKUP('Données projet'!$B$9,Paramètres!$A$1:$I$89,5,0)</f>
        <v>321.76039999999995</v>
      </c>
      <c r="P50" s="13">
        <f t="shared" si="33"/>
        <v>75.719522083505169</v>
      </c>
      <c r="Q50" s="20">
        <f t="shared" si="53"/>
        <v>692.27753096210472</v>
      </c>
      <c r="R50" s="59">
        <f t="shared" si="0"/>
        <v>985.61086429543798</v>
      </c>
      <c r="S50" s="59">
        <f ca="1">AVERAGE(OFFSET($R$3,0,0,'Données projet'!$E$9+1,1))-AVERAGE(OFFSET($H$3,0,0,'Données projet'!$E$9+1,1))</f>
        <v>382.55387448074327</v>
      </c>
      <c r="T50" s="59">
        <f t="shared" si="34"/>
        <v>476.29465646955543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73.626130656672061</v>
      </c>
      <c r="AA50" s="21">
        <f>EXP(-LN(2)/25)*AA49+(1-EXP(-LN(2)/25))/(LN(2)/25)*Calculateur!V50*Calculateur!X50*VLOOKUP('Données projet'!$B$9,Paramètres!$A$1:$I$89,3,0)*0.475*44/12</f>
        <v>25.612520007067474</v>
      </c>
      <c r="AB50" s="21">
        <f>EXP(-LN(2)/2)*AB49+(1-EXP(-LN(2)/2))/(LN(2)/2)*V50*Y50*VLOOKUP('Données projet'!$B$9,Paramètres!$A$1:$I$89,3,0)*0.475*44/12</f>
        <v>0</v>
      </c>
      <c r="AC50" s="22">
        <f t="shared" si="3"/>
        <v>99.238650663739534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17.666666666666668</v>
      </c>
      <c r="AI50" s="13">
        <f>IF('Données projet'!$A$62&gt;35,AI49+AH50-AQ49,IF(A50&lt;'Données projet'!$A$62,$AF$205^A50,IF(A50='Données projet'!$A$62,'Données projet'!$B$62,AI49+AH50-AQ49)))</f>
        <v>582.33333333333303</v>
      </c>
      <c r="AJ50" s="13">
        <f>AI50*VLOOKUP('Données projet'!$B$10,Paramètres!$A$1:$I$89,3,0)*VLOOKUP('Données projet'!$B$10,Paramètres!$A$1:$I$89,5,0)</f>
        <v>317.95399999999984</v>
      </c>
      <c r="AK50" s="13">
        <f t="shared" si="35"/>
        <v>74.927484780786784</v>
      </c>
      <c r="AL50" s="20">
        <f t="shared" si="4"/>
        <v>684.26858599320337</v>
      </c>
      <c r="AM50" s="59">
        <f t="shared" si="5"/>
        <v>977.60191932653674</v>
      </c>
      <c r="AN50" s="59">
        <f ca="1">AVERAGE(OFFSET($AM$3,0,0,'Données projet'!$E$10+1,1))-AVERAGE(OFFSET($H$3,0,0,'Données projet'!$E$10+1,1))</f>
        <v>417.99456559608217</v>
      </c>
      <c r="AO50" s="59">
        <f t="shared" si="36"/>
        <v>651.41353014863932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89.219009899293866</v>
      </c>
      <c r="AV50" s="21">
        <f>EXP(-LN(2)/25)*AV49+(1-EXP(-LN(2)/25))/(LN(2)/25)*Calculateur!AQ50*Calculateur!AS50*VLOOKUP('Données projet'!$B$10,Paramètres!$A$1:$I$89,3,0)*0.475*44/12</f>
        <v>28.909612601353224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118.12862250064708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7.8</v>
      </c>
      <c r="BD50" s="12">
        <f>IF('Données projet'!$A$88&gt;35,BD49+BC50-BL49,IF(A50&lt;'Données projet'!$A$88,$BA$205^A50,IF(A50='Données projet'!$A$88,'Données projet'!$B$88,BD49+BC50-BL49)))</f>
        <v>185.59999999999994</v>
      </c>
      <c r="BE50" s="13">
        <f>BD50*VLOOKUP('Données projet'!$B$11,Paramètres!$A$1:$I$89,3,0)*VLOOKUP('Données projet'!$B$11,Paramètres!$A$1:$I$89,5,0)</f>
        <v>162.14015999999998</v>
      </c>
      <c r="BF50" s="13">
        <f t="shared" si="37"/>
        <v>41.324860537333677</v>
      </c>
      <c r="BG50" s="20">
        <f t="shared" si="7"/>
        <v>354.36824410252279</v>
      </c>
      <c r="BH50" s="59">
        <f t="shared" si="8"/>
        <v>647.70157743585605</v>
      </c>
      <c r="BI50" s="59">
        <f ca="1">AVERAGE(OFFSET($BH$3,0,0,'Données projet'!$E$11+1,1))-AVERAGE(OFFSET($H$3,0,0,'Données projet'!$E$11+1,1))</f>
        <v>247.61330734992077</v>
      </c>
      <c r="BJ50" s="59">
        <f t="shared" si="38"/>
        <v>278.55937893537259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36.090721216571971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36.090721216571971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23.088000000000022</v>
      </c>
      <c r="D51" s="11">
        <f t="shared" si="32"/>
        <v>7.3831248366439324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235.21570049339198</v>
      </c>
      <c r="H51" s="66">
        <f t="shared" si="1"/>
        <v>346.40387575715488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17.8</v>
      </c>
      <c r="N51" s="13">
        <f>IF('Données projet'!$A$36&gt;35,N50+M51-V50,IF(A51&lt;'Données projet'!$A$36,$K$205^A51,IF(A51='Données projet'!$A$36,'Données projet'!$B$36,N50+M51-V50)))</f>
        <v>593.39999999999986</v>
      </c>
      <c r="O51" s="13">
        <f>N51*VLOOKUP('Données projet'!$B$9,Paramètres!$A$1:$I$89,3,0)*VLOOKUP('Données projet'!$B$9,Paramètres!$A$1:$I$89,5,0)</f>
        <v>331.71059999999994</v>
      </c>
      <c r="P51" s="13">
        <f t="shared" si="33"/>
        <v>77.784851407016433</v>
      </c>
      <c r="Q51" s="20">
        <f t="shared" si="53"/>
        <v>713.20457786722011</v>
      </c>
      <c r="R51" s="59">
        <f t="shared" si="0"/>
        <v>1006.5379112005535</v>
      </c>
      <c r="S51" s="59">
        <f ca="1">AVERAGE(OFFSET($R$3,0,0,'Données projet'!$E$9+1,1))-AVERAGE(OFFSET($H$3,0,0,'Données projet'!$E$9+1,1))</f>
        <v>382.55387448074327</v>
      </c>
      <c r="T51" s="59">
        <f t="shared" si="34"/>
        <v>476.29465646955543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72.182367142000174</v>
      </c>
      <c r="AA51" s="21">
        <f>EXP(-LN(2)/25)*AA50+(1-EXP(-LN(2)/25))/(LN(2)/25)*Calculateur!V51*Calculateur!X51*VLOOKUP('Données projet'!$B$9,Paramètres!$A$1:$I$89,3,0)*0.475*44/12</f>
        <v>24.912144300570326</v>
      </c>
      <c r="AB51" s="21">
        <f>EXP(-LN(2)/2)*AB50+(1-EXP(-LN(2)/2))/(LN(2)/2)*V51*Y51*VLOOKUP('Données projet'!$B$9,Paramètres!$A$1:$I$89,3,0)*0.475*44/12</f>
        <v>0</v>
      </c>
      <c r="AC51" s="22">
        <f t="shared" si="3"/>
        <v>97.094511442570507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>
        <f>VLOOKUP(A51,'Données projet'!$A$61:$I$81,2,0)</f>
        <v>600</v>
      </c>
      <c r="AG51" s="12">
        <f>VLOOKUP(A51,'Données projet'!$A$61:$I$81,9,0)</f>
        <v>17.666666666666668</v>
      </c>
      <c r="AH51" s="12">
        <f t="array" ref="AH51">INDEX(AG:AG,MIN(IF(ISNUMBER(AG51:AG247),ROW(AG51:AG247),"")))</f>
        <v>17.666666666666668</v>
      </c>
      <c r="AI51" s="13">
        <f>IF('Données projet'!$A$62&gt;35,AI50+AH51-AQ50,IF(A51&lt;'Données projet'!$A$62,$AF$205^A51,IF(A51='Données projet'!$A$62,'Données projet'!$B$62,AI50+AH51-AQ50)))</f>
        <v>599.99999999999966</v>
      </c>
      <c r="AJ51" s="13">
        <f>AI51*VLOOKUP('Données projet'!$B$10,Paramètres!$A$1:$I$89,3,0)*VLOOKUP('Données projet'!$B$10,Paramètres!$A$1:$I$89,5,0)</f>
        <v>327.59999999999985</v>
      </c>
      <c r="AK51" s="13">
        <f t="shared" si="35"/>
        <v>76.932514754922536</v>
      </c>
      <c r="AL51" s="20">
        <f t="shared" si="4"/>
        <v>704.56079653148981</v>
      </c>
      <c r="AM51" s="59">
        <f t="shared" si="5"/>
        <v>997.89412986482307</v>
      </c>
      <c r="AN51" s="59">
        <f ca="1">AVERAGE(OFFSET($AM$3,0,0,'Données projet'!$E$10+1,1))-AVERAGE(OFFSET($H$3,0,0,'Données projet'!$E$10+1,1))</f>
        <v>417.99456559608217</v>
      </c>
      <c r="AO51" s="59">
        <f t="shared" si="36"/>
        <v>651.41353014863932</v>
      </c>
      <c r="AP51" s="15">
        <f>IF(ISNA(VLOOKUP(A51,'Données projet'!$A$61:$I$81,3,0)),0,VLOOKUP(A51,'Données projet'!$A$61:$I$81,3,0))</f>
        <v>4</v>
      </c>
      <c r="AQ51" s="15">
        <f>IF(ISNA(VLOOKUP(A51,'Données projet'!$A$61:$I$81,4,0)),0,VLOOKUP(A51,'Données projet'!$A$61:$I$81,4,0))</f>
        <v>123</v>
      </c>
      <c r="AR51" s="16">
        <f>IF(ISNA(VLOOKUP(A51,'Données projet'!$A$61:$I$81,5,0)),0%,VLOOKUP(A51,'Données projet'!$A$61:$I$81,5,0)*VLOOKUP('Données projet'!$B$10,Paramètres!$A$1:$I$89,7,0))</f>
        <v>0.6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140.92312895243657</v>
      </c>
      <c r="AV51" s="21">
        <f>EXP(-LN(2)/25)*AV50+(1-EXP(-LN(2)/25))/(LN(2)/25)*Calculateur!AQ51*Calculateur!AS51*VLOOKUP('Données projet'!$B$10,Paramètres!$A$1:$I$89,3,0)*0.475*44/12</f>
        <v>28.119077724478768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169.04220667691533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7.8</v>
      </c>
      <c r="BD51" s="12">
        <f>IF('Données projet'!$A$88&gt;35,BD50+BC51-BL50,IF(A51&lt;'Données projet'!$A$88,$BA$205^A51,IF(A51='Données projet'!$A$88,'Données projet'!$B$88,BD50+BC51-BL50)))</f>
        <v>193.39999999999995</v>
      </c>
      <c r="BE51" s="13">
        <f>BD51*VLOOKUP('Données projet'!$B$11,Paramètres!$A$1:$I$89,3,0)*VLOOKUP('Données projet'!$B$11,Paramètres!$A$1:$I$89,5,0)</f>
        <v>168.95424</v>
      </c>
      <c r="BF51" s="13">
        <f t="shared" si="37"/>
        <v>42.855724087026708</v>
      </c>
      <c r="BG51" s="20">
        <f t="shared" si="7"/>
        <v>368.90235411823818</v>
      </c>
      <c r="BH51" s="59">
        <f t="shared" si="8"/>
        <v>662.23568745157149</v>
      </c>
      <c r="BI51" s="59">
        <f ca="1">AVERAGE(OFFSET($BH$3,0,0,'Données projet'!$E$11+1,1))-AVERAGE(OFFSET($H$3,0,0,'Données projet'!$E$11+1,1))</f>
        <v>247.61330734992077</v>
      </c>
      <c r="BJ51" s="59">
        <f t="shared" si="38"/>
        <v>278.55937893537259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35.383004186681319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35.383004186681319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23.569000000000024</v>
      </c>
      <c r="D52" s="11">
        <f t="shared" si="32"/>
        <v>7.5188723312571559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239.97655834654668</v>
      </c>
      <c r="H52" s="66">
        <f t="shared" si="1"/>
        <v>347.47804431027294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17.8</v>
      </c>
      <c r="N52" s="13">
        <f>IF('Données projet'!$A$36&gt;35,N51+M52-V51,IF(A52&lt;'Données projet'!$A$36,$K$205^A52,IF(A52='Données projet'!$A$36,'Données projet'!$B$36,N51+M52-V51)))</f>
        <v>611.19999999999982</v>
      </c>
      <c r="O52" s="13">
        <f>N52*VLOOKUP('Données projet'!$B$9,Paramètres!$A$1:$I$89,3,0)*VLOOKUP('Données projet'!$B$9,Paramètres!$A$1:$I$89,5,0)</f>
        <v>341.66079999999988</v>
      </c>
      <c r="P52" s="13">
        <f t="shared" si="33"/>
        <v>79.842980844864144</v>
      </c>
      <c r="Q52" s="20">
        <f t="shared" si="53"/>
        <v>734.11908497147158</v>
      </c>
      <c r="R52" s="59">
        <f t="shared" si="0"/>
        <v>1027.452418304805</v>
      </c>
      <c r="S52" s="59">
        <f ca="1">AVERAGE(OFFSET($R$3,0,0,'Données projet'!$E$9+1,1))-AVERAGE(OFFSET($H$3,0,0,'Données projet'!$E$9+1,1))</f>
        <v>382.55387448074327</v>
      </c>
      <c r="T52" s="59">
        <f t="shared" si="34"/>
        <v>476.29465646955543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70.766914949242206</v>
      </c>
      <c r="AA52" s="21">
        <f>EXP(-LN(2)/25)*AA51+(1-EXP(-LN(2)/25))/(LN(2)/25)*Calculateur!V52*Calculateur!X52*VLOOKUP('Données projet'!$B$9,Paramètres!$A$1:$I$89,3,0)*0.475*44/12</f>
        <v>24.2309204045985</v>
      </c>
      <c r="AB52" s="21">
        <f>EXP(-LN(2)/2)*AB51+(1-EXP(-LN(2)/2))/(LN(2)/2)*V52*Y52*VLOOKUP('Données projet'!$B$9,Paramètres!$A$1:$I$89,3,0)*0.475*44/12</f>
        <v>0</v>
      </c>
      <c r="AC52" s="22">
        <f t="shared" si="3"/>
        <v>94.997835353840713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16</v>
      </c>
      <c r="AI52" s="13">
        <f>IF('Données projet'!$A$62&gt;35,AI51+AH52-AQ51,IF(A52&lt;'Données projet'!$A$62,$AF$205^A52,IF(A52='Données projet'!$A$62,'Données projet'!$B$62,AI51+AH52-AQ51)))</f>
        <v>492.99999999999966</v>
      </c>
      <c r="AJ52" s="13">
        <f>AI52*VLOOKUP('Données projet'!$B$10,Paramètres!$A$1:$I$89,3,0)*VLOOKUP('Données projet'!$B$10,Paramètres!$A$1:$I$89,5,0)</f>
        <v>269.17799999999983</v>
      </c>
      <c r="AK52" s="13">
        <f t="shared" si="35"/>
        <v>64.674789196812398</v>
      </c>
      <c r="AL52" s="20">
        <f t="shared" si="4"/>
        <v>581.46027451778127</v>
      </c>
      <c r="AM52" s="59">
        <f t="shared" si="5"/>
        <v>874.79360785111453</v>
      </c>
      <c r="AN52" s="59">
        <f ca="1">AVERAGE(OFFSET($AM$3,0,0,'Données projet'!$E$10+1,1))-AVERAGE(OFFSET($H$3,0,0,'Données projet'!$E$10+1,1))</f>
        <v>417.99456559608217</v>
      </c>
      <c r="AO52" s="59">
        <f t="shared" si="36"/>
        <v>651.41353014863932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138.15971234830064</v>
      </c>
      <c r="AV52" s="21">
        <f>EXP(-LN(2)/25)*AV51+(1-EXP(-LN(2)/25))/(LN(2)/25)*Calculateur!AQ52*Calculateur!AS52*VLOOKUP('Données projet'!$B$10,Paramètres!$A$1:$I$89,3,0)*0.475*44/12</f>
        <v>27.350160065384866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165.50987241368551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7.8</v>
      </c>
      <c r="BD52" s="12">
        <f>IF('Données projet'!$A$88&gt;35,BD51+BC52-BL51,IF(A52&lt;'Données projet'!$A$88,$BA$205^A52,IF(A52='Données projet'!$A$88,'Données projet'!$B$88,BD51+BC52-BL51)))</f>
        <v>201.19999999999996</v>
      </c>
      <c r="BE52" s="13">
        <f>BD52*VLOOKUP('Données projet'!$B$11,Paramètres!$A$1:$I$89,3,0)*VLOOKUP('Données projet'!$B$11,Paramètres!$A$1:$I$89,5,0)</f>
        <v>175.76831999999999</v>
      </c>
      <c r="BF52" s="13">
        <f t="shared" si="37"/>
        <v>44.379415757690168</v>
      </c>
      <c r="BG52" s="20">
        <f t="shared" si="7"/>
        <v>383.42397311131032</v>
      </c>
      <c r="BH52" s="59">
        <f t="shared" si="8"/>
        <v>676.75730644464363</v>
      </c>
      <c r="BI52" s="59">
        <f ca="1">AVERAGE(OFFSET($BH$3,0,0,'Données projet'!$E$11+1,1))-AVERAGE(OFFSET($H$3,0,0,'Données projet'!$E$11+1,1))</f>
        <v>247.61330734992077</v>
      </c>
      <c r="BJ52" s="59">
        <f t="shared" si="38"/>
        <v>278.55937893537259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34.689165056082054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34.689165056082054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24.050000000000026</v>
      </c>
      <c r="D53" s="11">
        <f t="shared" si="32"/>
        <v>7.6542977153884264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244.73492973282316</v>
      </c>
      <c r="H53" s="66">
        <f t="shared" si="1"/>
        <v>348.55165185430155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629</v>
      </c>
      <c r="L53" s="12">
        <f>VLOOKUP(A53,'Données projet'!$A$35:$I$55,9,0)</f>
        <v>17.8</v>
      </c>
      <c r="M53" s="12">
        <f t="array" ref="M53">INDEX(L:L,MIN(IF(ISNUMBER(L53:L249),ROW(L53:L249),"")))</f>
        <v>17.8</v>
      </c>
      <c r="N53" s="13">
        <f>IF('Données projet'!$A$36&gt;35,N52+M53-V52,IF(A53&lt;'Données projet'!$A$36,$K$205^A53,IF(A53='Données projet'!$A$36,'Données projet'!$B$36,N52+M53-V52)))</f>
        <v>628.99999999999977</v>
      </c>
      <c r="O53" s="13">
        <f>N53*VLOOKUP('Données projet'!$B$9,Paramètres!$A$1:$I$89,3,0)*VLOOKUP('Données projet'!$B$9,Paramètres!$A$1:$I$89,5,0)</f>
        <v>351.61099999999988</v>
      </c>
      <c r="P53" s="13">
        <f t="shared" si="33"/>
        <v>81.89414415728541</v>
      </c>
      <c r="Q53" s="20">
        <f t="shared" si="53"/>
        <v>755.02145940727178</v>
      </c>
      <c r="R53" s="59">
        <f t="shared" si="0"/>
        <v>1048.354792740605</v>
      </c>
      <c r="S53" s="59">
        <f ca="1">AVERAGE(OFFSET($R$3,0,0,'Données projet'!$E$9+1,1))-AVERAGE(OFFSET($H$3,0,0,'Données projet'!$E$9+1,1))</f>
        <v>382.55387448074327</v>
      </c>
      <c r="T53" s="59">
        <f t="shared" si="34"/>
        <v>476.29465646955543</v>
      </c>
      <c r="U53" s="15">
        <f>IF(ISNA(VLOOKUP(A53,'Données projet'!$A$35:$I$55,3,0)),0,VLOOKUP(A53,'Données projet'!$A$35:$I$55,3,0))</f>
        <v>6</v>
      </c>
      <c r="V53" s="15">
        <f>IF(ISNA(VLOOKUP(A53,'Données projet'!$A$35:$I$55,4,0)),0,VLOOKUP(A53,'Données projet'!$A$35:$I$55,4,0))</f>
        <v>48</v>
      </c>
      <c r="W53" s="16">
        <f>IF(ISNA(VLOOKUP(A53,'Données projet'!$A$35:$I$55,5,0)),0%,VLOOKUP(A53,'Données projet'!$A$35:$I$55,5,0)*VLOOKUP('Données projet'!$B$9,Paramètres!$A$1:$I$89,7,0))</f>
        <v>0.55000000000000004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88.956126518238207</v>
      </c>
      <c r="AA53" s="21">
        <f>EXP(-LN(2)/25)*AA52+(1-EXP(-LN(2)/25))/(LN(2)/25)*Calculateur!V53*Calculateur!X53*VLOOKUP('Données projet'!$B$9,Paramètres!$A$1:$I$89,3,0)*0.475*44/12</f>
        <v>23.56832461188603</v>
      </c>
      <c r="AB53" s="21">
        <f>EXP(-LN(2)/2)*AB52+(1-EXP(-LN(2)/2))/(LN(2)/2)*V53*Y53*VLOOKUP('Données projet'!$B$9,Paramètres!$A$1:$I$89,3,0)*0.475*44/12</f>
        <v>0</v>
      </c>
      <c r="AC53" s="22">
        <f t="shared" si="3"/>
        <v>112.52445113012423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16</v>
      </c>
      <c r="AI53" s="13">
        <f>IF('Données projet'!$A$62&gt;35,AI52+AH53-AQ52,IF(A53&lt;'Données projet'!$A$62,$AF$205^A53,IF(A53='Données projet'!$A$62,'Données projet'!$B$62,AI52+AH53-AQ52)))</f>
        <v>508.99999999999966</v>
      </c>
      <c r="AJ53" s="13">
        <f>AI53*VLOOKUP('Données projet'!$B$10,Paramètres!$A$1:$I$89,3,0)*VLOOKUP('Données projet'!$B$10,Paramètres!$A$1:$I$89,5,0)</f>
        <v>277.91399999999982</v>
      </c>
      <c r="AK53" s="13">
        <f t="shared" si="35"/>
        <v>66.525985443445521</v>
      </c>
      <c r="AL53" s="20">
        <f t="shared" si="4"/>
        <v>599.89964131400052</v>
      </c>
      <c r="AM53" s="59">
        <f t="shared" si="5"/>
        <v>893.23297464733378</v>
      </c>
      <c r="AN53" s="59">
        <f ca="1">AVERAGE(OFFSET($AM$3,0,0,'Données projet'!$E$10+1,1))-AVERAGE(OFFSET($H$3,0,0,'Données projet'!$E$10+1,1))</f>
        <v>417.99456559608217</v>
      </c>
      <c r="AO53" s="59">
        <f t="shared" si="36"/>
        <v>651.41353014863932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135.45048465825411</v>
      </c>
      <c r="AV53" s="21">
        <f>EXP(-LN(2)/25)*AV52+(1-EXP(-LN(2)/25))/(LN(2)/25)*Calculateur!AQ53*Calculateur!AS53*VLOOKUP('Données projet'!$B$10,Paramètres!$A$1:$I$89,3,0)*0.475*44/12</f>
        <v>26.602268500114508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162.05275315836863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209</v>
      </c>
      <c r="BB53" s="12">
        <f>VLOOKUP(A53,'Données projet'!$A$87:$I$107,9,0)</f>
        <v>7.8</v>
      </c>
      <c r="BC53" s="12">
        <f t="array" ref="BC53">INDEX(BB:BB,MIN(IF(ISNUMBER(BB53:BB249),ROW(BB53:BB249),"")))</f>
        <v>7.8</v>
      </c>
      <c r="BD53" s="12">
        <f>IF('Données projet'!$A$88&gt;35,BD52+BC53-BL52,IF(A53&lt;'Données projet'!$A$88,$BA$205^A53,IF(A53='Données projet'!$A$88,'Données projet'!$B$88,BD52+BC53-BL52)))</f>
        <v>208.99999999999997</v>
      </c>
      <c r="BE53" s="13">
        <f>BD53*VLOOKUP('Données projet'!$B$11,Paramètres!$A$1:$I$89,3,0)*VLOOKUP('Données projet'!$B$11,Paramètres!$A$1:$I$89,5,0)</f>
        <v>182.58240000000001</v>
      </c>
      <c r="BF53" s="13">
        <f t="shared" si="37"/>
        <v>45.896245406460288</v>
      </c>
      <c r="BG53" s="20">
        <f t="shared" si="7"/>
        <v>397.93364074958498</v>
      </c>
      <c r="BH53" s="59">
        <f t="shared" si="8"/>
        <v>691.2669740829183</v>
      </c>
      <c r="BI53" s="59">
        <f ca="1">AVERAGE(OFFSET($BH$3,0,0,'Données projet'!$E$11+1,1))-AVERAGE(OFFSET($H$3,0,0,'Données projet'!$E$11+1,1))</f>
        <v>247.61330734992077</v>
      </c>
      <c r="BJ53" s="59">
        <f t="shared" si="38"/>
        <v>278.55937893537259</v>
      </c>
      <c r="BK53" s="15">
        <f>IF(ISNA(VLOOKUP(A53,'Données projet'!$A$87:$I$107,3,0)),0,VLOOKUP(A53,'Données projet'!$A$87:$I$107,3,0))</f>
        <v>7</v>
      </c>
      <c r="BL53" s="15">
        <f>IF(ISNA(VLOOKUP(A53,'Données projet'!$A$87:$I$107,4,0)),0,VLOOKUP(A53,'Données projet'!$A$87:$I$107,4,0))</f>
        <v>28</v>
      </c>
      <c r="BM53" s="16">
        <f>IF(ISNA(VLOOKUP(A53,'Données projet'!$A$87:$I$107,5,0)),0%,VLOOKUP(A53,'Données projet'!$A$87:$I$107,5,0)*VLOOKUP('Données projet'!$B$11,Paramètres!$A$1:$I$89,7,0))</f>
        <v>0.43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45.636428327295988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45.636428327295988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24.531000000000027</v>
      </c>
      <c r="D54" s="11">
        <f t="shared" si="32"/>
        <v>7.789408173722185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249.49087011294341</v>
      </c>
      <c r="H54" s="66">
        <f t="shared" si="1"/>
        <v>349.62471090256616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13.8</v>
      </c>
      <c r="N54" s="13">
        <f>IF('Données projet'!$A$36&gt;35,N53+M54-V53,IF(A54&lt;'Données projet'!$A$36,$K$205^A54,IF(A54='Données projet'!$A$36,'Données projet'!$B$36,N53+M54-V53)))</f>
        <v>594.79999999999973</v>
      </c>
      <c r="O54" s="13">
        <f>N54*VLOOKUP('Données projet'!$B$9,Paramètres!$A$1:$I$89,3,0)*VLOOKUP('Données projet'!$B$9,Paramètres!$A$1:$I$89,5,0)</f>
        <v>332.49319999999983</v>
      </c>
      <c r="P54" s="13">
        <f t="shared" si="33"/>
        <v>77.946984490524827</v>
      </c>
      <c r="Q54" s="20">
        <f t="shared" si="53"/>
        <v>714.84998798766367</v>
      </c>
      <c r="R54" s="59">
        <f t="shared" si="0"/>
        <v>1008.183321320997</v>
      </c>
      <c r="S54" s="59">
        <f ca="1">AVERAGE(OFFSET($R$3,0,0,'Données projet'!$E$9+1,1))-AVERAGE(OFFSET($H$3,0,0,'Données projet'!$E$9+1,1))</f>
        <v>382.55387448074327</v>
      </c>
      <c r="T54" s="59">
        <f t="shared" si="34"/>
        <v>476.29465646955543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87.211751135095213</v>
      </c>
      <c r="AA54" s="21">
        <f>EXP(-LN(2)/25)*AA53+(1-EXP(-LN(2)/25))/(LN(2)/25)*Calculateur!V54*Calculateur!X54*VLOOKUP('Données projet'!$B$9,Paramètres!$A$1:$I$89,3,0)*0.475*44/12</f>
        <v>22.923847535969681</v>
      </c>
      <c r="AB54" s="21">
        <f>EXP(-LN(2)/2)*AB53+(1-EXP(-LN(2)/2))/(LN(2)/2)*V54*Y54*VLOOKUP('Données projet'!$B$9,Paramètres!$A$1:$I$89,3,0)*0.475*44/12</f>
        <v>0</v>
      </c>
      <c r="AC54" s="22">
        <f t="shared" si="3"/>
        <v>110.1355986710649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16</v>
      </c>
      <c r="AI54" s="13">
        <f>IF('Données projet'!$A$62&gt;35,AI53+AH54-AQ53,IF(A54&lt;'Données projet'!$A$62,$AF$205^A54,IF(A54='Données projet'!$A$62,'Données projet'!$B$62,AI53+AH54-AQ53)))</f>
        <v>524.99999999999966</v>
      </c>
      <c r="AJ54" s="13">
        <f>AI54*VLOOKUP('Données projet'!$B$10,Paramètres!$A$1:$I$89,3,0)*VLOOKUP('Données projet'!$B$10,Paramètres!$A$1:$I$89,5,0)</f>
        <v>286.64999999999981</v>
      </c>
      <c r="AK54" s="13">
        <f t="shared" si="35"/>
        <v>68.370419475838872</v>
      </c>
      <c r="AL54" s="20">
        <f t="shared" si="4"/>
        <v>618.32723058708575</v>
      </c>
      <c r="AM54" s="59">
        <f t="shared" si="5"/>
        <v>911.66056392041901</v>
      </c>
      <c r="AN54" s="59">
        <f ca="1">AVERAGE(OFFSET($AM$3,0,0,'Données projet'!$E$10+1,1))-AVERAGE(OFFSET($H$3,0,0,'Données projet'!$E$10+1,1))</f>
        <v>417.99456559608217</v>
      </c>
      <c r="AO54" s="59">
        <f t="shared" si="36"/>
        <v>651.41353014863932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132.79438327074368</v>
      </c>
      <c r="AV54" s="21">
        <f>EXP(-LN(2)/25)*AV53+(1-EXP(-LN(2)/25))/(LN(2)/25)*Calculateur!AQ54*Calculateur!AS54*VLOOKUP('Données projet'!$B$10,Paramètres!$A$1:$I$89,3,0)*0.475*44/12</f>
        <v>25.874828069026378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158.66921133977007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6.8</v>
      </c>
      <c r="BD54" s="12">
        <f>IF('Données projet'!$A$88&gt;35,BD53+BC54-BL53,IF(A54&lt;'Données projet'!$A$88,$BA$205^A54,IF(A54='Données projet'!$A$88,'Données projet'!$B$88,BD53+BC54-BL53)))</f>
        <v>187.79999999999998</v>
      </c>
      <c r="BE54" s="13">
        <f>BD54*VLOOKUP('Données projet'!$B$11,Paramètres!$A$1:$I$89,3,0)*VLOOKUP('Données projet'!$B$11,Paramètres!$A$1:$I$89,5,0)</f>
        <v>164.06208000000001</v>
      </c>
      <c r="BF54" s="13">
        <f t="shared" si="37"/>
        <v>41.75738773013461</v>
      </c>
      <c r="BG54" s="20">
        <f t="shared" si="7"/>
        <v>358.46890629665108</v>
      </c>
      <c r="BH54" s="59">
        <f t="shared" si="8"/>
        <v>651.80223962998434</v>
      </c>
      <c r="BI54" s="59">
        <f ca="1">AVERAGE(OFFSET($BH$3,0,0,'Données projet'!$E$11+1,1))-AVERAGE(OFFSET($H$3,0,0,'Données projet'!$E$11+1,1))</f>
        <v>247.61330734992077</v>
      </c>
      <c r="BJ54" s="59">
        <f t="shared" si="38"/>
        <v>278.55937893537259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44.74152580327047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</v>
      </c>
      <c r="BS54" s="22">
        <f t="shared" si="9"/>
        <v>44.74152580327047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25.012000000000029</v>
      </c>
      <c r="D55" s="11">
        <f t="shared" si="32"/>
        <v>7.9242105930753244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254.24443264830097</v>
      </c>
      <c r="H55" s="66">
        <f t="shared" si="1"/>
        <v>350.69723344960619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13.8</v>
      </c>
      <c r="N55" s="13">
        <f>IF('Données projet'!$A$36&gt;35,N54+M55-V54,IF(A55&lt;'Données projet'!$A$36,$K$205^A55,IF(A55='Données projet'!$A$36,'Données projet'!$B$36,N54+M55-V54)))</f>
        <v>608.59999999999968</v>
      </c>
      <c r="O55" s="13">
        <f>N55*VLOOKUP('Données projet'!$B$9,Paramètres!$A$1:$I$89,3,0)*VLOOKUP('Données projet'!$B$9,Paramètres!$A$1:$I$89,5,0)</f>
        <v>340.20739999999984</v>
      </c>
      <c r="P55" s="13">
        <f t="shared" si="33"/>
        <v>79.542795053996059</v>
      </c>
      <c r="Q55" s="20">
        <f t="shared" si="53"/>
        <v>731.06492305237623</v>
      </c>
      <c r="R55" s="59">
        <f t="shared" si="0"/>
        <v>1024.3982563857096</v>
      </c>
      <c r="S55" s="59">
        <f ca="1">AVERAGE(OFFSET($R$3,0,0,'Données projet'!$E$9+1,1))-AVERAGE(OFFSET($H$3,0,0,'Données projet'!$E$9+1,1))</f>
        <v>382.55387448074327</v>
      </c>
      <c r="T55" s="59">
        <f t="shared" si="34"/>
        <v>476.29465646955543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85.501581889251725</v>
      </c>
      <c r="AA55" s="21">
        <f>EXP(-LN(2)/25)*AA54+(1-EXP(-LN(2)/25))/(LN(2)/25)*Calculateur!V55*Calculateur!X55*VLOOKUP('Données projet'!$B$9,Paramètres!$A$1:$I$89,3,0)*0.475*44/12</f>
        <v>22.296993719585842</v>
      </c>
      <c r="AB55" s="21">
        <f>EXP(-LN(2)/2)*AB54+(1-EXP(-LN(2)/2))/(LN(2)/2)*V55*Y55*VLOOKUP('Données projet'!$B$9,Paramètres!$A$1:$I$89,3,0)*0.475*44/12</f>
        <v>0</v>
      </c>
      <c r="AC55" s="22">
        <f t="shared" si="3"/>
        <v>107.79857560883757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16</v>
      </c>
      <c r="AI55" s="13">
        <f>IF('Données projet'!$A$62&gt;35,AI54+AH55-AQ54,IF(A55&lt;'Données projet'!$A$62,$AF$205^A55,IF(A55='Données projet'!$A$62,'Données projet'!$B$62,AI54+AH55-AQ54)))</f>
        <v>540.99999999999966</v>
      </c>
      <c r="AJ55" s="13">
        <f>AI55*VLOOKUP('Données projet'!$B$10,Paramètres!$A$1:$I$89,3,0)*VLOOKUP('Données projet'!$B$10,Paramètres!$A$1:$I$89,5,0)</f>
        <v>295.3859999999998</v>
      </c>
      <c r="AK55" s="13">
        <f t="shared" si="35"/>
        <v>70.208321033523518</v>
      </c>
      <c r="AL55" s="20">
        <f t="shared" si="4"/>
        <v>636.74344246671978</v>
      </c>
      <c r="AM55" s="59">
        <f t="shared" si="5"/>
        <v>930.07677580005316</v>
      </c>
      <c r="AN55" s="59">
        <f ca="1">AVERAGE(OFFSET($AM$3,0,0,'Données projet'!$E$10+1,1))-AVERAGE(OFFSET($H$3,0,0,'Données projet'!$E$10+1,1))</f>
        <v>417.99456559608217</v>
      </c>
      <c r="AO55" s="59">
        <f t="shared" si="36"/>
        <v>651.41353014863932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130.19036641138044</v>
      </c>
      <c r="AV55" s="21">
        <f>EXP(-LN(2)/25)*AV54+(1-EXP(-LN(2)/25))/(LN(2)/25)*Calculateur!AQ55*Calculateur!AS55*VLOOKUP('Données projet'!$B$10,Paramètres!$A$1:$I$89,3,0)*0.475*44/12</f>
        <v>25.167279534780782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155.35764594616123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6.8</v>
      </c>
      <c r="BD55" s="12">
        <f>IF('Données projet'!$A$88&gt;35,BD54+BC55-BL54,IF(A55&lt;'Données projet'!$A$88,$BA$205^A55,IF(A55='Données projet'!$A$88,'Données projet'!$B$88,BD54+BC55-BL54)))</f>
        <v>194.6</v>
      </c>
      <c r="BE55" s="13">
        <f>BD55*VLOOKUP('Données projet'!$B$11,Paramètres!$A$1:$I$89,3,0)*VLOOKUP('Données projet'!$B$11,Paramètres!$A$1:$I$89,5,0)</f>
        <v>170.00256000000002</v>
      </c>
      <c r="BF55" s="13">
        <f t="shared" si="37"/>
        <v>43.090596939649579</v>
      </c>
      <c r="BG55" s="20">
        <f t="shared" si="7"/>
        <v>371.1372483365563</v>
      </c>
      <c r="BH55" s="59">
        <f t="shared" si="8"/>
        <v>664.47058166988961</v>
      </c>
      <c r="BI55" s="59">
        <f ca="1">AVERAGE(OFFSET($BH$3,0,0,'Données projet'!$E$11+1,1))-AVERAGE(OFFSET($H$3,0,0,'Données projet'!$E$11+1,1))</f>
        <v>247.61330734992077</v>
      </c>
      <c r="BJ55" s="59">
        <f t="shared" si="38"/>
        <v>278.55937893537259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43.864171771904445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</v>
      </c>
      <c r="BS55" s="22">
        <f t="shared" si="9"/>
        <v>43.864171771904445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25.493000000000031</v>
      </c>
      <c r="D56" s="11">
        <f t="shared" si="32"/>
        <v>8.0587115802330267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258.99566833864117</v>
      </c>
      <c r="H56" s="66">
        <f t="shared" si="1"/>
        <v>351.76923100223922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13.8</v>
      </c>
      <c r="N56" s="13">
        <f>IF('Données projet'!$A$36&gt;35,N55+M56-V55,IF(A56&lt;'Données projet'!$A$36,$K$205^A56,IF(A56='Données projet'!$A$36,'Données projet'!$B$36,N55+M56-V55)))</f>
        <v>622.39999999999964</v>
      </c>
      <c r="O56" s="13">
        <f>N56*VLOOKUP('Données projet'!$B$9,Paramètres!$A$1:$I$89,3,0)*VLOOKUP('Données projet'!$B$9,Paramètres!$A$1:$I$89,5,0)</f>
        <v>347.92159999999978</v>
      </c>
      <c r="P56" s="13">
        <f t="shared" si="33"/>
        <v>81.134398856989449</v>
      </c>
      <c r="Q56" s="20">
        <f t="shared" si="53"/>
        <v>747.27253134258956</v>
      </c>
      <c r="R56" s="59">
        <f t="shared" si="0"/>
        <v>1040.6058646759229</v>
      </c>
      <c r="S56" s="59">
        <f ca="1">AVERAGE(OFFSET($R$3,0,0,'Données projet'!$E$9+1,1))-AVERAGE(OFFSET($H$3,0,0,'Données projet'!$E$9+1,1))</f>
        <v>382.55387448074327</v>
      </c>
      <c r="T56" s="59">
        <f t="shared" si="34"/>
        <v>476.29465646955543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83.824948019218979</v>
      </c>
      <c r="AA56" s="21">
        <f>EXP(-LN(2)/25)*AA55+(1-EXP(-LN(2)/25))/(LN(2)/25)*Calculateur!V56*Calculateur!X56*VLOOKUP('Données projet'!$B$9,Paramètres!$A$1:$I$89,3,0)*0.475*44/12</f>
        <v>21.687281253775829</v>
      </c>
      <c r="AB56" s="21">
        <f>EXP(-LN(2)/2)*AB55+(1-EXP(-LN(2)/2))/(LN(2)/2)*V56*Y56*VLOOKUP('Données projet'!$B$9,Paramètres!$A$1:$I$89,3,0)*0.475*44/12</f>
        <v>0</v>
      </c>
      <c r="AC56" s="22">
        <f t="shared" si="3"/>
        <v>105.5122292729948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16</v>
      </c>
      <c r="AI56" s="13">
        <f>IF('Données projet'!$A$62&gt;35,AI55+AH56-AQ55,IF(A56&lt;'Données projet'!$A$62,$AF$205^A56,IF(A56='Données projet'!$A$62,'Données projet'!$B$62,AI55+AH56-AQ55)))</f>
        <v>556.99999999999966</v>
      </c>
      <c r="AJ56" s="13">
        <f>AI56*VLOOKUP('Données projet'!$B$10,Paramètres!$A$1:$I$89,3,0)*VLOOKUP('Données projet'!$B$10,Paramètres!$A$1:$I$89,5,0)</f>
        <v>304.12199999999984</v>
      </c>
      <c r="AK56" s="13">
        <f t="shared" si="35"/>
        <v>72.039905494501397</v>
      </c>
      <c r="AL56" s="20">
        <f t="shared" si="4"/>
        <v>655.14865206958962</v>
      </c>
      <c r="AM56" s="59">
        <f t="shared" si="5"/>
        <v>948.48198540292287</v>
      </c>
      <c r="AN56" s="59">
        <f ca="1">AVERAGE(OFFSET($AM$3,0,0,'Données projet'!$E$10+1,1))-AVERAGE(OFFSET($H$3,0,0,'Données projet'!$E$10+1,1))</f>
        <v>417.99456559608217</v>
      </c>
      <c r="AO56" s="59">
        <f t="shared" si="36"/>
        <v>651.41353014863932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127.63741273433587</v>
      </c>
      <c r="AV56" s="21">
        <f>EXP(-LN(2)/25)*AV55+(1-EXP(-LN(2)/25))/(LN(2)/25)*Calculateur!AQ56*Calculateur!AS56*VLOOKUP('Données projet'!$B$10,Paramètres!$A$1:$I$89,3,0)*0.475*44/12</f>
        <v>24.479078952412493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152.11649168674836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6.8</v>
      </c>
      <c r="BD56" s="12">
        <f>IF('Données projet'!$A$88&gt;35,BD55+BC56-BL55,IF(A56&lt;'Données projet'!$A$88,$BA$205^A56,IF(A56='Données projet'!$A$88,'Données projet'!$B$88,BD55+BC56-BL55)))</f>
        <v>201.4</v>
      </c>
      <c r="BE56" s="13">
        <f>BD56*VLOOKUP('Données projet'!$B$11,Paramètres!$A$1:$I$89,3,0)*VLOOKUP('Données projet'!$B$11,Paramètres!$A$1:$I$89,5,0)</f>
        <v>175.94304000000002</v>
      </c>
      <c r="BF56" s="13">
        <f t="shared" si="37"/>
        <v>44.418393276556458</v>
      </c>
      <c r="BG56" s="20">
        <f t="shared" si="7"/>
        <v>383.79616295666915</v>
      </c>
      <c r="BH56" s="59">
        <f t="shared" si="8"/>
        <v>677.12949629000241</v>
      </c>
      <c r="BI56" s="59">
        <f ca="1">AVERAGE(OFFSET($BH$3,0,0,'Données projet'!$E$11+1,1))-AVERAGE(OFFSET($H$3,0,0,'Données projet'!$E$11+1,1))</f>
        <v>247.61330734992077</v>
      </c>
      <c r="BJ56" s="59">
        <f t="shared" si="38"/>
        <v>278.55937893537259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43.004022117960389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</v>
      </c>
      <c r="BS56" s="22">
        <f t="shared" si="9"/>
        <v>43.004022117960389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25.974000000000032</v>
      </c>
      <c r="D57" s="11">
        <f t="shared" si="32"/>
        <v>8.1929174784004761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263.74462614905656</v>
      </c>
      <c r="H57" s="66">
        <f t="shared" si="1"/>
        <v>352.84071460821417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13.8</v>
      </c>
      <c r="N57" s="13">
        <f>IF('Données projet'!$A$36&gt;35,N56+M57-V56,IF(A57&lt;'Données projet'!$A$36,$K$205^A57,IF(A57='Données projet'!$A$36,'Données projet'!$B$36,N56+M57-V56)))</f>
        <v>636.19999999999959</v>
      </c>
      <c r="O57" s="13">
        <f>N57*VLOOKUP('Données projet'!$B$9,Paramètres!$A$1:$I$89,3,0)*VLOOKUP('Données projet'!$B$9,Paramètres!$A$1:$I$89,5,0)</f>
        <v>355.63579999999973</v>
      </c>
      <c r="P57" s="13">
        <f t="shared" si="33"/>
        <v>82.721899912765039</v>
      </c>
      <c r="Q57" s="20">
        <f t="shared" si="53"/>
        <v>763.47299401473185</v>
      </c>
      <c r="R57" s="59">
        <f t="shared" si="0"/>
        <v>1056.8063273480652</v>
      </c>
      <c r="S57" s="59">
        <f ca="1">AVERAGE(OFFSET($R$3,0,0,'Données projet'!$E$9+1,1))-AVERAGE(OFFSET($H$3,0,0,'Données projet'!$E$9+1,1))</f>
        <v>382.55387448074327</v>
      </c>
      <c r="T57" s="59">
        <f t="shared" si="34"/>
        <v>476.29465646955543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82.181191916731905</v>
      </c>
      <c r="AA57" s="21">
        <f>EXP(-LN(2)/25)*AA56+(1-EXP(-LN(2)/25))/(LN(2)/25)*Calculateur!V57*Calculateur!X57*VLOOKUP('Données projet'!$B$9,Paramètres!$A$1:$I$89,3,0)*0.475*44/12</f>
        <v>21.094241407406773</v>
      </c>
      <c r="AB57" s="21">
        <f>EXP(-LN(2)/2)*AB56+(1-EXP(-LN(2)/2))/(LN(2)/2)*V57*Y57*VLOOKUP('Données projet'!$B$9,Paramètres!$A$1:$I$89,3,0)*0.475*44/12</f>
        <v>0</v>
      </c>
      <c r="AC57" s="22">
        <f t="shared" si="3"/>
        <v>103.27543332413867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>
        <f>VLOOKUP(A57,'Données projet'!$A$61:$I$81,2,0)</f>
        <v>573</v>
      </c>
      <c r="AG57" s="12">
        <f>VLOOKUP(A57,'Données projet'!$A$61:$I$81,9,0)</f>
        <v>16</v>
      </c>
      <c r="AH57" s="12">
        <f t="array" ref="AH57">INDEX(AG:AG,MIN(IF(ISNUMBER(AG57:AG253),ROW(AG57:AG253),"")))</f>
        <v>16</v>
      </c>
      <c r="AI57" s="13">
        <f>IF('Données projet'!$A$62&gt;35,AI56+AH57-AQ56,IF(A57&lt;'Données projet'!$A$62,$AF$205^A57,IF(A57='Données projet'!$A$62,'Données projet'!$B$62,AI56+AH57-AQ56)))</f>
        <v>572.99999999999966</v>
      </c>
      <c r="AJ57" s="13">
        <f>AI57*VLOOKUP('Données projet'!$B$10,Paramètres!$A$1:$I$89,3,0)*VLOOKUP('Données projet'!$B$10,Paramètres!$A$1:$I$89,5,0)</f>
        <v>312.85799999999983</v>
      </c>
      <c r="AK57" s="13">
        <f t="shared" si="35"/>
        <v>73.865375159452455</v>
      </c>
      <c r="AL57" s="20">
        <f t="shared" si="4"/>
        <v>673.54321173604603</v>
      </c>
      <c r="AM57" s="59">
        <f t="shared" si="5"/>
        <v>966.87654506937929</v>
      </c>
      <c r="AN57" s="59">
        <f ca="1">AVERAGE(OFFSET($AM$3,0,0,'Données projet'!$E$10+1,1))-AVERAGE(OFFSET($H$3,0,0,'Données projet'!$E$10+1,1))</f>
        <v>417.99456559608217</v>
      </c>
      <c r="AO57" s="59">
        <f t="shared" si="36"/>
        <v>651.41353014863932</v>
      </c>
      <c r="AP57" s="15">
        <f>IF(ISNA(VLOOKUP(A57,'Données projet'!$A$61:$I$81,3,0)),0,VLOOKUP(A57,'Données projet'!$A$61:$I$81,3,0))</f>
        <v>5</v>
      </c>
      <c r="AQ57" s="15">
        <f>IF(ISNA(VLOOKUP(A57,'Données projet'!$A$61:$I$81,4,0)),0,VLOOKUP(A57,'Données projet'!$A$61:$I$81,4,0))</f>
        <v>119</v>
      </c>
      <c r="AR57" s="16">
        <f>IF(ISNA(VLOOKUP(A57,'Données projet'!$A$61:$I$81,5,0)),0%,VLOOKUP(A57,'Données projet'!$A$61:$I$81,5,0)*VLOOKUP('Données projet'!$B$10,Paramètres!$A$1:$I$89,7,0))</f>
        <v>0.6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176.84984027838738</v>
      </c>
      <c r="AV57" s="21">
        <f>EXP(-LN(2)/25)*AV56+(1-EXP(-LN(2)/25))/(LN(2)/25)*Calculateur!AQ57*Calculateur!AS57*VLOOKUP('Données projet'!$B$10,Paramètres!$A$1:$I$89,3,0)*0.475*44/12</f>
        <v>23.80969725115996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200.65953752954732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6.8</v>
      </c>
      <c r="BD57" s="12">
        <f>IF('Données projet'!$A$88&gt;35,BD56+BC57-BL56,IF(A57&lt;'Données projet'!$A$88,$BA$205^A57,IF(A57='Données projet'!$A$88,'Données projet'!$B$88,BD56+BC57-BL56)))</f>
        <v>208.20000000000002</v>
      </c>
      <c r="BE57" s="13">
        <f>BD57*VLOOKUP('Données projet'!$B$11,Paramètres!$A$1:$I$89,3,0)*VLOOKUP('Données projet'!$B$11,Paramètres!$A$1:$I$89,5,0)</f>
        <v>181.88352000000006</v>
      </c>
      <c r="BF57" s="13">
        <f t="shared" si="37"/>
        <v>45.74098045051349</v>
      </c>
      <c r="BG57" s="20">
        <f t="shared" si="7"/>
        <v>396.44600495131112</v>
      </c>
      <c r="BH57" s="59">
        <f t="shared" si="8"/>
        <v>689.77933828464438</v>
      </c>
      <c r="BI57" s="59">
        <f ca="1">AVERAGE(OFFSET($BH$3,0,0,'Données projet'!$E$11+1,1))-AVERAGE(OFFSET($H$3,0,0,'Données projet'!$E$11+1,1))</f>
        <v>247.61330734992077</v>
      </c>
      <c r="BJ57" s="59">
        <f t="shared" si="38"/>
        <v>278.55937893537259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42.160739474090697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0</v>
      </c>
      <c r="BS57" s="22">
        <f t="shared" si="9"/>
        <v>42.160739474090697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26.455000000000034</v>
      </c>
      <c r="D58" s="11">
        <f t="shared" si="32"/>
        <v>8.3268343824014242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268.49135312730948</v>
      </c>
      <c r="H58" s="66">
        <f t="shared" si="1"/>
        <v>353.91169488268253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>
        <f>VLOOKUP(A58,'Données projet'!$A$35:$I$55,2,0)</f>
        <v>650</v>
      </c>
      <c r="L58" s="12">
        <f>VLOOKUP(A58,'Données projet'!$A$35:$I$55,9,0)</f>
        <v>13.8</v>
      </c>
      <c r="M58" s="12">
        <f t="array" ref="M58">INDEX(L:L,MIN(IF(ISNUMBER(L58:L254),ROW(L58:L254),"")))</f>
        <v>13.8</v>
      </c>
      <c r="N58" s="13">
        <f>IF('Données projet'!$A$36&gt;35,N57+M58-V57,IF(A58&lt;'Données projet'!$A$36,$K$205^A58,IF(A58='Données projet'!$A$36,'Données projet'!$B$36,N57+M58-V57)))</f>
        <v>649.99999999999955</v>
      </c>
      <c r="O58" s="13">
        <f>N58*VLOOKUP('Données projet'!$B$9,Paramètres!$A$1:$I$89,3,0)*VLOOKUP('Données projet'!$B$9,Paramètres!$A$1:$I$89,5,0)</f>
        <v>363.34999999999974</v>
      </c>
      <c r="P58" s="13">
        <f t="shared" si="33"/>
        <v>84.305397464498199</v>
      </c>
      <c r="Q58" s="20">
        <f t="shared" si="53"/>
        <v>779.66648391733395</v>
      </c>
      <c r="R58" s="59">
        <f t="shared" si="0"/>
        <v>1072.9998172506673</v>
      </c>
      <c r="S58" s="59">
        <f ca="1">AVERAGE(OFFSET($R$3,0,0,'Données projet'!$E$9+1,1))-AVERAGE(OFFSET($H$3,0,0,'Données projet'!$E$9+1,1))</f>
        <v>382.55387448074327</v>
      </c>
      <c r="T58" s="59">
        <f t="shared" si="34"/>
        <v>476.29465646955543</v>
      </c>
      <c r="U58" s="15">
        <f>IF(ISNA(VLOOKUP(A58,'Données projet'!$A$35:$I$55,3,0)),0,VLOOKUP(A58,'Données projet'!$A$35:$I$55,3,0))</f>
        <v>7</v>
      </c>
      <c r="V58" s="15">
        <f>IF(ISNA(VLOOKUP(A58,'Données projet'!$A$35:$I$55,4,0)),0,VLOOKUP(A58,'Données projet'!$A$35:$I$55,4,0))</f>
        <v>35</v>
      </c>
      <c r="W58" s="16">
        <f>IF(ISNA(VLOOKUP(A58,'Données projet'!$A$35:$I$55,5,0)),0%,VLOOKUP(A58,'Données projet'!$A$35:$I$55,5,0)*VLOOKUP('Données projet'!$B$9,Paramètres!$A$1:$I$89,7,0))</f>
        <v>0.55000000000000004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94.844497332693408</v>
      </c>
      <c r="AA58" s="21">
        <f>EXP(-LN(2)/25)*AA57+(1-EXP(-LN(2)/25))/(LN(2)/25)*Calculateur!V58*Calculateur!X58*VLOOKUP('Données projet'!$B$9,Paramètres!$A$1:$I$89,3,0)*0.475*44/12</f>
        <v>20.517418266823292</v>
      </c>
      <c r="AB58" s="21">
        <f>EXP(-LN(2)/2)*AB57+(1-EXP(-LN(2)/2))/(LN(2)/2)*V58*Y58*VLOOKUP('Données projet'!$B$9,Paramètres!$A$1:$I$89,3,0)*0.475*44/12</f>
        <v>0</v>
      </c>
      <c r="AC58" s="22">
        <f t="shared" si="3"/>
        <v>115.36191559951669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13.333333333333334</v>
      </c>
      <c r="AI58" s="13">
        <f>IF('Données projet'!$A$62&gt;35,AI57+AH58-AQ57,IF(A58&lt;'Données projet'!$A$62,$AF$205^A58,IF(A58='Données projet'!$A$62,'Données projet'!$B$62,AI57+AH58-AQ57)))</f>
        <v>467.33333333333303</v>
      </c>
      <c r="AJ58" s="13">
        <f>AI58*VLOOKUP('Données projet'!$B$10,Paramètres!$A$1:$I$89,3,0)*VLOOKUP('Données projet'!$B$10,Paramètres!$A$1:$I$89,5,0)</f>
        <v>255.16399999999982</v>
      </c>
      <c r="AK58" s="13">
        <f t="shared" si="35"/>
        <v>61.690414477836441</v>
      </c>
      <c r="AL58" s="20">
        <f t="shared" si="4"/>
        <v>551.85477188223149</v>
      </c>
      <c r="AM58" s="59">
        <f t="shared" si="5"/>
        <v>845.18810521556475</v>
      </c>
      <c r="AN58" s="59">
        <f ca="1">AVERAGE(OFFSET($AM$3,0,0,'Données projet'!$E$10+1,1))-AVERAGE(OFFSET($H$3,0,0,'Données projet'!$E$10+1,1))</f>
        <v>417.99456559608217</v>
      </c>
      <c r="AO58" s="59">
        <f t="shared" si="36"/>
        <v>651.41353014863932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173.38192277827972</v>
      </c>
      <c r="AV58" s="21">
        <f>EXP(-LN(2)/25)*AV57+(1-EXP(-LN(2)/25))/(LN(2)/25)*Calculateur!AQ58*Calculateur!AS58*VLOOKUP('Données projet'!$B$10,Paramètres!$A$1:$I$89,3,0)*0.475*44/12</f>
        <v>23.158619827729432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196.54054260600915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>
        <f>VLOOKUP(A58,'Données projet'!$A$87:$I$107,2,0)</f>
        <v>215</v>
      </c>
      <c r="BB58" s="12">
        <f>VLOOKUP(A58,'Données projet'!$A$87:$I$107,9,0)</f>
        <v>6.8</v>
      </c>
      <c r="BC58" s="12">
        <f t="array" ref="BC58">INDEX(BB:BB,MIN(IF(ISNUMBER(BB58:BB254),ROW(BB58:BB254),"")))</f>
        <v>6.8</v>
      </c>
      <c r="BD58" s="12">
        <f>IF('Données projet'!$A$88&gt;35,BD57+BC58-BL57,IF(A58&lt;'Données projet'!$A$88,$BA$205^A58,IF(A58='Données projet'!$A$88,'Données projet'!$B$88,BD57+BC58-BL57)))</f>
        <v>215.00000000000003</v>
      </c>
      <c r="BE58" s="13">
        <f>BD58*VLOOKUP('Données projet'!$B$11,Paramètres!$A$1:$I$89,3,0)*VLOOKUP('Données projet'!$B$11,Paramètres!$A$1:$I$89,5,0)</f>
        <v>187.82400000000007</v>
      </c>
      <c r="BF58" s="13">
        <f t="shared" si="37"/>
        <v>47.05854810918273</v>
      </c>
      <c r="BG58" s="20">
        <f t="shared" si="7"/>
        <v>409.08710462349336</v>
      </c>
      <c r="BH58" s="59">
        <f t="shared" si="8"/>
        <v>702.42043795682662</v>
      </c>
      <c r="BI58" s="59">
        <f ca="1">AVERAGE(OFFSET($BH$3,0,0,'Données projet'!$E$11+1,1))-AVERAGE(OFFSET($H$3,0,0,'Données projet'!$E$11+1,1))</f>
        <v>247.61330734992077</v>
      </c>
      <c r="BJ58" s="59">
        <f t="shared" si="38"/>
        <v>278.55937893537259</v>
      </c>
      <c r="BK58" s="15">
        <f>IF(ISNA(VLOOKUP(A58,'Données projet'!$A$87:$I$107,3,0)),0,VLOOKUP(A58,'Données projet'!$A$87:$I$107,3,0))</f>
        <v>8</v>
      </c>
      <c r="BL58" s="15">
        <f>IF(ISNA(VLOOKUP(A58,'Données projet'!$A$87:$I$107,4,0)),0,VLOOKUP(A58,'Données projet'!$A$87:$I$107,4,0))</f>
        <v>25</v>
      </c>
      <c r="BM58" s="16">
        <f>IF(ISNA(VLOOKUP(A58,'Données projet'!$A$87:$I$107,5,0)),0%,VLOOKUP(A58,'Données projet'!$A$87:$I$107,5,0)*VLOOKUP('Données projet'!$B$11,Paramètres!$A$1:$I$89,7,0))</f>
        <v>0.43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51.715686516785503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0</v>
      </c>
      <c r="BS58" s="22">
        <f t="shared" si="9"/>
        <v>51.715686516785503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26.936000000000035</v>
      </c>
      <c r="D59" s="11">
        <f t="shared" si="32"/>
        <v>8.4604681527401535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273.23589451238041</v>
      </c>
      <c r="H59" s="66">
        <f t="shared" si="1"/>
        <v>354.98218203268914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10.199999999999999</v>
      </c>
      <c r="N59" s="13">
        <f>IF('Données projet'!$A$36&gt;35,N58+M59-V58,IF(A59&lt;'Données projet'!$A$36,$K$205^A59,IF(A59='Données projet'!$A$36,'Données projet'!$B$36,N58+M59-V58)))</f>
        <v>625.19999999999959</v>
      </c>
      <c r="O59" s="13">
        <f>N59*VLOOKUP('Données projet'!$B$9,Paramètres!$A$1:$I$89,3,0)*VLOOKUP('Données projet'!$B$9,Paramètres!$A$1:$I$89,5,0)</f>
        <v>349.48679999999979</v>
      </c>
      <c r="P59" s="13">
        <f t="shared" si="33"/>
        <v>81.45682900536228</v>
      </c>
      <c r="Q59" s="20">
        <f t="shared" si="53"/>
        <v>750.56015385100557</v>
      </c>
      <c r="R59" s="59">
        <f t="shared" si="0"/>
        <v>1043.8934871843389</v>
      </c>
      <c r="S59" s="59">
        <f ca="1">AVERAGE(OFFSET($R$3,0,0,'Données projet'!$E$9+1,1))-AVERAGE(OFFSET($H$3,0,0,'Données projet'!$E$9+1,1))</f>
        <v>382.55387448074327</v>
      </c>
      <c r="T59" s="59">
        <f t="shared" si="34"/>
        <v>476.29465646955543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92.984654589430505</v>
      </c>
      <c r="AA59" s="21">
        <f>EXP(-LN(2)/25)*AA58+(1-EXP(-LN(2)/25))/(LN(2)/25)*Calculateur!V59*Calculateur!X59*VLOOKUP('Données projet'!$B$9,Paramètres!$A$1:$I$89,3,0)*0.475*44/12</f>
        <v>19.956368385352874</v>
      </c>
      <c r="AB59" s="21">
        <f>EXP(-LN(2)/2)*AB58+(1-EXP(-LN(2)/2))/(LN(2)/2)*V59*Y59*VLOOKUP('Données projet'!$B$9,Paramètres!$A$1:$I$89,3,0)*0.475*44/12</f>
        <v>0</v>
      </c>
      <c r="AC59" s="22">
        <f t="shared" si="3"/>
        <v>112.94102297478338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13.333333333333334</v>
      </c>
      <c r="AI59" s="13">
        <f>IF('Données projet'!$A$62&gt;35,AI58+AH59-AQ58,IF(A59&lt;'Données projet'!$A$62,$AF$205^A59,IF(A59='Données projet'!$A$62,'Données projet'!$B$62,AI58+AH59-AQ58)))</f>
        <v>480.66666666666634</v>
      </c>
      <c r="AJ59" s="13">
        <f>AI59*VLOOKUP('Données projet'!$B$10,Paramètres!$A$1:$I$89,3,0)*VLOOKUP('Données projet'!$B$10,Paramètres!$A$1:$I$89,5,0)</f>
        <v>262.44399999999985</v>
      </c>
      <c r="AK59" s="13">
        <f t="shared" si="35"/>
        <v>63.243055976018816</v>
      </c>
      <c r="AL59" s="20">
        <f t="shared" si="4"/>
        <v>567.23828915823242</v>
      </c>
      <c r="AM59" s="59">
        <f t="shared" si="5"/>
        <v>860.57162249156568</v>
      </c>
      <c r="AN59" s="59">
        <f ca="1">AVERAGE(OFFSET($AM$3,0,0,'Données projet'!$E$10+1,1))-AVERAGE(OFFSET($H$3,0,0,'Données projet'!$E$10+1,1))</f>
        <v>417.99456559608217</v>
      </c>
      <c r="AO59" s="59">
        <f t="shared" si="36"/>
        <v>651.41353014863932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169.98200902512835</v>
      </c>
      <c r="AV59" s="21">
        <f>EXP(-LN(2)/25)*AV58+(1-EXP(-LN(2)/25))/(LN(2)/25)*Calculateur!AQ59*Calculateur!AS59*VLOOKUP('Données projet'!$B$10,Paramètres!$A$1:$I$89,3,0)*0.475*44/12</f>
        <v>22.525346150681283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192.50735517580964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6</v>
      </c>
      <c r="BD59" s="12">
        <f>IF('Données projet'!$A$88&gt;35,BD58+BC59-BL58,IF(A59&lt;'Données projet'!$A$88,$BA$205^A59,IF(A59='Données projet'!$A$88,'Données projet'!$B$88,BD58+BC59-BL58)))</f>
        <v>196.00000000000003</v>
      </c>
      <c r="BE59" s="13">
        <f>BD59*VLOOKUP('Données projet'!$B$11,Paramètres!$A$1:$I$89,3,0)*VLOOKUP('Données projet'!$B$11,Paramètres!$A$1:$I$89,5,0)</f>
        <v>171.22560000000004</v>
      </c>
      <c r="BF59" s="13">
        <f t="shared" si="37"/>
        <v>43.364402348589557</v>
      </c>
      <c r="BG59" s="20">
        <f t="shared" si="7"/>
        <v>373.74425409046017</v>
      </c>
      <c r="BH59" s="59">
        <f t="shared" si="8"/>
        <v>667.07758742379349</v>
      </c>
      <c r="BI59" s="59">
        <f ca="1">AVERAGE(OFFSET($BH$3,0,0,'Données projet'!$E$11+1,1))-AVERAGE(OFFSET($H$3,0,0,'Données projet'!$E$11+1,1))</f>
        <v>247.61330734992077</v>
      </c>
      <c r="BJ59" s="59">
        <f t="shared" si="38"/>
        <v>278.55937893537259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50.701573447645458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0</v>
      </c>
      <c r="BS59" s="22">
        <f t="shared" si="9"/>
        <v>50.701573447645458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27.417000000000037</v>
      </c>
      <c r="D60" s="11">
        <f t="shared" si="32"/>
        <v>8.5938244286305778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277.97829383504336</v>
      </c>
      <c r="H60" s="66">
        <f t="shared" si="1"/>
        <v>356.05218587986496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10.199999999999999</v>
      </c>
      <c r="N60" s="13">
        <f>IF('Données projet'!$A$36&gt;35,N59+M60-V59,IF(A60&lt;'Données projet'!$A$36,$K$205^A60,IF(A60='Données projet'!$A$36,'Données projet'!$B$36,N59+M60-V59)))</f>
        <v>635.39999999999964</v>
      </c>
      <c r="O60" s="13">
        <f>N60*VLOOKUP('Données projet'!$B$9,Paramètres!$A$1:$I$89,3,0)*VLOOKUP('Données projet'!$B$9,Paramètres!$A$1:$I$89,5,0)</f>
        <v>355.18859999999984</v>
      </c>
      <c r="P60" s="13">
        <f t="shared" si="33"/>
        <v>82.629981116726043</v>
      </c>
      <c r="Q60" s="20">
        <f t="shared" si="53"/>
        <v>762.53402877829774</v>
      </c>
      <c r="R60" s="59">
        <f t="shared" si="0"/>
        <v>1055.8673621116311</v>
      </c>
      <c r="S60" s="59">
        <f ca="1">AVERAGE(OFFSET($R$3,0,0,'Données projet'!$E$9+1,1))-AVERAGE(OFFSET($H$3,0,0,'Données projet'!$E$9+1,1))</f>
        <v>382.55387448074327</v>
      </c>
      <c r="T60" s="59">
        <f t="shared" si="34"/>
        <v>476.29465646955543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91.161282227970929</v>
      </c>
      <c r="AA60" s="21">
        <f>EXP(-LN(2)/25)*AA59+(1-EXP(-LN(2)/25))/(LN(2)/25)*Calculateur!V60*Calculateur!X60*VLOOKUP('Données projet'!$B$9,Paramètres!$A$1:$I$89,3,0)*0.475*44/12</f>
        <v>19.410660442395599</v>
      </c>
      <c r="AB60" s="21">
        <f>EXP(-LN(2)/2)*AB59+(1-EXP(-LN(2)/2))/(LN(2)/2)*V60*Y60*VLOOKUP('Données projet'!$B$9,Paramètres!$A$1:$I$89,3,0)*0.475*44/12</f>
        <v>0</v>
      </c>
      <c r="AC60" s="22">
        <f t="shared" si="3"/>
        <v>110.57194267036652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13.333333333333334</v>
      </c>
      <c r="AI60" s="13">
        <f>IF('Données projet'!$A$62&gt;35,AI59+AH60-AQ59,IF(A60&lt;'Données projet'!$A$62,$AF$205^A60,IF(A60='Données projet'!$A$62,'Données projet'!$B$62,AI59+AH60-AQ59)))</f>
        <v>493.99999999999966</v>
      </c>
      <c r="AJ60" s="13">
        <f>AI60*VLOOKUP('Données projet'!$B$10,Paramètres!$A$1:$I$89,3,0)*VLOOKUP('Données projet'!$B$10,Paramètres!$A$1:$I$89,5,0)</f>
        <v>269.72399999999982</v>
      </c>
      <c r="AK60" s="13">
        <f t="shared" si="35"/>
        <v>64.790691635967349</v>
      </c>
      <c r="AL60" s="20">
        <f t="shared" si="4"/>
        <v>582.61308793264277</v>
      </c>
      <c r="AM60" s="59">
        <f t="shared" si="5"/>
        <v>875.94642126597614</v>
      </c>
      <c r="AN60" s="59">
        <f ca="1">AVERAGE(OFFSET($AM$3,0,0,'Données projet'!$E$10+1,1))-AVERAGE(OFFSET($H$3,0,0,'Données projet'!$E$10+1,1))</f>
        <v>417.99456559608217</v>
      </c>
      <c r="AO60" s="59">
        <f t="shared" si="36"/>
        <v>651.41353014863932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166.64876550693367</v>
      </c>
      <c r="AV60" s="21">
        <f>EXP(-LN(2)/25)*AV59+(1-EXP(-LN(2)/25))/(LN(2)/25)*Calculateur!AQ60*Calculateur!AS60*VLOOKUP('Données projet'!$B$10,Paramètres!$A$1:$I$89,3,0)*0.475*44/12</f>
        <v>21.909389375634433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188.55815488256809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6</v>
      </c>
      <c r="BD60" s="12">
        <f>IF('Données projet'!$A$88&gt;35,BD59+BC60-BL59,IF(A60&lt;'Données projet'!$A$88,$BA$205^A60,IF(A60='Données projet'!$A$88,'Données projet'!$B$88,BD59+BC60-BL59)))</f>
        <v>202.00000000000003</v>
      </c>
      <c r="BE60" s="13">
        <f>BD60*VLOOKUP('Données projet'!$B$11,Paramètres!$A$1:$I$89,3,0)*VLOOKUP('Données projet'!$B$11,Paramètres!$A$1:$I$89,5,0)</f>
        <v>176.46720000000005</v>
      </c>
      <c r="BF60" s="13">
        <f t="shared" si="37"/>
        <v>44.535298821989393</v>
      </c>
      <c r="BG60" s="20">
        <f t="shared" si="7"/>
        <v>384.91268544829819</v>
      </c>
      <c r="BH60" s="59">
        <f t="shared" si="8"/>
        <v>678.24601878163151</v>
      </c>
      <c r="BI60" s="59">
        <f ca="1">AVERAGE(OFFSET($BH$3,0,0,'Données projet'!$E$11+1,1))-AVERAGE(OFFSET($H$3,0,0,'Données projet'!$E$11+1,1))</f>
        <v>247.61330734992077</v>
      </c>
      <c r="BJ60" s="59">
        <f t="shared" si="38"/>
        <v>278.55937893537259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49.707346517243352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0</v>
      </c>
      <c r="BS60" s="22">
        <f t="shared" si="9"/>
        <v>49.707346517243352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27.898000000000039</v>
      </c>
      <c r="D61" s="11">
        <f t="shared" si="32"/>
        <v>8.7269086400851155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282.71859301118366</v>
      </c>
      <c r="H61" s="66">
        <f t="shared" si="1"/>
        <v>357.12171588148163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10.199999999999999</v>
      </c>
      <c r="N61" s="13">
        <f>IF('Données projet'!$A$36&gt;35,N60+M61-V60,IF(A61&lt;'Données projet'!$A$36,$K$205^A61,IF(A61='Données projet'!$A$36,'Données projet'!$B$36,N60+M61-V60)))</f>
        <v>645.59999999999968</v>
      </c>
      <c r="O61" s="13">
        <f>N61*VLOOKUP('Données projet'!$B$9,Paramètres!$A$1:$I$89,3,0)*VLOOKUP('Données projet'!$B$9,Paramètres!$A$1:$I$89,5,0)</f>
        <v>360.89039999999977</v>
      </c>
      <c r="P61" s="13">
        <f t="shared" si="33"/>
        <v>83.800943075865291</v>
      </c>
      <c r="Q61" s="20">
        <f t="shared" si="53"/>
        <v>774.50408919046504</v>
      </c>
      <c r="R61" s="59">
        <f t="shared" si="0"/>
        <v>1067.8374225237983</v>
      </c>
      <c r="S61" s="59">
        <f ca="1">AVERAGE(OFFSET($R$3,0,0,'Données projet'!$E$9+1,1))-AVERAGE(OFFSET($H$3,0,0,'Données projet'!$E$9+1,1))</f>
        <v>382.55387448074327</v>
      </c>
      <c r="T61" s="59">
        <f t="shared" si="34"/>
        <v>476.29465646955543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89.373665086372242</v>
      </c>
      <c r="AA61" s="21">
        <f>EXP(-LN(2)/25)*AA60+(1-EXP(-LN(2)/25))/(LN(2)/25)*Calculateur!V61*Calculateur!X61*VLOOKUP('Données projet'!$B$9,Paramètres!$A$1:$I$89,3,0)*0.475*44/12</f>
        <v>18.879874911836023</v>
      </c>
      <c r="AB61" s="21">
        <f>EXP(-LN(2)/2)*AB60+(1-EXP(-LN(2)/2))/(LN(2)/2)*V61*Y61*VLOOKUP('Données projet'!$B$9,Paramètres!$A$1:$I$89,3,0)*0.475*44/12</f>
        <v>0</v>
      </c>
      <c r="AC61" s="22">
        <f t="shared" si="3"/>
        <v>108.25353999820827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13.333333333333334</v>
      </c>
      <c r="AI61" s="13">
        <f>IF('Données projet'!$A$62&gt;35,AI60+AH61-AQ60,IF(A61&lt;'Données projet'!$A$62,$AF$205^A61,IF(A61='Données projet'!$A$62,'Données projet'!$B$62,AI60+AH61-AQ60)))</f>
        <v>507.33333333333297</v>
      </c>
      <c r="AJ61" s="13">
        <f>AI61*VLOOKUP('Données projet'!$B$10,Paramètres!$A$1:$I$89,3,0)*VLOOKUP('Données projet'!$B$10,Paramètres!$A$1:$I$89,5,0)</f>
        <v>277.00399999999979</v>
      </c>
      <c r="AK61" s="13">
        <f t="shared" si="35"/>
        <v>66.333472095210681</v>
      </c>
      <c r="AL61" s="20">
        <f t="shared" si="4"/>
        <v>597.97943056582483</v>
      </c>
      <c r="AM61" s="59">
        <f t="shared" si="5"/>
        <v>891.3127638991582</v>
      </c>
      <c r="AN61" s="59">
        <f ca="1">AVERAGE(OFFSET($AM$3,0,0,'Données projet'!$E$10+1,1))-AVERAGE(OFFSET($H$3,0,0,'Données projet'!$E$10+1,1))</f>
        <v>417.99456559608217</v>
      </c>
      <c r="AO61" s="59">
        <f t="shared" si="36"/>
        <v>651.41353014863932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163.38088486105298</v>
      </c>
      <c r="AV61" s="21">
        <f>EXP(-LN(2)/25)*AV60+(1-EXP(-LN(2)/25))/(LN(2)/25)*Calculateur!AQ61*Calculateur!AS61*VLOOKUP('Données projet'!$B$10,Paramètres!$A$1:$I$89,3,0)*0.475*44/12</f>
        <v>21.310275970992997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184.69116083204597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6</v>
      </c>
      <c r="BD61" s="12">
        <f>IF('Données projet'!$A$88&gt;35,BD60+BC61-BL60,IF(A61&lt;'Données projet'!$A$88,$BA$205^A61,IF(A61='Données projet'!$A$88,'Données projet'!$B$88,BD60+BC61-BL60)))</f>
        <v>208.00000000000003</v>
      </c>
      <c r="BE61" s="13">
        <f>BD61*VLOOKUP('Données projet'!$B$11,Paramètres!$A$1:$I$89,3,0)*VLOOKUP('Données projet'!$B$11,Paramètres!$A$1:$I$89,5,0)</f>
        <v>181.70880000000005</v>
      </c>
      <c r="BF61" s="13">
        <f t="shared" si="37"/>
        <v>45.702153370067812</v>
      </c>
      <c r="BG61" s="20">
        <f t="shared" si="7"/>
        <v>396.07407711953482</v>
      </c>
      <c r="BH61" s="59">
        <f t="shared" si="8"/>
        <v>689.40741045286813</v>
      </c>
      <c r="BI61" s="59">
        <f ca="1">AVERAGE(OFFSET($BH$3,0,0,'Données projet'!$E$11+1,1))-AVERAGE(OFFSET($H$3,0,0,'Données projet'!$E$11+1,1))</f>
        <v>247.61330734992077</v>
      </c>
      <c r="BJ61" s="59">
        <f t="shared" si="38"/>
        <v>278.55937893537259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48.732615770527886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0</v>
      </c>
      <c r="BS61" s="22">
        <f t="shared" si="9"/>
        <v>48.732615770527886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28.37900000000004</v>
      </c>
      <c r="D62" s="11">
        <f t="shared" si="32"/>
        <v>8.8597260191462528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287.45683242849771</v>
      </c>
      <c r="H62" s="66">
        <f t="shared" si="1"/>
        <v>358.19078115001309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10.199999999999999</v>
      </c>
      <c r="N62" s="13">
        <f>IF('Données projet'!$A$36&gt;35,N61+M62-V61,IF(A62&lt;'Données projet'!$A$36,$K$205^A62,IF(A62='Données projet'!$A$36,'Données projet'!$B$36,N61+M62-V61)))</f>
        <v>655.79999999999973</v>
      </c>
      <c r="O62" s="13">
        <f>N62*VLOOKUP('Données projet'!$B$9,Paramètres!$A$1:$I$89,3,0)*VLOOKUP('Données projet'!$B$9,Paramètres!$A$1:$I$89,5,0)</f>
        <v>366.59219999999982</v>
      </c>
      <c r="P62" s="13">
        <f t="shared" si="33"/>
        <v>84.969753481055022</v>
      </c>
      <c r="Q62" s="20">
        <f t="shared" si="53"/>
        <v>786.47040231283711</v>
      </c>
      <c r="R62" s="59">
        <f t="shared" si="0"/>
        <v>1079.8037356461705</v>
      </c>
      <c r="S62" s="59">
        <f ca="1">AVERAGE(OFFSET($R$3,0,0,'Données projet'!$E$9+1,1))-AVERAGE(OFFSET($H$3,0,0,'Données projet'!$E$9+1,1))</f>
        <v>382.55387448074327</v>
      </c>
      <c r="T62" s="59">
        <f t="shared" si="34"/>
        <v>476.29465646955543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87.621102026581511</v>
      </c>
      <c r="AA62" s="21">
        <f>EXP(-LN(2)/25)*AA61+(1-EXP(-LN(2)/25))/(LN(2)/25)*Calculateur!V62*Calculateur!X62*VLOOKUP('Données projet'!$B$9,Paramètres!$A$1:$I$89,3,0)*0.475*44/12</f>
        <v>18.363603739522397</v>
      </c>
      <c r="AB62" s="21">
        <f>EXP(-LN(2)/2)*AB61+(1-EXP(-LN(2)/2))/(LN(2)/2)*V62*Y62*VLOOKUP('Données projet'!$B$9,Paramètres!$A$1:$I$89,3,0)*0.475*44/12</f>
        <v>0</v>
      </c>
      <c r="AC62" s="22">
        <f t="shared" si="3"/>
        <v>105.9847057661039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13.333333333333334</v>
      </c>
      <c r="AI62" s="13">
        <f>IF('Données projet'!$A$62&gt;35,AI61+AH62-AQ61,IF(A62&lt;'Données projet'!$A$62,$AF$205^A62,IF(A62='Données projet'!$A$62,'Données projet'!$B$62,AI61+AH62-AQ61)))</f>
        <v>520.66666666666629</v>
      </c>
      <c r="AJ62" s="13">
        <f>AI62*VLOOKUP('Données projet'!$B$10,Paramètres!$A$1:$I$89,3,0)*VLOOKUP('Données projet'!$B$10,Paramètres!$A$1:$I$89,5,0)</f>
        <v>284.28399999999982</v>
      </c>
      <c r="AK62" s="13">
        <f t="shared" si="35"/>
        <v>67.871539622478807</v>
      </c>
      <c r="AL62" s="20">
        <f t="shared" si="4"/>
        <v>613.33756484248352</v>
      </c>
      <c r="AM62" s="59">
        <f t="shared" si="5"/>
        <v>906.67089817581677</v>
      </c>
      <c r="AN62" s="59">
        <f ca="1">AVERAGE(OFFSET($AM$3,0,0,'Données projet'!$E$10+1,1))-AVERAGE(OFFSET($H$3,0,0,'Données projet'!$E$10+1,1))</f>
        <v>417.99456559608217</v>
      </c>
      <c r="AO62" s="59">
        <f t="shared" si="36"/>
        <v>651.41353014863932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160.17708536142763</v>
      </c>
      <c r="AV62" s="21">
        <f>EXP(-LN(2)/25)*AV61+(1-EXP(-LN(2)/25))/(LN(2)/25)*Calculateur!AQ62*Calculateur!AS62*VLOOKUP('Données projet'!$B$10,Paramètres!$A$1:$I$89,3,0)*0.475*44/12</f>
        <v>20.727545353907484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180.90463071533512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6</v>
      </c>
      <c r="BD62" s="12">
        <f>IF('Données projet'!$A$88&gt;35,BD61+BC62-BL61,IF(A62&lt;'Données projet'!$A$88,$BA$205^A62,IF(A62='Données projet'!$A$88,'Données projet'!$B$88,BD61+BC62-BL61)))</f>
        <v>214.00000000000003</v>
      </c>
      <c r="BE62" s="13">
        <f>BD62*VLOOKUP('Données projet'!$B$11,Paramètres!$A$1:$I$89,3,0)*VLOOKUP('Données projet'!$B$11,Paramètres!$A$1:$I$89,5,0)</f>
        <v>186.95040000000006</v>
      </c>
      <c r="BF62" s="13">
        <f t="shared" si="37"/>
        <v>46.865095976617653</v>
      </c>
      <c r="BG62" s="20">
        <f t="shared" si="7"/>
        <v>407.22865549260922</v>
      </c>
      <c r="BH62" s="59">
        <f t="shared" si="8"/>
        <v>700.56198882594254</v>
      </c>
      <c r="BI62" s="59">
        <f ca="1">AVERAGE(OFFSET($BH$3,0,0,'Données projet'!$E$11+1,1))-AVERAGE(OFFSET($H$3,0,0,'Données projet'!$E$11+1,1))</f>
        <v>247.61330734992077</v>
      </c>
      <c r="BJ62" s="59">
        <f t="shared" si="38"/>
        <v>278.55937893537259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47.77699889922846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0</v>
      </c>
      <c r="BS62" s="22">
        <f t="shared" si="9"/>
        <v>47.77699889922846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28.860000000000042</v>
      </c>
      <c r="D63" s="11">
        <f t="shared" si="32"/>
        <v>8.9922816103350858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292.19305102714833</v>
      </c>
      <c r="H63" s="66">
        <f t="shared" si="1"/>
        <v>359.25939047133363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666</v>
      </c>
      <c r="L63" s="12">
        <f>VLOOKUP(A63,'Données projet'!$A$35:$I$55,9,0)</f>
        <v>10.199999999999999</v>
      </c>
      <c r="M63" s="12">
        <f t="array" ref="M63">INDEX(L:L,MIN(IF(ISNUMBER(L63:L259),ROW(L63:L259),"")))</f>
        <v>10.199999999999999</v>
      </c>
      <c r="N63" s="13">
        <f>IF('Données projet'!$A$36&gt;35,N62+M63-V62,IF(A63&lt;'Données projet'!$A$36,$K$205^A63,IF(A63='Données projet'!$A$36,'Données projet'!$B$36,N62+M63-V62)))</f>
        <v>665.99999999999977</v>
      </c>
      <c r="O63" s="13">
        <f>N63*VLOOKUP('Données projet'!$B$9,Paramètres!$A$1:$I$89,3,0)*VLOOKUP('Données projet'!$B$9,Paramètres!$A$1:$I$89,5,0)</f>
        <v>372.29399999999987</v>
      </c>
      <c r="P63" s="13">
        <f t="shared" si="33"/>
        <v>86.136449661008839</v>
      </c>
      <c r="Q63" s="20">
        <f t="shared" si="53"/>
        <v>798.43303315959008</v>
      </c>
      <c r="R63" s="59">
        <f t="shared" si="0"/>
        <v>1091.7663664929235</v>
      </c>
      <c r="S63" s="59">
        <f ca="1">AVERAGE(OFFSET($R$3,0,0,'Données projet'!$E$9+1,1))-AVERAGE(OFFSET($H$3,0,0,'Données projet'!$E$9+1,1))</f>
        <v>382.55387448074327</v>
      </c>
      <c r="T63" s="59">
        <f t="shared" si="34"/>
        <v>476.29465646955543</v>
      </c>
      <c r="U63" s="15">
        <f>IF(ISNA(VLOOKUP(A63,'Données projet'!$A$35:$I$55,3,0)),0,VLOOKUP(A63,'Données projet'!$A$35:$I$55,3,0))</f>
        <v>8</v>
      </c>
      <c r="V63" s="15">
        <f>IF(ISNA(VLOOKUP(A63,'Données projet'!$A$35:$I$55,4,0)),0,VLOOKUP(A63,'Données projet'!$A$35:$I$55,4,0))</f>
        <v>29</v>
      </c>
      <c r="W63" s="16">
        <f>IF(ISNA(VLOOKUP(A63,'Données projet'!$A$35:$I$55,5,0)),0%,VLOOKUP(A63,'Données projet'!$A$35:$I$55,5,0)*VLOOKUP('Données projet'!$B$9,Paramètres!$A$1:$I$89,7,0))</f>
        <v>0.55000000000000004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97.730620672357077</v>
      </c>
      <c r="AA63" s="21">
        <f>EXP(-LN(2)/25)*AA62+(1-EXP(-LN(2)/25))/(LN(2)/25)*Calculateur!V63*Calculateur!X63*VLOOKUP('Données projet'!$B$9,Paramètres!$A$1:$I$89,3,0)*0.475*44/12</f>
        <v>17.861450029565205</v>
      </c>
      <c r="AB63" s="21">
        <f>EXP(-LN(2)/2)*AB62+(1-EXP(-LN(2)/2))/(LN(2)/2)*V63*Y63*VLOOKUP('Données projet'!$B$9,Paramètres!$A$1:$I$89,3,0)*0.475*44/12</f>
        <v>0</v>
      </c>
      <c r="AC63" s="22">
        <f t="shared" si="3"/>
        <v>115.59207070192228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534</v>
      </c>
      <c r="AG63" s="12">
        <f>VLOOKUP(A63,'Données projet'!$A$61:$I$81,9,0)</f>
        <v>13.333333333333334</v>
      </c>
      <c r="AH63" s="12">
        <f t="array" ref="AH63">INDEX(AG:AG,MIN(IF(ISNUMBER(AG63:AG259),ROW(AG63:AG259),"")))</f>
        <v>13.333333333333334</v>
      </c>
      <c r="AI63" s="13">
        <f>IF('Données projet'!$A$62&gt;35,AI62+AH63-AQ62,IF(A63&lt;'Données projet'!$A$62,$AF$205^A63,IF(A63='Données projet'!$A$62,'Données projet'!$B$62,AI62+AH63-AQ62)))</f>
        <v>533.99999999999966</v>
      </c>
      <c r="AJ63" s="13">
        <f>AI63*VLOOKUP('Données projet'!$B$10,Paramètres!$A$1:$I$89,3,0)*VLOOKUP('Données projet'!$B$10,Paramètres!$A$1:$I$89,5,0)</f>
        <v>291.56399999999985</v>
      </c>
      <c r="AK63" s="13">
        <f t="shared" si="35"/>
        <v>69.40502878487861</v>
      </c>
      <c r="AL63" s="20">
        <f t="shared" si="4"/>
        <v>628.68772513366332</v>
      </c>
      <c r="AM63" s="59">
        <f t="shared" si="5"/>
        <v>922.02105846699669</v>
      </c>
      <c r="AN63" s="59">
        <f ca="1">AVERAGE(OFFSET($AM$3,0,0,'Données projet'!$E$10+1,1))-AVERAGE(OFFSET($H$3,0,0,'Données projet'!$E$10+1,1))</f>
        <v>417.99456559608217</v>
      </c>
      <c r="AO63" s="59">
        <f t="shared" si="36"/>
        <v>651.41353014863932</v>
      </c>
      <c r="AP63" s="15">
        <f>IF(ISNA(VLOOKUP(A63,'Données projet'!$A$61:$I$81,3,0)),0,VLOOKUP(A63,'Données projet'!$A$61:$I$81,3,0))</f>
        <v>6</v>
      </c>
      <c r="AQ63" s="15">
        <f>IF(ISNA(VLOOKUP(A63,'Données projet'!$A$61:$I$81,4,0)),0,VLOOKUP(A63,'Données projet'!$A$61:$I$81,4,0))</f>
        <v>112</v>
      </c>
      <c r="AR63" s="16">
        <f>IF(ISNA(VLOOKUP(A63,'Données projet'!$A$61:$I$81,5,0)),0%,VLOOKUP(A63,'Données projet'!$A$61:$I$81,5,0)*VLOOKUP('Données projet'!$B$10,Paramètres!$A$1:$I$89,7,0))</f>
        <v>0.6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205.70935216328843</v>
      </c>
      <c r="AV63" s="21">
        <f>EXP(-LN(2)/25)*AV62+(1-EXP(-LN(2)/25))/(LN(2)/25)*Calculateur!AQ63*Calculateur!AS63*VLOOKUP('Données projet'!$B$10,Paramètres!$A$1:$I$89,3,0)*0.475*44/12</f>
        <v>20.160749536190647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225.87010169947908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220</v>
      </c>
      <c r="BB63" s="12">
        <f>VLOOKUP(A63,'Données projet'!$A$87:$I$107,9,0)</f>
        <v>6</v>
      </c>
      <c r="BC63" s="12">
        <f t="array" ref="BC63">INDEX(BB:BB,MIN(IF(ISNUMBER(BB63:BB259),ROW(BB63:BB259),"")))</f>
        <v>6</v>
      </c>
      <c r="BD63" s="12">
        <f>IF('Données projet'!$A$88&gt;35,BD62+BC63-BL62,IF(A63&lt;'Données projet'!$A$88,$BA$205^A63,IF(A63='Données projet'!$A$88,'Données projet'!$B$88,BD62+BC63-BL62)))</f>
        <v>220.00000000000003</v>
      </c>
      <c r="BE63" s="13">
        <f>BD63*VLOOKUP('Données projet'!$B$11,Paramètres!$A$1:$I$89,3,0)*VLOOKUP('Données projet'!$B$11,Paramètres!$A$1:$I$89,5,0)</f>
        <v>192.19200000000006</v>
      </c>
      <c r="BF63" s="13">
        <f t="shared" si="37"/>
        <v>48.02424892193244</v>
      </c>
      <c r="BG63" s="20">
        <f t="shared" si="7"/>
        <v>418.37663353903241</v>
      </c>
      <c r="BH63" s="59">
        <f t="shared" si="8"/>
        <v>711.70996687236573</v>
      </c>
      <c r="BI63" s="59">
        <f ca="1">AVERAGE(OFFSET($BH$3,0,0,'Données projet'!$E$11+1,1))-AVERAGE(OFFSET($H$3,0,0,'Données projet'!$E$11+1,1))</f>
        <v>247.61330734992077</v>
      </c>
      <c r="BJ63" s="59">
        <f t="shared" si="38"/>
        <v>278.55937893537259</v>
      </c>
      <c r="BK63" s="15">
        <f>IF(ISNA(VLOOKUP(A63,'Données projet'!$A$87:$I$107,3,0)),0,VLOOKUP(A63,'Données projet'!$A$87:$I$107,3,0))</f>
        <v>9</v>
      </c>
      <c r="BL63" s="15">
        <f>IF(ISNA(VLOOKUP(A63,'Données projet'!$A$87:$I$107,4,0)),0,VLOOKUP(A63,'Données projet'!$A$87:$I$107,4,0))</f>
        <v>22</v>
      </c>
      <c r="BM63" s="16">
        <f>IF(ISNA(VLOOKUP(A63,'Données projet'!$A$87:$I$107,5,0)),0%,VLOOKUP(A63,'Données projet'!$A$87:$I$107,5,0)*VLOOKUP('Données projet'!$B$11,Paramètres!$A$1:$I$89,7,0))</f>
        <v>0.43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55.976011308783939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0</v>
      </c>
      <c r="BS63" s="22">
        <f t="shared" si="9"/>
        <v>55.976011308783939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29.341000000000044</v>
      </c>
      <c r="D64" s="11">
        <f t="shared" si="32"/>
        <v>9.1245802803834923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296.92728637489046</v>
      </c>
      <c r="H64" s="66">
        <f t="shared" si="1"/>
        <v>360.32755232166795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636.99999999999977</v>
      </c>
      <c r="O64" s="13">
        <f>N64*VLOOKUP('Données projet'!$B$9,Paramètres!$A$1:$I$89,3,0)*VLOOKUP('Données projet'!$B$9,Paramètres!$A$1:$I$89,5,0)</f>
        <v>356.08299999999991</v>
      </c>
      <c r="P64" s="13">
        <f t="shared" si="33"/>
        <v>82.813805255716545</v>
      </c>
      <c r="Q64" s="20">
        <f t="shared" si="53"/>
        <v>764.41193582037283</v>
      </c>
      <c r="R64" s="59">
        <f t="shared" si="0"/>
        <v>1057.7452691537062</v>
      </c>
      <c r="S64" s="59">
        <f ca="1">AVERAGE(OFFSET($R$3,0,0,'Données projet'!$E$9+1,1))-AVERAGE(OFFSET($H$3,0,0,'Données projet'!$E$9+1,1))</f>
        <v>382.55387448074327</v>
      </c>
      <c r="T64" s="59">
        <f t="shared" si="34"/>
        <v>476.29465646955543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95.814182810764791</v>
      </c>
      <c r="AA64" s="21">
        <f>EXP(-LN(2)/25)*AA63+(1-EXP(-LN(2)/25))/(LN(2)/25)*Calculateur!V64*Calculateur!X64*VLOOKUP('Données projet'!$B$9,Paramètres!$A$1:$I$89,3,0)*0.475*44/12</f>
        <v>17.37302773921391</v>
      </c>
      <c r="AB64" s="21">
        <f>EXP(-LN(2)/2)*AB63+(1-EXP(-LN(2)/2))/(LN(2)/2)*V64*Y64*VLOOKUP('Données projet'!$B$9,Paramètres!$A$1:$I$89,3,0)*0.475*44/12</f>
        <v>0</v>
      </c>
      <c r="AC64" s="22">
        <f t="shared" si="3"/>
        <v>113.1872105499787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13.333333333333334</v>
      </c>
      <c r="AI64" s="13">
        <f>IF('Données projet'!$A$62&gt;35,AI63+AH64-AQ63,IF(A64&lt;'Données projet'!$A$62,$AF$205^A64,IF(A64='Données projet'!$A$62,'Données projet'!$B$62,AI63+AH64-AQ63)))</f>
        <v>435.33333333333303</v>
      </c>
      <c r="AJ64" s="13">
        <f>AI64*VLOOKUP('Données projet'!$B$10,Paramètres!$A$1:$I$89,3,0)*VLOOKUP('Données projet'!$B$10,Paramètres!$A$1:$I$89,5,0)</f>
        <v>237.69199999999984</v>
      </c>
      <c r="AK64" s="13">
        <f t="shared" si="35"/>
        <v>57.942674109900096</v>
      </c>
      <c r="AL64" s="20">
        <f t="shared" si="4"/>
        <v>514.89705740807574</v>
      </c>
      <c r="AM64" s="59">
        <f t="shared" si="5"/>
        <v>808.23039074140911</v>
      </c>
      <c r="AN64" s="59">
        <f ca="1">AVERAGE(OFFSET($AM$3,0,0,'Données projet'!$E$10+1,1))-AVERAGE(OFFSET($H$3,0,0,'Données projet'!$E$10+1,1))</f>
        <v>417.99456559608217</v>
      </c>
      <c r="AO64" s="59">
        <f t="shared" si="36"/>
        <v>651.41353014863932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201.67551723768199</v>
      </c>
      <c r="AV64" s="21">
        <f>EXP(-LN(2)/25)*AV63+(1-EXP(-LN(2)/25))/(LN(2)/25)*Calculateur!AQ64*Calculateur!AS64*VLOOKUP('Données projet'!$B$10,Paramètres!$A$1:$I$89,3,0)*0.475*44/12</f>
        <v>19.609452779915774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221.28497001759777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5.2</v>
      </c>
      <c r="BD64" s="12">
        <f>IF('Données projet'!$A$88&gt;35,BD63+BC64-BL63,IF(A64&lt;'Données projet'!$A$88,$BA$205^A64,IF(A64='Données projet'!$A$88,'Données projet'!$B$88,BD63+BC64-BL63)))</f>
        <v>203.20000000000002</v>
      </c>
      <c r="BE64" s="13">
        <f>BD64*VLOOKUP('Données projet'!$B$11,Paramètres!$A$1:$I$89,3,0)*VLOOKUP('Données projet'!$B$11,Paramètres!$A$1:$I$89,5,0)</f>
        <v>177.51552000000004</v>
      </c>
      <c r="BF64" s="13">
        <f t="shared" si="37"/>
        <v>44.768988809542904</v>
      </c>
      <c r="BG64" s="20">
        <f t="shared" si="7"/>
        <v>387.145519509954</v>
      </c>
      <c r="BH64" s="59">
        <f t="shared" si="8"/>
        <v>680.47885284328731</v>
      </c>
      <c r="BI64" s="59">
        <f ca="1">AVERAGE(OFFSET($BH$3,0,0,'Données projet'!$E$11+1,1))-AVERAGE(OFFSET($H$3,0,0,'Données projet'!$E$11+1,1))</f>
        <v>247.61330734992077</v>
      </c>
      <c r="BJ64" s="59">
        <f t="shared" si="38"/>
        <v>278.55937893537259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54.878355869014342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0</v>
      </c>
      <c r="BS64" s="22">
        <f t="shared" si="9"/>
        <v>54.878355869014342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29.822000000000045</v>
      </c>
      <c r="D65" s="11">
        <f t="shared" si="32"/>
        <v>9.2566267273101186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301.65957473713115</v>
      </c>
      <c r="H65" s="66">
        <f t="shared" si="1"/>
        <v>361.39527488339854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636.99999999999977</v>
      </c>
      <c r="O65" s="13">
        <f>N65*VLOOKUP('Données projet'!$B$9,Paramètres!$A$1:$I$89,3,0)*VLOOKUP('Données projet'!$B$9,Paramètres!$A$1:$I$89,5,0)</f>
        <v>356.08299999999991</v>
      </c>
      <c r="P65" s="13">
        <f t="shared" si="33"/>
        <v>82.813805255716545</v>
      </c>
      <c r="Q65" s="20">
        <f t="shared" si="53"/>
        <v>764.41193582037283</v>
      </c>
      <c r="R65" s="59">
        <f t="shared" si="0"/>
        <v>1057.7452691537062</v>
      </c>
      <c r="S65" s="59">
        <f ca="1">AVERAGE(OFFSET($R$3,0,0,'Données projet'!$E$9+1,1))-AVERAGE(OFFSET($H$3,0,0,'Données projet'!$E$9+1,1))</f>
        <v>382.55387448074327</v>
      </c>
      <c r="T65" s="59">
        <f t="shared" si="34"/>
        <v>476.29465646955543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93.935325126726653</v>
      </c>
      <c r="AA65" s="21">
        <f>EXP(-LN(2)/25)*AA64+(1-EXP(-LN(2)/25))/(LN(2)/25)*Calculateur!V65*Calculateur!X65*VLOOKUP('Données projet'!$B$9,Paramètres!$A$1:$I$89,3,0)*0.475*44/12</f>
        <v>16.897961382077284</v>
      </c>
      <c r="AB65" s="21">
        <f>EXP(-LN(2)/2)*AB64+(1-EXP(-LN(2)/2))/(LN(2)/2)*V65*Y65*VLOOKUP('Données projet'!$B$9,Paramètres!$A$1:$I$89,3,0)*0.475*44/12</f>
        <v>0</v>
      </c>
      <c r="AC65" s="22">
        <f t="shared" si="3"/>
        <v>110.83328650880394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13.333333333333334</v>
      </c>
      <c r="AI65" s="13">
        <f>IF('Données projet'!$A$62&gt;35,AI64+AH65-AQ64,IF(A65&lt;'Données projet'!$A$62,$AF$205^A65,IF(A65='Données projet'!$A$62,'Données projet'!$B$62,AI64+AH65-AQ64)))</f>
        <v>448.66666666666634</v>
      </c>
      <c r="AJ65" s="13">
        <f>AI65*VLOOKUP('Données projet'!$B$10,Paramètres!$A$1:$I$89,3,0)*VLOOKUP('Données projet'!$B$10,Paramètres!$A$1:$I$89,5,0)</f>
        <v>244.97199999999981</v>
      </c>
      <c r="AK65" s="13">
        <f t="shared" si="35"/>
        <v>59.508000530471662</v>
      </c>
      <c r="AL65" s="20">
        <f t="shared" si="4"/>
        <v>530.3026675905711</v>
      </c>
      <c r="AM65" s="59">
        <f t="shared" si="5"/>
        <v>823.63600092390448</v>
      </c>
      <c r="AN65" s="59">
        <f ca="1">AVERAGE(OFFSET($AM$3,0,0,'Données projet'!$E$10+1,1))-AVERAGE(OFFSET($H$3,0,0,'Données projet'!$E$10+1,1))</f>
        <v>417.99456559608217</v>
      </c>
      <c r="AO65" s="59">
        <f t="shared" si="36"/>
        <v>651.41353014863932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197.72078335457033</v>
      </c>
      <c r="AV65" s="21">
        <f>EXP(-LN(2)/25)*AV64+(1-EXP(-LN(2)/25))/(LN(2)/25)*Calculateur!AQ65*Calculateur!AS65*VLOOKUP('Données projet'!$B$10,Paramètres!$A$1:$I$89,3,0)*0.475*44/12</f>
        <v>19.073231262432675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216.794014617003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5.2</v>
      </c>
      <c r="BD65" s="12">
        <f>IF('Données projet'!$A$88&gt;35,BD64+BC65-BL64,IF(A65&lt;'Données projet'!$A$88,$BA$205^A65,IF(A65='Données projet'!$A$88,'Données projet'!$B$88,BD64+BC65-BL64)))</f>
        <v>208.4</v>
      </c>
      <c r="BE65" s="13">
        <f>BD65*VLOOKUP('Données projet'!$B$11,Paramètres!$A$1:$I$89,3,0)*VLOOKUP('Données projet'!$B$11,Paramètres!$A$1:$I$89,5,0)</f>
        <v>182.05824000000001</v>
      </c>
      <c r="BF65" s="13">
        <f t="shared" si="37"/>
        <v>45.779803189729343</v>
      </c>
      <c r="BG65" s="20">
        <f t="shared" si="7"/>
        <v>396.81792522211191</v>
      </c>
      <c r="BH65" s="59">
        <f t="shared" si="8"/>
        <v>690.15125855544522</v>
      </c>
      <c r="BI65" s="59">
        <f ca="1">AVERAGE(OFFSET($BH$3,0,0,'Données projet'!$E$11+1,1))-AVERAGE(OFFSET($H$3,0,0,'Données projet'!$E$11+1,1))</f>
        <v>247.61330734992077</v>
      </c>
      <c r="BJ65" s="59">
        <f t="shared" si="38"/>
        <v>278.55937893537259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53.802224782914919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0</v>
      </c>
      <c r="BS65" s="22">
        <f t="shared" si="9"/>
        <v>53.802224782914919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30.303000000000047</v>
      </c>
      <c r="D66" s="11">
        <f t="shared" si="32"/>
        <v>9.3884254888941534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306.3899511423412</v>
      </c>
      <c r="H66" s="66">
        <f t="shared" si="1"/>
        <v>362.46256605982404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636.99999999999977</v>
      </c>
      <c r="O66" s="13">
        <f>N66*VLOOKUP('Données projet'!$B$9,Paramètres!$A$1:$I$89,3,0)*VLOOKUP('Données projet'!$B$9,Paramètres!$A$1:$I$89,5,0)</f>
        <v>356.08299999999991</v>
      </c>
      <c r="P66" s="13">
        <f t="shared" si="33"/>
        <v>82.813805255716545</v>
      </c>
      <c r="Q66" s="20">
        <f t="shared" si="53"/>
        <v>764.41193582037283</v>
      </c>
      <c r="R66" s="59">
        <f t="shared" si="0"/>
        <v>1057.7452691537062</v>
      </c>
      <c r="S66" s="59">
        <f ca="1">AVERAGE(OFFSET($R$3,0,0,'Données projet'!$E$9+1,1))-AVERAGE(OFFSET($H$3,0,0,'Données projet'!$E$9+1,1))</f>
        <v>382.55387448074327</v>
      </c>
      <c r="T66" s="59">
        <f t="shared" si="34"/>
        <v>476.29465646955543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92.093310695882465</v>
      </c>
      <c r="AA66" s="21">
        <f>EXP(-LN(2)/25)*AA65+(1-EXP(-LN(2)/25))/(LN(2)/25)*Calculateur!V66*Calculateur!X66*VLOOKUP('Données projet'!$B$9,Paramètres!$A$1:$I$89,3,0)*0.475*44/12</f>
        <v>16.435885739459213</v>
      </c>
      <c r="AB66" s="21">
        <f>EXP(-LN(2)/2)*AB65+(1-EXP(-LN(2)/2))/(LN(2)/2)*V66*Y66*VLOOKUP('Données projet'!$B$9,Paramètres!$A$1:$I$89,3,0)*0.475*44/12</f>
        <v>0</v>
      </c>
      <c r="AC66" s="22">
        <f t="shared" si="3"/>
        <v>108.52919643534167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13.333333333333334</v>
      </c>
      <c r="AI66" s="13">
        <f>IF('Données projet'!$A$62&gt;35,AI65+AH66-AQ65,IF(A66&lt;'Données projet'!$A$62,$AF$205^A66,IF(A66='Données projet'!$A$62,'Données projet'!$B$62,AI65+AH66-AQ65)))</f>
        <v>461.99999999999966</v>
      </c>
      <c r="AJ66" s="13">
        <f>AI66*VLOOKUP('Données projet'!$B$10,Paramètres!$A$1:$I$89,3,0)*VLOOKUP('Données projet'!$B$10,Paramètres!$A$1:$I$89,5,0)</f>
        <v>252.25199999999981</v>
      </c>
      <c r="AK66" s="13">
        <f t="shared" si="35"/>
        <v>61.067920784150772</v>
      </c>
      <c r="AL66" s="20">
        <f t="shared" si="4"/>
        <v>545.6988620323956</v>
      </c>
      <c r="AM66" s="59">
        <f t="shared" si="5"/>
        <v>839.03219536572897</v>
      </c>
      <c r="AN66" s="59">
        <f ca="1">AVERAGE(OFFSET($AM$3,0,0,'Données projet'!$E$10+1,1))-AVERAGE(OFFSET($H$3,0,0,'Données projet'!$E$10+1,1))</f>
        <v>417.99456559608217</v>
      </c>
      <c r="AO66" s="59">
        <f t="shared" si="36"/>
        <v>651.41353014863932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193.84359939075702</v>
      </c>
      <c r="AV66" s="21">
        <f>EXP(-LN(2)/25)*AV65+(1-EXP(-LN(2)/25))/(LN(2)/25)*Calculateur!AQ66*Calculateur!AS66*VLOOKUP('Données projet'!$B$10,Paramètres!$A$1:$I$89,3,0)*0.475*44/12</f>
        <v>18.551672750543812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212.39527214130084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5.2</v>
      </c>
      <c r="BD66" s="12">
        <f>IF('Données projet'!$A$88&gt;35,BD65+BC66-BL65,IF(A66&lt;'Données projet'!$A$88,$BA$205^A66,IF(A66='Données projet'!$A$88,'Données projet'!$B$88,BD65+BC66-BL65)))</f>
        <v>213.6</v>
      </c>
      <c r="BE66" s="13">
        <f>BD66*VLOOKUP('Données projet'!$B$11,Paramètres!$A$1:$I$89,3,0)*VLOOKUP('Données projet'!$B$11,Paramètres!$A$1:$I$89,5,0)</f>
        <v>186.60096000000001</v>
      </c>
      <c r="BF66" s="13">
        <f t="shared" si="37"/>
        <v>46.787685683664144</v>
      </c>
      <c r="BG66" s="20">
        <f t="shared" si="7"/>
        <v>406.48522456571504</v>
      </c>
      <c r="BH66" s="59">
        <f t="shared" si="8"/>
        <v>699.8185578990483</v>
      </c>
      <c r="BI66" s="59">
        <f ca="1">AVERAGE(OFFSET($BH$3,0,0,'Données projet'!$E$11+1,1))-AVERAGE(OFFSET($H$3,0,0,'Données projet'!$E$11+1,1))</f>
        <v>247.61330734992077</v>
      </c>
      <c r="BJ66" s="59">
        <f t="shared" si="38"/>
        <v>278.55937893537259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52.747195971038749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0</v>
      </c>
      <c r="BS66" s="22">
        <f t="shared" si="9"/>
        <v>52.747195971038749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30.784000000000049</v>
      </c>
      <c r="D67" s="11">
        <f t="shared" si="32"/>
        <v>9.5199809505958548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311.11844944319643</v>
      </c>
      <c r="H67" s="66">
        <f t="shared" si="1"/>
        <v>363.52943348895451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636.99999999999977</v>
      </c>
      <c r="O67" s="13">
        <f>N67*VLOOKUP('Données projet'!$B$9,Paramètres!$A$1:$I$89,3,0)*VLOOKUP('Données projet'!$B$9,Paramètres!$A$1:$I$89,5,0)</f>
        <v>356.08299999999991</v>
      </c>
      <c r="P67" s="13">
        <f t="shared" si="33"/>
        <v>82.813805255716545</v>
      </c>
      <c r="Q67" s="20">
        <f t="shared" ref="Q67:Q98" si="54">(O67+P67)*0.475*44/12</f>
        <v>764.41193582037283</v>
      </c>
      <c r="R67" s="59">
        <f t="shared" ref="R67:R130" si="55">Q67+(I67+J67)*44/12</f>
        <v>1057.7452691537062</v>
      </c>
      <c r="S67" s="59">
        <f ca="1">AVERAGE(OFFSET($R$3,0,0,'Données projet'!$E$9+1,1))-AVERAGE(OFFSET($H$3,0,0,'Données projet'!$E$9+1,1))</f>
        <v>382.55387448074327</v>
      </c>
      <c r="T67" s="59">
        <f t="shared" si="34"/>
        <v>476.29465646955543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90.287417044509269</v>
      </c>
      <c r="AA67" s="21">
        <f>EXP(-LN(2)/25)*AA66+(1-EXP(-LN(2)/25))/(LN(2)/25)*Calculateur!V67*Calculateur!X67*VLOOKUP('Données projet'!$B$9,Paramètres!$A$1:$I$89,3,0)*0.475*44/12</f>
        <v>15.986445579588034</v>
      </c>
      <c r="AB67" s="21">
        <f>EXP(-LN(2)/2)*AB66+(1-EXP(-LN(2)/2))/(LN(2)/2)*V67*Y67*VLOOKUP('Données projet'!$B$9,Paramètres!$A$1:$I$89,3,0)*0.475*44/12</f>
        <v>0</v>
      </c>
      <c r="AC67" s="22">
        <f t="shared" si="3"/>
        <v>106.2738626240973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13.333333333333334</v>
      </c>
      <c r="AI67" s="13">
        <f>IF('Données projet'!$A$62&gt;35,AI66+AH67-AQ66,IF(A67&lt;'Données projet'!$A$62,$AF$205^A67,IF(A67='Données projet'!$A$62,'Données projet'!$B$62,AI66+AH67-AQ66)))</f>
        <v>475.33333333333297</v>
      </c>
      <c r="AJ67" s="13">
        <f>AI67*VLOOKUP('Données projet'!$B$10,Paramètres!$A$1:$I$89,3,0)*VLOOKUP('Données projet'!$B$10,Paramètres!$A$1:$I$89,5,0)</f>
        <v>259.53199999999981</v>
      </c>
      <c r="AK67" s="13">
        <f t="shared" si="35"/>
        <v>62.622608810743841</v>
      </c>
      <c r="AL67" s="20">
        <f t="shared" si="4"/>
        <v>561.08594367871183</v>
      </c>
      <c r="AM67" s="59">
        <f t="shared" si="5"/>
        <v>854.41927701204509</v>
      </c>
      <c r="AN67" s="59">
        <f ca="1">AVERAGE(OFFSET($AM$3,0,0,'Données projet'!$E$10+1,1))-AVERAGE(OFFSET($H$3,0,0,'Données projet'!$E$10+1,1))</f>
        <v>417.99456559608217</v>
      </c>
      <c r="AO67" s="59">
        <f t="shared" si="36"/>
        <v>651.41353014863932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190.04244463962536</v>
      </c>
      <c r="AV67" s="21">
        <f>EXP(-LN(2)/25)*AV66+(1-EXP(-LN(2)/25))/(LN(2)/25)*Calculateur!AQ67*Calculateur!AS67*VLOOKUP('Données projet'!$B$10,Paramètres!$A$1:$I$89,3,0)*0.475*44/12</f>
        <v>18.044376283590122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208.08682092321547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5.2</v>
      </c>
      <c r="BD67" s="12">
        <f>IF('Données projet'!$A$88&gt;35,BD66+BC67-BL66,IF(A67&lt;'Données projet'!$A$88,$BA$205^A67,IF(A67='Données projet'!$A$88,'Données projet'!$B$88,BD66+BC67-BL66)))</f>
        <v>218.79999999999998</v>
      </c>
      <c r="BE67" s="13">
        <f>BD67*VLOOKUP('Données projet'!$B$11,Paramètres!$A$1:$I$89,3,0)*VLOOKUP('Données projet'!$B$11,Paramètres!$A$1:$I$89,5,0)</f>
        <v>191.14368000000002</v>
      </c>
      <c r="BF67" s="13">
        <f t="shared" si="37"/>
        <v>47.792715878069586</v>
      </c>
      <c r="BG67" s="20">
        <f t="shared" si="7"/>
        <v>416.14755615430454</v>
      </c>
      <c r="BH67" s="59">
        <f t="shared" si="8"/>
        <v>709.4808894876378</v>
      </c>
      <c r="BI67" s="59">
        <f ca="1">AVERAGE(OFFSET($BH$3,0,0,'Données projet'!$E$11+1,1))-AVERAGE(OFFSET($H$3,0,0,'Données projet'!$E$11+1,1))</f>
        <v>247.61330734992077</v>
      </c>
      <c r="BJ67" s="59">
        <f t="shared" si="38"/>
        <v>278.55937893537259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51.71285563065944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0</v>
      </c>
      <c r="BS67" s="22">
        <f t="shared" si="9"/>
        <v>51.71285563065944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31.26500000000005</v>
      </c>
      <c r="D68" s="11">
        <f t="shared" si="32"/>
        <v>9.6512973529679762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315.84510237378828</v>
      </c>
      <c r="H68" s="66">
        <f t="shared" ref="H68:H131" si="56">(B68+E68+F68)*44/12+(C68+D68)*0.475*44/12</f>
        <v>364.59588455641932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636.99999999999977</v>
      </c>
      <c r="O68" s="13">
        <f>N68*VLOOKUP('Données projet'!$B$9,Paramètres!$A$1:$I$89,3,0)*VLOOKUP('Données projet'!$B$9,Paramètres!$A$1:$I$89,5,0)</f>
        <v>356.08299999999991</v>
      </c>
      <c r="P68" s="13">
        <f t="shared" si="33"/>
        <v>82.813805255716545</v>
      </c>
      <c r="Q68" s="20">
        <f t="shared" si="54"/>
        <v>764.41193582037283</v>
      </c>
      <c r="R68" s="59">
        <f t="shared" si="55"/>
        <v>1057.7452691537062</v>
      </c>
      <c r="S68" s="59">
        <f ca="1">AVERAGE(OFFSET($R$3,0,0,'Données projet'!$E$9+1,1))-AVERAGE(OFFSET($H$3,0,0,'Données projet'!$E$9+1,1))</f>
        <v>382.55387448074327</v>
      </c>
      <c r="T68" s="59">
        <f t="shared" si="34"/>
        <v>476.29465646955543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88.516935866153133</v>
      </c>
      <c r="AA68" s="21">
        <f>EXP(-LN(2)/25)*AA67+(1-EXP(-LN(2)/25))/(LN(2)/25)*Calculateur!V68*Calculateur!X68*VLOOKUP('Données projet'!$B$9,Paramètres!$A$1:$I$89,3,0)*0.475*44/12</f>
        <v>15.549295384523564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104.06623125067669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13.333333333333334</v>
      </c>
      <c r="AI68" s="13">
        <f>IF('Données projet'!$A$62&gt;35,AI67+AH68-AQ67,IF(A68&lt;'Données projet'!$A$62,$AF$205^A68,IF(A68='Données projet'!$A$62,'Données projet'!$B$62,AI67+AH68-AQ67)))</f>
        <v>488.66666666666629</v>
      </c>
      <c r="AJ68" s="13">
        <f>AI68*VLOOKUP('Données projet'!$B$10,Paramètres!$A$1:$I$89,3,0)*VLOOKUP('Données projet'!$B$10,Paramètres!$A$1:$I$89,5,0)</f>
        <v>266.81199999999978</v>
      </c>
      <c r="AK68" s="13">
        <f t="shared" si="35"/>
        <v>64.17222823668591</v>
      </c>
      <c r="AL68" s="20">
        <f t="shared" ref="AL68:AL131" si="58">(AJ68+AK68)*0.475*44/12</f>
        <v>576.46419751222754</v>
      </c>
      <c r="AM68" s="59">
        <f t="shared" ref="AM68:AM131" si="59">AL68+(AD68+AE68)*44/12</f>
        <v>869.79753084556091</v>
      </c>
      <c r="AN68" s="59">
        <f ca="1">AVERAGE(OFFSET($AM$3,0,0,'Données projet'!$E$10+1,1))-AVERAGE(OFFSET($H$3,0,0,'Données projet'!$E$10+1,1))</f>
        <v>417.99456559608217</v>
      </c>
      <c r="AO68" s="59">
        <f t="shared" si="36"/>
        <v>651.41353014863932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186.31582821468794</v>
      </c>
      <c r="AV68" s="21">
        <f>EXP(-LN(2)/25)*AV67+(1-EXP(-LN(2)/25))/(LN(2)/25)*Calculateur!AQ68*Calculateur!AS68*VLOOKUP('Données projet'!$B$10,Paramètres!$A$1:$I$89,3,0)*0.475*44/12</f>
        <v>17.55095186520284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203.86678007989079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>
        <f>VLOOKUP(A68,'Données projet'!$A$87:$I$107,2,0)</f>
        <v>224</v>
      </c>
      <c r="BB68" s="12">
        <f>VLOOKUP(A68,'Données projet'!$A$87:$I$107,9,0)</f>
        <v>5.2</v>
      </c>
      <c r="BC68" s="12">
        <f t="array" ref="BC68">INDEX(BB:BB,MIN(IF(ISNUMBER(BB68:BB264),ROW(BB68:BB264),"")))</f>
        <v>5.2</v>
      </c>
      <c r="BD68" s="12">
        <f>IF('Données projet'!$A$88&gt;35,BD67+BC68-BL67,IF(A68&lt;'Données projet'!$A$88,$BA$205^A68,IF(A68='Données projet'!$A$88,'Données projet'!$B$88,BD67+BC68-BL67)))</f>
        <v>223.99999999999997</v>
      </c>
      <c r="BE68" s="13">
        <f>BD68*VLOOKUP('Données projet'!$B$11,Paramètres!$A$1:$I$89,3,0)*VLOOKUP('Données projet'!$B$11,Paramètres!$A$1:$I$89,5,0)</f>
        <v>195.68639999999999</v>
      </c>
      <c r="BF68" s="13">
        <f t="shared" si="37"/>
        <v>48.794969360985156</v>
      </c>
      <c r="BG68" s="20">
        <f t="shared" ref="BG68:BG131" si="61">(BE68+BF68)*0.475*44/12</f>
        <v>425.80505163704908</v>
      </c>
      <c r="BH68" s="59">
        <f t="shared" ref="BH68:BH131" si="62">BG68+(AY68+AZ68)*44/12</f>
        <v>719.13838497038239</v>
      </c>
      <c r="BI68" s="59">
        <f ca="1">AVERAGE(OFFSET($BH$3,0,0,'Données projet'!$E$11+1,1))-AVERAGE(OFFSET($H$3,0,0,'Données projet'!$E$11+1,1))</f>
        <v>247.61330734992077</v>
      </c>
      <c r="BJ68" s="59">
        <f t="shared" si="38"/>
        <v>278.55937893537259</v>
      </c>
      <c r="BK68" s="15">
        <f>IF(ISNA(VLOOKUP(A68,'Données projet'!$A$87:$I$107,3,0)),0,VLOOKUP(A68,'Données projet'!$A$87:$I$107,3,0))</f>
        <v>10</v>
      </c>
      <c r="BL68" s="15">
        <f>IF(ISNA(VLOOKUP(A68,'Données projet'!$A$87:$I$107,4,0)),0,VLOOKUP(A68,'Données projet'!$A$87:$I$107,4,0))</f>
        <v>20</v>
      </c>
      <c r="BM68" s="16">
        <f>IF(ISNA(VLOOKUP(A68,'Données projet'!$A$87:$I$107,5,0)),0%,VLOOKUP(A68,'Données projet'!$A$87:$I$107,5,0)*VLOOKUP('Données projet'!$B$11,Paramètres!$A$1:$I$89,7,0))</f>
        <v>0.43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59.004152816085522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0</v>
      </c>
      <c r="BS68" s="22">
        <f t="shared" ref="BS68:BS131" si="63">SUM(BP68:BR68)</f>
        <v>59.004152816085522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31.746000000000052</v>
      </c>
      <c r="D69" s="11">
        <f t="shared" ref="D69:D132" si="86">IFERROR(EXP(-1.0587+0.8836*LN(C69)+0.284),0)</f>
        <v>9.7823787985981756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320.56994160321437</v>
      </c>
      <c r="H69" s="66">
        <f t="shared" si="56"/>
        <v>365.66192640755855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636.99999999999977</v>
      </c>
      <c r="O69" s="13">
        <f>N69*VLOOKUP('Données projet'!$B$9,Paramètres!$A$1:$I$89,3,0)*VLOOKUP('Données projet'!$B$9,Paramètres!$A$1:$I$89,5,0)</f>
        <v>356.08299999999991</v>
      </c>
      <c r="P69" s="13">
        <f t="shared" ref="P69:P132" si="87">EXP(-1.0587+0.8836*LN(O69)+0.284)</f>
        <v>82.813805255716545</v>
      </c>
      <c r="Q69" s="20">
        <f t="shared" si="54"/>
        <v>764.41193582037283</v>
      </c>
      <c r="R69" s="59">
        <f t="shared" si="55"/>
        <v>1057.7452691537062</v>
      </c>
      <c r="S69" s="59">
        <f ca="1">AVERAGE(OFFSET($R$3,0,0,'Données projet'!$E$9+1,1))-AVERAGE(OFFSET($H$3,0,0,'Données projet'!$E$9+1,1))</f>
        <v>382.55387448074327</v>
      </c>
      <c r="T69" s="59">
        <f t="shared" ref="T69:T132" si="88">$T$3</f>
        <v>476.29465646955543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86.781172743817677</v>
      </c>
      <c r="AA69" s="21">
        <f>EXP(-LN(2)/25)*AA68+(1-EXP(-LN(2)/25))/(LN(2)/25)*Calculateur!V69*Calculateur!X69*VLOOKUP('Données projet'!$B$9,Paramètres!$A$1:$I$89,3,0)*0.475*44/12</f>
        <v>15.124099084531862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101.90527182834954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502</v>
      </c>
      <c r="AG69" s="12">
        <f>VLOOKUP(A69,'Données projet'!$A$61:$I$81,9,0)</f>
        <v>13.333333333333334</v>
      </c>
      <c r="AH69" s="12">
        <f t="array" ref="AH69">INDEX(AG:AG,MIN(IF(ISNUMBER(AG69:AG265),ROW(AG69:AG265),"")))</f>
        <v>13.333333333333334</v>
      </c>
      <c r="AI69" s="13">
        <f>IF('Données projet'!$A$62&gt;35,AI68+AH69-AQ68,IF(A69&lt;'Données projet'!$A$62,$AF$205^A69,IF(A69='Données projet'!$A$62,'Données projet'!$B$62,AI68+AH69-AQ68)))</f>
        <v>501.9999999999996</v>
      </c>
      <c r="AJ69" s="13">
        <f>AI69*VLOOKUP('Données projet'!$B$10,Paramètres!$A$1:$I$89,3,0)*VLOOKUP('Données projet'!$B$10,Paramètres!$A$1:$I$89,5,0)</f>
        <v>274.09199999999981</v>
      </c>
      <c r="AK69" s="13">
        <f t="shared" ref="AK69:AK132" si="89">EXP(-1.0587+0.8836*LN(AJ69)+0.284)</f>
        <v>65.716933251049639</v>
      </c>
      <c r="AL69" s="20">
        <f t="shared" si="58"/>
        <v>591.83389207891116</v>
      </c>
      <c r="AM69" s="59">
        <f t="shared" si="59"/>
        <v>885.16722541224453</v>
      </c>
      <c r="AN69" s="59">
        <f ca="1">AVERAGE(OFFSET($AM$3,0,0,'Données projet'!$E$10+1,1))-AVERAGE(OFFSET($H$3,0,0,'Données projet'!$E$10+1,1))</f>
        <v>417.99456559608217</v>
      </c>
      <c r="AO69" s="59">
        <f t="shared" ref="AO69:AO132" si="90">$AO$3</f>
        <v>651.41353014863932</v>
      </c>
      <c r="AP69" s="15">
        <f>IF(ISNA(VLOOKUP(A69,'Données projet'!$A$61:$I$81,3,0)),0,VLOOKUP(A69,'Données projet'!$A$61:$I$81,3,0))</f>
        <v>7</v>
      </c>
      <c r="AQ69" s="15">
        <f>IF(ISNA(VLOOKUP(A69,'Données projet'!$A$61:$I$81,4,0)),0,VLOOKUP(A69,'Données projet'!$A$61:$I$81,4,0))</f>
        <v>109</v>
      </c>
      <c r="AR69" s="16">
        <f>IF(ISNA(VLOOKUP(A69,'Données projet'!$A$61:$I$81,5,0)),0%,VLOOKUP(A69,'Données projet'!$A$61:$I$81,5,0)*VLOOKUP('Données projet'!$B$10,Paramètres!$A$1:$I$89,7,0))</f>
        <v>0.6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230.03178266544924</v>
      </c>
      <c r="AV69" s="21">
        <f>EXP(-LN(2)/25)*AV68+(1-EXP(-LN(2)/25))/(LN(2)/25)*Calculateur!AQ69*Calculateur!AS69*VLOOKUP('Données projet'!$B$10,Paramètres!$A$1:$I$89,3,0)*0.475*44/12</f>
        <v>17.071020163484423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247.10280282893368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4.5999999999999996</v>
      </c>
      <c r="BD69" s="12">
        <f>IF('Données projet'!$A$88&gt;35,BD68+BC69-BL68,IF(A69&lt;'Données projet'!$A$88,$BA$205^A69,IF(A69='Données projet'!$A$88,'Données projet'!$B$88,BD68+BC69-BL68)))</f>
        <v>208.59999999999997</v>
      </c>
      <c r="BE69" s="13">
        <f>BD69*VLOOKUP('Données projet'!$B$11,Paramètres!$A$1:$I$89,3,0)*VLOOKUP('Données projet'!$B$11,Paramètres!$A$1:$I$89,5,0)</f>
        <v>182.23295999999999</v>
      </c>
      <c r="BF69" s="13">
        <f t="shared" ref="BF69:BF132" si="91">EXP(-1.0587+0.8836*LN(BE69)+0.284)</f>
        <v>45.818621592366291</v>
      </c>
      <c r="BG69" s="20">
        <f t="shared" si="61"/>
        <v>397.18983794003793</v>
      </c>
      <c r="BH69" s="59">
        <f t="shared" si="62"/>
        <v>690.52317127337119</v>
      </c>
      <c r="BI69" s="59">
        <f ca="1">AVERAGE(OFFSET($BH$3,0,0,'Données projet'!$E$11+1,1))-AVERAGE(OFFSET($H$3,0,0,'Données projet'!$E$11+1,1))</f>
        <v>247.61330734992077</v>
      </c>
      <c r="BJ69" s="59">
        <f t="shared" ref="BJ69:BJ132" si="92">$BJ$3</f>
        <v>278.55937893537259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57.847117368341685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0</v>
      </c>
      <c r="BS69" s="22">
        <f t="shared" si="63"/>
        <v>57.847117368341685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32.227000000000054</v>
      </c>
      <c r="D70" s="11">
        <f t="shared" si="86"/>
        <v>9.9132292586187312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325.29299778582924</v>
      </c>
      <c r="H70" s="66">
        <f t="shared" si="56"/>
        <v>366.72756595876103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636.99999999999977</v>
      </c>
      <c r="O70" s="13">
        <f>N70*VLOOKUP('Données projet'!$B$9,Paramètres!$A$1:$I$89,3,0)*VLOOKUP('Données projet'!$B$9,Paramètres!$A$1:$I$89,5,0)</f>
        <v>356.08299999999991</v>
      </c>
      <c r="P70" s="13">
        <f t="shared" si="87"/>
        <v>82.813805255716545</v>
      </c>
      <c r="Q70" s="20">
        <f t="shared" si="54"/>
        <v>764.41193582037283</v>
      </c>
      <c r="R70" s="59">
        <f t="shared" si="55"/>
        <v>1057.7452691537062</v>
      </c>
      <c r="S70" s="59">
        <f ca="1">AVERAGE(OFFSET($R$3,0,0,'Données projet'!$E$9+1,1))-AVERAGE(OFFSET($H$3,0,0,'Données projet'!$E$9+1,1))</f>
        <v>382.55387448074327</v>
      </c>
      <c r="T70" s="59">
        <f t="shared" si="88"/>
        <v>476.29465646955543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85.079446877600262</v>
      </c>
      <c r="AA70" s="21">
        <f>EXP(-LN(2)/25)*AA69+(1-EXP(-LN(2)/25))/(LN(2)/25)*Calculateur!V70*Calculateur!X70*VLOOKUP('Données projet'!$B$9,Paramètres!$A$1:$I$89,3,0)*0.475*44/12</f>
        <v>14.710529799723533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99.789976677323793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11.666666666666666</v>
      </c>
      <c r="AI70" s="13">
        <f>IF('Données projet'!$A$62&gt;35,AI69+AH70-AQ69,IF(A70&lt;'Données projet'!$A$62,$AF$205^A70,IF(A70='Données projet'!$A$62,'Données projet'!$B$62,AI69+AH70-AQ69)))</f>
        <v>404.66666666666629</v>
      </c>
      <c r="AJ70" s="13">
        <f>AI70*VLOOKUP('Données projet'!$B$10,Paramètres!$A$1:$I$89,3,0)*VLOOKUP('Données projet'!$B$10,Paramètres!$A$1:$I$89,5,0)</f>
        <v>220.94799999999981</v>
      </c>
      <c r="AK70" s="13">
        <f t="shared" si="89"/>
        <v>54.320877246019023</v>
      </c>
      <c r="AL70" s="20">
        <f t="shared" si="58"/>
        <v>479.4266278701495</v>
      </c>
      <c r="AM70" s="59">
        <f t="shared" si="59"/>
        <v>772.75996120348282</v>
      </c>
      <c r="AN70" s="59">
        <f ca="1">AVERAGE(OFFSET($AM$3,0,0,'Données projet'!$E$10+1,1))-AVERAGE(OFFSET($H$3,0,0,'Données projet'!$E$10+1,1))</f>
        <v>417.99456559608217</v>
      </c>
      <c r="AO70" s="59">
        <f t="shared" si="90"/>
        <v>651.41353014863932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225.52099971291318</v>
      </c>
      <c r="AV70" s="21">
        <f>EXP(-LN(2)/25)*AV69+(1-EXP(-LN(2)/25))/(LN(2)/25)*Calculateur!AQ70*Calculateur!AS70*VLOOKUP('Données projet'!$B$10,Paramètres!$A$1:$I$89,3,0)*0.475*44/12</f>
        <v>16.604212219388007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242.1252119323012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4.5999999999999996</v>
      </c>
      <c r="BD70" s="12">
        <f>IF('Données projet'!$A$88&gt;35,BD69+BC70-BL69,IF(A70&lt;'Données projet'!$A$88,$BA$205^A70,IF(A70='Données projet'!$A$88,'Données projet'!$B$88,BD69+BC70-BL69)))</f>
        <v>213.19999999999996</v>
      </c>
      <c r="BE70" s="13">
        <f>BD70*VLOOKUP('Données projet'!$B$11,Paramètres!$A$1:$I$89,3,0)*VLOOKUP('Données projet'!$B$11,Paramètres!$A$1:$I$89,5,0)</f>
        <v>186.25152</v>
      </c>
      <c r="BF70" s="13">
        <f t="shared" si="91"/>
        <v>46.71025851515671</v>
      </c>
      <c r="BG70" s="20">
        <f t="shared" si="61"/>
        <v>405.74176424723129</v>
      </c>
      <c r="BH70" s="59">
        <f t="shared" si="62"/>
        <v>699.0750975805646</v>
      </c>
      <c r="BI70" s="59">
        <f ca="1">AVERAGE(OFFSET($BH$3,0,0,'Données projet'!$E$11+1,1))-AVERAGE(OFFSET($H$3,0,0,'Données projet'!$E$11+1,1))</f>
        <v>247.61330734992077</v>
      </c>
      <c r="BJ70" s="59">
        <f t="shared" si="92"/>
        <v>278.55937893537259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56.712770680006166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0</v>
      </c>
      <c r="BS70" s="22">
        <f t="shared" si="63"/>
        <v>56.712770680006166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32.708000000000055</v>
      </c>
      <c r="D71" s="11">
        <f t="shared" si="86"/>
        <v>10.043852578816578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330.01430060840909</v>
      </c>
      <c r="H71" s="66">
        <f t="shared" si="56"/>
        <v>367.7928099081056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636.99999999999977</v>
      </c>
      <c r="O71" s="13">
        <f>N71*VLOOKUP('Données projet'!$B$9,Paramètres!$A$1:$I$89,3,0)*VLOOKUP('Données projet'!$B$9,Paramètres!$A$1:$I$89,5,0)</f>
        <v>356.08299999999991</v>
      </c>
      <c r="P71" s="13">
        <f t="shared" si="87"/>
        <v>82.813805255716545</v>
      </c>
      <c r="Q71" s="20">
        <f t="shared" si="54"/>
        <v>764.41193582037283</v>
      </c>
      <c r="R71" s="59">
        <f t="shared" si="55"/>
        <v>1057.7452691537062</v>
      </c>
      <c r="S71" s="59">
        <f ca="1">AVERAGE(OFFSET($R$3,0,0,'Données projet'!$E$9+1,1))-AVERAGE(OFFSET($H$3,0,0,'Données projet'!$E$9+1,1))</f>
        <v>382.55387448074327</v>
      </c>
      <c r="T71" s="59">
        <f t="shared" si="88"/>
        <v>476.29465646955543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83.411090817669077</v>
      </c>
      <c r="AA71" s="21">
        <f>EXP(-LN(2)/25)*AA70+(1-EXP(-LN(2)/25))/(LN(2)/25)*Calculateur!V71*Calculateur!X71*VLOOKUP('Données projet'!$B$9,Paramètres!$A$1:$I$89,3,0)*0.475*44/12</f>
        <v>14.308269588756952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97.719360406426034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11.666666666666666</v>
      </c>
      <c r="AI71" s="13">
        <f>IF('Données projet'!$A$62&gt;35,AI70+AH71-AQ70,IF(A71&lt;'Données projet'!$A$62,$AF$205^A71,IF(A71='Données projet'!$A$62,'Données projet'!$B$62,AI70+AH71-AQ70)))</f>
        <v>416.33333333333297</v>
      </c>
      <c r="AJ71" s="13">
        <f>AI71*VLOOKUP('Données projet'!$B$10,Paramètres!$A$1:$I$89,3,0)*VLOOKUP('Données projet'!$B$10,Paramètres!$A$1:$I$89,5,0)</f>
        <v>227.31799999999981</v>
      </c>
      <c r="AK71" s="13">
        <f t="shared" si="89"/>
        <v>55.702375143541857</v>
      </c>
      <c r="AL71" s="20">
        <f t="shared" si="58"/>
        <v>492.92715337500175</v>
      </c>
      <c r="AM71" s="59">
        <f t="shared" si="59"/>
        <v>786.26048670833507</v>
      </c>
      <c r="AN71" s="59">
        <f ca="1">AVERAGE(OFFSET($AM$3,0,0,'Données projet'!$E$10+1,1))-AVERAGE(OFFSET($H$3,0,0,'Données projet'!$E$10+1,1))</f>
        <v>417.99456559608217</v>
      </c>
      <c r="AO71" s="59">
        <f t="shared" si="90"/>
        <v>651.41353014863932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221.09867046277043</v>
      </c>
      <c r="AV71" s="21">
        <f>EXP(-LN(2)/25)*AV70+(1-EXP(-LN(2)/25))/(LN(2)/25)*Calculateur!AQ71*Calculateur!AS71*VLOOKUP('Données projet'!$B$10,Paramètres!$A$1:$I$89,3,0)*0.475*44/12</f>
        <v>16.150169163071272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237.2488396258417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4.5999999999999996</v>
      </c>
      <c r="BD71" s="12">
        <f>IF('Données projet'!$A$88&gt;35,BD70+BC71-BL70,IF(A71&lt;'Données projet'!$A$88,$BA$205^A71,IF(A71='Données projet'!$A$88,'Données projet'!$B$88,BD70+BC71-BL70)))</f>
        <v>217.79999999999995</v>
      </c>
      <c r="BE71" s="13">
        <f>BD71*VLOOKUP('Données projet'!$B$11,Paramètres!$A$1:$I$89,3,0)*VLOOKUP('Données projet'!$B$11,Paramètres!$A$1:$I$89,5,0)</f>
        <v>190.27007999999998</v>
      </c>
      <c r="BF71" s="13">
        <f t="shared" si="91"/>
        <v>47.599658767320413</v>
      </c>
      <c r="BG71" s="20">
        <f t="shared" si="61"/>
        <v>414.28979501974965</v>
      </c>
      <c r="BH71" s="59">
        <f t="shared" si="62"/>
        <v>707.62312835308296</v>
      </c>
      <c r="BI71" s="59">
        <f ca="1">AVERAGE(OFFSET($BH$3,0,0,'Données projet'!$E$11+1,1))-AVERAGE(OFFSET($H$3,0,0,'Données projet'!$E$11+1,1))</f>
        <v>247.61330734992077</v>
      </c>
      <c r="BJ71" s="59">
        <f t="shared" si="92"/>
        <v>278.55937893537259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55.600667838345743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0</v>
      </c>
      <c r="BS71" s="22">
        <f t="shared" si="63"/>
        <v>55.600667838345743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33.189000000000057</v>
      </c>
      <c r="D72" s="11">
        <f t="shared" si="86"/>
        <v>10.174252485373691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334.73387883446406</v>
      </c>
      <c r="H72" s="66">
        <f t="shared" si="56"/>
        <v>368.85766474535927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636.99999999999977</v>
      </c>
      <c r="O72" s="13">
        <f>N72*VLOOKUP('Données projet'!$B$9,Paramètres!$A$1:$I$89,3,0)*VLOOKUP('Données projet'!$B$9,Paramètres!$A$1:$I$89,5,0)</f>
        <v>356.08299999999991</v>
      </c>
      <c r="P72" s="13">
        <f t="shared" si="87"/>
        <v>82.813805255716545</v>
      </c>
      <c r="Q72" s="20">
        <f t="shared" si="54"/>
        <v>764.41193582037283</v>
      </c>
      <c r="R72" s="59">
        <f t="shared" si="55"/>
        <v>1057.7452691537062</v>
      </c>
      <c r="S72" s="59">
        <f ca="1">AVERAGE(OFFSET($R$3,0,0,'Données projet'!$E$9+1,1))-AVERAGE(OFFSET($H$3,0,0,'Données projet'!$E$9+1,1))</f>
        <v>382.55387448074327</v>
      </c>
      <c r="T72" s="59">
        <f t="shared" si="88"/>
        <v>476.29465646955543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81.775450202476421</v>
      </c>
      <c r="AA72" s="21">
        <f>EXP(-LN(2)/25)*AA71+(1-EXP(-LN(2)/25))/(LN(2)/25)*Calculateur!V72*Calculateur!X72*VLOOKUP('Données projet'!$B$9,Paramètres!$A$1:$I$89,3,0)*0.475*44/12</f>
        <v>13.917009204413198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95.692459406889611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11.666666666666666</v>
      </c>
      <c r="AI72" s="13">
        <f>IF('Données projet'!$A$62&gt;35,AI71+AH72-AQ71,IF(A72&lt;'Données projet'!$A$62,$AF$205^A72,IF(A72='Données projet'!$A$62,'Données projet'!$B$62,AI71+AH72-AQ71)))</f>
        <v>427.99999999999966</v>
      </c>
      <c r="AJ72" s="13">
        <f>AI72*VLOOKUP('Données projet'!$B$10,Paramètres!$A$1:$I$89,3,0)*VLOOKUP('Données projet'!$B$10,Paramètres!$A$1:$I$89,5,0)</f>
        <v>233.68799999999982</v>
      </c>
      <c r="AK72" s="13">
        <f t="shared" si="89"/>
        <v>57.079373577094941</v>
      </c>
      <c r="AL72" s="20">
        <f t="shared" si="58"/>
        <v>506.41984231344003</v>
      </c>
      <c r="AM72" s="59">
        <f t="shared" si="59"/>
        <v>799.75317564677334</v>
      </c>
      <c r="AN72" s="59">
        <f ca="1">AVERAGE(OFFSET($AM$3,0,0,'Données projet'!$E$10+1,1))-AVERAGE(OFFSET($H$3,0,0,'Données projet'!$E$10+1,1))</f>
        <v>417.99456559608217</v>
      </c>
      <c r="AO72" s="59">
        <f t="shared" si="90"/>
        <v>651.41353014863932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216.76306039186846</v>
      </c>
      <c r="AV72" s="21">
        <f>EXP(-LN(2)/25)*AV71+(1-EXP(-LN(2)/25))/(LN(2)/25)*Calculateur!AQ72*Calculateur!AS72*VLOOKUP('Données projet'!$B$10,Paramètres!$A$1:$I$89,3,0)*0.475*44/12</f>
        <v>15.708541938006604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232.47160232987505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4.5999999999999996</v>
      </c>
      <c r="BD72" s="12">
        <f>IF('Données projet'!$A$88&gt;35,BD71+BC72-BL71,IF(A72&lt;'Données projet'!$A$88,$BA$205^A72,IF(A72='Données projet'!$A$88,'Données projet'!$B$88,BD71+BC72-BL71)))</f>
        <v>222.39999999999995</v>
      </c>
      <c r="BE72" s="13">
        <f>BD72*VLOOKUP('Données projet'!$B$11,Paramètres!$A$1:$I$89,3,0)*VLOOKUP('Données projet'!$B$11,Paramètres!$A$1:$I$89,5,0)</f>
        <v>194.28863999999999</v>
      </c>
      <c r="BF72" s="13">
        <f t="shared" si="91"/>
        <v>48.486875029770822</v>
      </c>
      <c r="BG72" s="20">
        <f t="shared" si="61"/>
        <v>422.83402201018413</v>
      </c>
      <c r="BH72" s="59">
        <f t="shared" si="62"/>
        <v>716.16735534351744</v>
      </c>
      <c r="BI72" s="59">
        <f ca="1">AVERAGE(OFFSET($BH$3,0,0,'Données projet'!$E$11+1,1))-AVERAGE(OFFSET($H$3,0,0,'Données projet'!$E$11+1,1))</f>
        <v>247.61330734992077</v>
      </c>
      <c r="BJ72" s="59">
        <f t="shared" si="92"/>
        <v>278.55937893537259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54.510372655094528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0</v>
      </c>
      <c r="BS72" s="22">
        <f t="shared" si="63"/>
        <v>54.510372655094528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33.670000000000059</v>
      </c>
      <c r="D73" s="11">
        <f t="shared" si="86"/>
        <v>10.304432590265302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339.45176034590804</v>
      </c>
      <c r="H73" s="66">
        <f t="shared" si="56"/>
        <v>369.92213676137879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636.99999999999977</v>
      </c>
      <c r="O73" s="13">
        <f>N73*VLOOKUP('Données projet'!$B$9,Paramètres!$A$1:$I$89,3,0)*VLOOKUP('Données projet'!$B$9,Paramètres!$A$1:$I$89,5,0)</f>
        <v>356.08299999999991</v>
      </c>
      <c r="P73" s="13">
        <f t="shared" si="87"/>
        <v>82.813805255716545</v>
      </c>
      <c r="Q73" s="20">
        <f t="shared" si="54"/>
        <v>764.41193582037283</v>
      </c>
      <c r="R73" s="59">
        <f t="shared" si="55"/>
        <v>1057.7452691537062</v>
      </c>
      <c r="S73" s="59">
        <f ca="1">AVERAGE(OFFSET($R$3,0,0,'Données projet'!$E$9+1,1))-AVERAGE(OFFSET($H$3,0,0,'Données projet'!$E$9+1,1))</f>
        <v>382.55387448074327</v>
      </c>
      <c r="T73" s="59">
        <f t="shared" si="88"/>
        <v>476.29465646955543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80.17188350210543</v>
      </c>
      <c r="AA73" s="21">
        <f>EXP(-LN(2)/25)*AA72+(1-EXP(-LN(2)/25))/(LN(2)/25)*Calculateur!V73*Calculateur!X73*VLOOKUP('Données projet'!$B$9,Paramètres!$A$1:$I$89,3,0)*0.475*44/12</f>
        <v>13.536447855854812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93.708331357960247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11.666666666666666</v>
      </c>
      <c r="AI73" s="13">
        <f>IF('Données projet'!$A$62&gt;35,AI72+AH73-AQ72,IF(A73&lt;'Données projet'!$A$62,$AF$205^A73,IF(A73='Données projet'!$A$62,'Données projet'!$B$62,AI72+AH73-AQ72)))</f>
        <v>439.66666666666634</v>
      </c>
      <c r="AJ73" s="13">
        <f>AI73*VLOOKUP('Données projet'!$B$10,Paramètres!$A$1:$I$89,3,0)*VLOOKUP('Données projet'!$B$10,Paramètres!$A$1:$I$89,5,0)</f>
        <v>240.05799999999982</v>
      </c>
      <c r="AK73" s="13">
        <f t="shared" si="89"/>
        <v>58.4520092892541</v>
      </c>
      <c r="AL73" s="20">
        <f t="shared" si="58"/>
        <v>519.90493284545062</v>
      </c>
      <c r="AM73" s="59">
        <f t="shared" si="59"/>
        <v>813.23826617878399</v>
      </c>
      <c r="AN73" s="59">
        <f ca="1">AVERAGE(OFFSET($AM$3,0,0,'Données projet'!$E$10+1,1))-AVERAGE(OFFSET($H$3,0,0,'Données projet'!$E$10+1,1))</f>
        <v>417.99456559608217</v>
      </c>
      <c r="AO73" s="59">
        <f t="shared" si="90"/>
        <v>651.41353014863932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212.51246898999588</v>
      </c>
      <c r="AV73" s="21">
        <f>EXP(-LN(2)/25)*AV72+(1-EXP(-LN(2)/25))/(LN(2)/25)*Calculateur!AQ73*Calculateur!AS73*VLOOKUP('Données projet'!$B$10,Paramètres!$A$1:$I$89,3,0)*0.475*44/12</f>
        <v>15.278991032635496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227.79146002263138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227</v>
      </c>
      <c r="BB73" s="12">
        <f>VLOOKUP(A73,'Données projet'!$A$87:$I$107,9,0)</f>
        <v>4.5999999999999996</v>
      </c>
      <c r="BC73" s="12">
        <f t="array" ref="BC73">INDEX(BB:BB,MIN(IF(ISNUMBER(BB73:BB269),ROW(BB73:BB269),"")))</f>
        <v>4.5999999999999996</v>
      </c>
      <c r="BD73" s="12">
        <f>IF('Données projet'!$A$88&gt;35,BD72+BC73-BL72,IF(A73&lt;'Données projet'!$A$88,$BA$205^A73,IF(A73='Données projet'!$A$88,'Données projet'!$B$88,BD72+BC73-BL72)))</f>
        <v>226.99999999999994</v>
      </c>
      <c r="BE73" s="13">
        <f>BD73*VLOOKUP('Données projet'!$B$11,Paramètres!$A$1:$I$89,3,0)*VLOOKUP('Données projet'!$B$11,Paramètres!$A$1:$I$89,5,0)</f>
        <v>198.30719999999997</v>
      </c>
      <c r="BF73" s="13">
        <f t="shared" si="91"/>
        <v>49.371957679623371</v>
      </c>
      <c r="BG73" s="20">
        <f t="shared" si="61"/>
        <v>431.37453295867726</v>
      </c>
      <c r="BH73" s="59">
        <f t="shared" si="62"/>
        <v>724.70786629201052</v>
      </c>
      <c r="BI73" s="59">
        <f ca="1">AVERAGE(OFFSET($BH$3,0,0,'Données projet'!$E$11+1,1))-AVERAGE(OFFSET($H$3,0,0,'Données projet'!$E$11+1,1))</f>
        <v>247.61330734992077</v>
      </c>
      <c r="BJ73" s="59">
        <f t="shared" si="92"/>
        <v>278.55937893537259</v>
      </c>
      <c r="BK73" s="15">
        <f>IF(ISNA(VLOOKUP(A73,'Données projet'!$A$87:$I$107,3,0)),0,VLOOKUP(A73,'Données projet'!$A$87:$I$107,3,0))</f>
        <v>11</v>
      </c>
      <c r="BL73" s="15">
        <f>IF(ISNA(VLOOKUP(A73,'Données projet'!$A$87:$I$107,4,0)),0,VLOOKUP(A73,'Données projet'!$A$87:$I$107,4,0))</f>
        <v>17</v>
      </c>
      <c r="BM73" s="16">
        <f>IF(ISNA(VLOOKUP(A73,'Données projet'!$A$87:$I$107,5,0)),0%,VLOOKUP(A73,'Données projet'!$A$87:$I$107,5,0)*VLOOKUP('Données projet'!$B$11,Paramètres!$A$1:$I$89,7,0))</f>
        <v>0.43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60.501009026595966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0</v>
      </c>
      <c r="BS73" s="22">
        <f t="shared" si="63"/>
        <v>60.501009026595966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34.15100000000006</v>
      </c>
      <c r="D74" s="11">
        <f t="shared" si="86"/>
        <v>10.434396396340826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344.16797218228049</v>
      </c>
      <c r="H74" s="66">
        <f t="shared" si="56"/>
        <v>370.98623205696038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636.99999999999977</v>
      </c>
      <c r="O74" s="13">
        <f>N74*VLOOKUP('Données projet'!$B$9,Paramètres!$A$1:$I$89,3,0)*VLOOKUP('Données projet'!$B$9,Paramètres!$A$1:$I$89,5,0)</f>
        <v>356.08299999999991</v>
      </c>
      <c r="P74" s="13">
        <f t="shared" si="87"/>
        <v>82.813805255716545</v>
      </c>
      <c r="Q74" s="20">
        <f t="shared" si="54"/>
        <v>764.41193582037283</v>
      </c>
      <c r="R74" s="59">
        <f t="shared" si="55"/>
        <v>1057.7452691537062</v>
      </c>
      <c r="S74" s="59">
        <f ca="1">AVERAGE(OFFSET($R$3,0,0,'Données projet'!$E$9+1,1))-AVERAGE(OFFSET($H$3,0,0,'Données projet'!$E$9+1,1))</f>
        <v>382.55387448074327</v>
      </c>
      <c r="T74" s="59">
        <f t="shared" si="88"/>
        <v>476.29465646955543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78.599761766649607</v>
      </c>
      <c r="AA74" s="21">
        <f>EXP(-LN(2)/25)*AA73+(1-EXP(-LN(2)/25))/(LN(2)/25)*Calculateur!V74*Calculateur!X74*VLOOKUP('Données projet'!$B$9,Paramètres!$A$1:$I$89,3,0)*0.475*44/12</f>
        <v>13.166292977385607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91.766054744035216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11.666666666666666</v>
      </c>
      <c r="AI74" s="13">
        <f>IF('Données projet'!$A$62&gt;35,AI73+AH74-AQ73,IF(A74&lt;'Données projet'!$A$62,$AF$205^A74,IF(A74='Données projet'!$A$62,'Données projet'!$B$62,AI73+AH74-AQ73)))</f>
        <v>451.33333333333303</v>
      </c>
      <c r="AJ74" s="13">
        <f>AI74*VLOOKUP('Données projet'!$B$10,Paramètres!$A$1:$I$89,3,0)*VLOOKUP('Données projet'!$B$10,Paramètres!$A$1:$I$89,5,0)</f>
        <v>246.42799999999983</v>
      </c>
      <c r="AK74" s="13">
        <f t="shared" si="89"/>
        <v>59.820411352369632</v>
      </c>
      <c r="AL74" s="20">
        <f t="shared" si="58"/>
        <v>533.38264977204346</v>
      </c>
      <c r="AM74" s="59">
        <f t="shared" si="59"/>
        <v>826.71598310537684</v>
      </c>
      <c r="AN74" s="59">
        <f ca="1">AVERAGE(OFFSET($AM$3,0,0,'Données projet'!$E$10+1,1))-AVERAGE(OFFSET($H$3,0,0,'Données projet'!$E$10+1,1))</f>
        <v>417.99456559608217</v>
      </c>
      <c r="AO74" s="59">
        <f t="shared" si="90"/>
        <v>651.41353014863932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208.34522909290925</v>
      </c>
      <c r="AV74" s="21">
        <f>EXP(-LN(2)/25)*AV73+(1-EXP(-LN(2)/25))/(LN(2)/25)*Calculateur!AQ74*Calculateur!AS74*VLOOKUP('Données projet'!$B$10,Paramètres!$A$1:$I$89,3,0)*0.475*44/12</f>
        <v>14.86118621936086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223.20641531227011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4</v>
      </c>
      <c r="BD74" s="12">
        <f>IF('Données projet'!$A$88&gt;35,BD73+BC74-BL73,IF(A74&lt;'Données projet'!$A$88,$BA$205^A74,IF(A74='Données projet'!$A$88,'Données projet'!$B$88,BD73+BC74-BL73)))</f>
        <v>213.99999999999994</v>
      </c>
      <c r="BE74" s="13">
        <f>BD74*VLOOKUP('Données projet'!$B$11,Paramètres!$A$1:$I$89,3,0)*VLOOKUP('Données projet'!$B$11,Paramètres!$A$1:$I$89,5,0)</f>
        <v>186.95039999999997</v>
      </c>
      <c r="BF74" s="13">
        <f t="shared" si="91"/>
        <v>46.865095976617653</v>
      </c>
      <c r="BG74" s="20">
        <f t="shared" si="61"/>
        <v>407.22865549260905</v>
      </c>
      <c r="BH74" s="59">
        <f t="shared" si="62"/>
        <v>700.56198882594231</v>
      </c>
      <c r="BI74" s="59">
        <f ca="1">AVERAGE(OFFSET($BH$3,0,0,'Données projet'!$E$11+1,1))-AVERAGE(OFFSET($H$3,0,0,'Données projet'!$E$11+1,1))</f>
        <v>247.61330734992077</v>
      </c>
      <c r="BJ74" s="59">
        <f t="shared" si="92"/>
        <v>278.55937893537259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59.31462114155616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0</v>
      </c>
      <c r="BS74" s="22">
        <f t="shared" si="63"/>
        <v>59.31462114155616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34.632000000000062</v>
      </c>
      <c r="D75" s="11">
        <f t="shared" si="86"/>
        <v>10.564147302110412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348.88254057769495</v>
      </c>
      <c r="H75" s="66">
        <f t="shared" si="56"/>
        <v>372.04995655117574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636.99999999999977</v>
      </c>
      <c r="O75" s="13">
        <f>N75*VLOOKUP('Données projet'!$B$9,Paramètres!$A$1:$I$89,3,0)*VLOOKUP('Données projet'!$B$9,Paramètres!$A$1:$I$89,5,0)</f>
        <v>356.08299999999991</v>
      </c>
      <c r="P75" s="13">
        <f t="shared" si="87"/>
        <v>82.813805255716545</v>
      </c>
      <c r="Q75" s="20">
        <f t="shared" si="54"/>
        <v>764.41193582037283</v>
      </c>
      <c r="R75" s="59">
        <f t="shared" si="55"/>
        <v>1057.7452691537062</v>
      </c>
      <c r="S75" s="59">
        <f ca="1">AVERAGE(OFFSET($R$3,0,0,'Données projet'!$E$9+1,1))-AVERAGE(OFFSET($H$3,0,0,'Données projet'!$E$9+1,1))</f>
        <v>382.55387448074327</v>
      </c>
      <c r="T75" s="59">
        <f t="shared" si="88"/>
        <v>476.29465646955543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77.058468379526488</v>
      </c>
      <c r="AA75" s="21">
        <f>EXP(-LN(2)/25)*AA74+(1-EXP(-LN(2)/25))/(LN(2)/25)*Calculateur!V75*Calculateur!X75*VLOOKUP('Données projet'!$B$9,Paramètres!$A$1:$I$89,3,0)*0.475*44/12</f>
        <v>12.806260003533742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89.864728383060225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>
        <f>VLOOKUP(A75,'Données projet'!$A$61:$I$81,2,0)</f>
        <v>463</v>
      </c>
      <c r="AG75" s="12">
        <f>VLOOKUP(A75,'Données projet'!$A$61:$I$81,9,0)</f>
        <v>11.666666666666666</v>
      </c>
      <c r="AH75" s="12">
        <f t="array" ref="AH75">INDEX(AG:AG,MIN(IF(ISNUMBER(AG75:AG271),ROW(AG75:AG271),"")))</f>
        <v>11.666666666666666</v>
      </c>
      <c r="AI75" s="13">
        <f>IF('Données projet'!$A$62&gt;35,AI74+AH75-AQ74,IF(A75&lt;'Données projet'!$A$62,$AF$205^A75,IF(A75='Données projet'!$A$62,'Données projet'!$B$62,AI74+AH75-AQ74)))</f>
        <v>462.99999999999972</v>
      </c>
      <c r="AJ75" s="13">
        <f>AI75*VLOOKUP('Données projet'!$B$10,Paramètres!$A$1:$I$89,3,0)*VLOOKUP('Données projet'!$B$10,Paramètres!$A$1:$I$89,5,0)</f>
        <v>252.79799999999983</v>
      </c>
      <c r="AK75" s="13">
        <f t="shared" si="89"/>
        <v>61.184701785804393</v>
      </c>
      <c r="AL75" s="20">
        <f t="shared" si="58"/>
        <v>546.85320561027572</v>
      </c>
      <c r="AM75" s="59">
        <f t="shared" si="59"/>
        <v>840.18653894360909</v>
      </c>
      <c r="AN75" s="59">
        <f ca="1">AVERAGE(OFFSET($AM$3,0,0,'Données projet'!$E$10+1,1))-AVERAGE(OFFSET($H$3,0,0,'Données projet'!$E$10+1,1))</f>
        <v>417.99456559608217</v>
      </c>
      <c r="AO75" s="59">
        <f t="shared" si="90"/>
        <v>651.41353014863932</v>
      </c>
      <c r="AP75" s="15">
        <f>IF(ISNA(VLOOKUP(A75,'Données projet'!$A$61:$I$81,3,0)),0,VLOOKUP(A75,'Données projet'!$A$61:$I$81,3,0))</f>
        <v>8</v>
      </c>
      <c r="AQ75" s="15">
        <f>IF(ISNA(VLOOKUP(A75,'Données projet'!$A$61:$I$81,4,0)),0,VLOOKUP(A75,'Données projet'!$A$61:$I$81,4,0))</f>
        <v>101</v>
      </c>
      <c r="AR75" s="16">
        <f>IF(ISNA(VLOOKUP(A75,'Données projet'!$A$61:$I$81,5,0)),0%,VLOOKUP(A75,'Données projet'!$A$61:$I$81,5,0)*VLOOKUP('Données projet'!$B$10,Paramètres!$A$1:$I$89,7,0))</f>
        <v>0.6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248.15254030424046</v>
      </c>
      <c r="AV75" s="21">
        <f>EXP(-LN(2)/25)*AV74+(1-EXP(-LN(2)/25))/(LN(2)/25)*Calculateur!AQ75*Calculateur!AS75*VLOOKUP('Données projet'!$B$10,Paramètres!$A$1:$I$89,3,0)*0.475*44/12</f>
        <v>14.454806300676619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262.6073466049171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4</v>
      </c>
      <c r="BD75" s="12">
        <f>IF('Données projet'!$A$88&gt;35,BD74+BC75-BL74,IF(A75&lt;'Données projet'!$A$88,$BA$205^A75,IF(A75='Données projet'!$A$88,'Données projet'!$B$88,BD74+BC75-BL74)))</f>
        <v>217.99999999999994</v>
      </c>
      <c r="BE75" s="13">
        <f>BD75*VLOOKUP('Données projet'!$B$11,Paramètres!$A$1:$I$89,3,0)*VLOOKUP('Données projet'!$B$11,Paramètres!$A$1:$I$89,5,0)</f>
        <v>190.44479999999999</v>
      </c>
      <c r="BF75" s="13">
        <f t="shared" si="91"/>
        <v>47.638278428909231</v>
      </c>
      <c r="BG75" s="20">
        <f t="shared" si="61"/>
        <v>414.66136159701688</v>
      </c>
      <c r="BH75" s="59">
        <f t="shared" si="62"/>
        <v>707.99469493035019</v>
      </c>
      <c r="BI75" s="59">
        <f ca="1">AVERAGE(OFFSET($BH$3,0,0,'Données projet'!$E$11+1,1))-AVERAGE(OFFSET($H$3,0,0,'Données projet'!$E$11+1,1))</f>
        <v>247.61330734992077</v>
      </c>
      <c r="BJ75" s="59">
        <f t="shared" si="92"/>
        <v>278.55937893537259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58.151497599316826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0</v>
      </c>
      <c r="BS75" s="22">
        <f t="shared" si="63"/>
        <v>58.151497599316826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35.113000000000063</v>
      </c>
      <c r="D76" s="11">
        <f t="shared" si="86"/>
        <v>10.693688606258034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353.59549099567658</v>
      </c>
      <c r="H76" s="66">
        <f t="shared" si="56"/>
        <v>373.11331598923283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636.99999999999977</v>
      </c>
      <c r="O76" s="13">
        <f>N76*VLOOKUP('Données projet'!$B$9,Paramètres!$A$1:$I$89,3,0)*VLOOKUP('Données projet'!$B$9,Paramètres!$A$1:$I$89,5,0)</f>
        <v>356.08299999999991</v>
      </c>
      <c r="P76" s="13">
        <f t="shared" si="87"/>
        <v>82.813805255716545</v>
      </c>
      <c r="Q76" s="20">
        <f t="shared" si="54"/>
        <v>764.41193582037283</v>
      </c>
      <c r="R76" s="59">
        <f t="shared" si="55"/>
        <v>1057.7452691537062</v>
      </c>
      <c r="S76" s="59">
        <f ca="1">AVERAGE(OFFSET($R$3,0,0,'Données projet'!$E$9+1,1))-AVERAGE(OFFSET($H$3,0,0,'Données projet'!$E$9+1,1))</f>
        <v>382.55387448074327</v>
      </c>
      <c r="T76" s="59">
        <f t="shared" si="88"/>
        <v>476.29465646955543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75.547398815628725</v>
      </c>
      <c r="AA76" s="21">
        <f>EXP(-LN(2)/25)*AA75+(1-EXP(-LN(2)/25))/(LN(2)/25)*Calculateur!V76*Calculateur!X76*VLOOKUP('Données projet'!$B$9,Paramètres!$A$1:$I$89,3,0)*0.475*44/12</f>
        <v>12.456072150285168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88.003470965913891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10.666666666666666</v>
      </c>
      <c r="AI76" s="13">
        <f>IF('Données projet'!$A$62&gt;35,AI75+AH76-AQ75,IF(A76&lt;'Données projet'!$A$62,$AF$205^A76,IF(A76='Données projet'!$A$62,'Données projet'!$B$62,AI75+AH76-AQ75)))</f>
        <v>372.6666666666664</v>
      </c>
      <c r="AJ76" s="13">
        <f>AI76*VLOOKUP('Données projet'!$B$10,Paramètres!$A$1:$I$89,3,0)*VLOOKUP('Données projet'!$B$10,Paramètres!$A$1:$I$89,5,0)</f>
        <v>203.47599999999989</v>
      </c>
      <c r="AK76" s="13">
        <f t="shared" si="89"/>
        <v>50.507319552656533</v>
      </c>
      <c r="AL76" s="20">
        <f t="shared" si="58"/>
        <v>442.35428155420988</v>
      </c>
      <c r="AM76" s="59">
        <f t="shared" si="59"/>
        <v>735.68761488754319</v>
      </c>
      <c r="AN76" s="59">
        <f ca="1">AVERAGE(OFFSET($AM$3,0,0,'Données projet'!$E$10+1,1))-AVERAGE(OFFSET($H$3,0,0,'Données projet'!$E$10+1,1))</f>
        <v>417.99456559608217</v>
      </c>
      <c r="AO76" s="59">
        <f t="shared" si="90"/>
        <v>651.41353014863932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243.28642034697853</v>
      </c>
      <c r="AV76" s="21">
        <f>EXP(-LN(2)/25)*AV75+(1-EXP(-LN(2)/25))/(LN(2)/25)*Calculateur!AQ76*Calculateur!AS76*VLOOKUP('Données projet'!$B$10,Paramètres!$A$1:$I$89,3,0)*0.475*44/12</f>
        <v>14.059538862239391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257.34595920921794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4</v>
      </c>
      <c r="BD76" s="12">
        <f>IF('Données projet'!$A$88&gt;35,BD75+BC76-BL75,IF(A76&lt;'Données projet'!$A$88,$BA$205^A76,IF(A76='Données projet'!$A$88,'Données projet'!$B$88,BD75+BC76-BL75)))</f>
        <v>221.99999999999994</v>
      </c>
      <c r="BE76" s="13">
        <f>BD76*VLOOKUP('Données projet'!$B$11,Paramètres!$A$1:$I$89,3,0)*VLOOKUP('Données projet'!$B$11,Paramètres!$A$1:$I$89,5,0)</f>
        <v>193.93919999999997</v>
      </c>
      <c r="BF76" s="13">
        <f t="shared" si="91"/>
        <v>48.409811198069342</v>
      </c>
      <c r="BG76" s="20">
        <f t="shared" si="61"/>
        <v>422.091194503304</v>
      </c>
      <c r="BH76" s="59">
        <f t="shared" si="62"/>
        <v>715.42452783663725</v>
      </c>
      <c r="BI76" s="59">
        <f ca="1">AVERAGE(OFFSET($BH$3,0,0,'Données projet'!$E$11+1,1))-AVERAGE(OFFSET($H$3,0,0,'Données projet'!$E$11+1,1))</f>
        <v>247.61330734992077</v>
      </c>
      <c r="BJ76" s="59">
        <f t="shared" si="92"/>
        <v>278.55937893537259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57.011182200305498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0</v>
      </c>
      <c r="BS76" s="22">
        <f t="shared" si="63"/>
        <v>57.011182200305498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35.594000000000065</v>
      </c>
      <c r="D77" s="11">
        <f t="shared" si="86"/>
        <v>10.823023511900249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358.30684816203751</v>
      </c>
      <c r="H77" s="66">
        <f t="shared" si="56"/>
        <v>374.17631594989302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636.99999999999977</v>
      </c>
      <c r="O77" s="13">
        <f>N77*VLOOKUP('Données projet'!$B$9,Paramètres!$A$1:$I$89,3,0)*VLOOKUP('Données projet'!$B$9,Paramètres!$A$1:$I$89,5,0)</f>
        <v>356.08299999999991</v>
      </c>
      <c r="P77" s="13">
        <f t="shared" si="87"/>
        <v>82.813805255716545</v>
      </c>
      <c r="Q77" s="20">
        <f t="shared" si="54"/>
        <v>764.41193582037283</v>
      </c>
      <c r="R77" s="59">
        <f t="shared" si="55"/>
        <v>1057.7452691537062</v>
      </c>
      <c r="S77" s="59">
        <f ca="1">AVERAGE(OFFSET($R$3,0,0,'Données projet'!$E$9+1,1))-AVERAGE(OFFSET($H$3,0,0,'Données projet'!$E$9+1,1))</f>
        <v>382.55387448074327</v>
      </c>
      <c r="T77" s="59">
        <f t="shared" si="88"/>
        <v>476.29465646955543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74.065960404217563</v>
      </c>
      <c r="AA77" s="21">
        <f>EXP(-LN(2)/25)*AA76+(1-EXP(-LN(2)/25))/(LN(2)/25)*Calculateur!V77*Calculateur!X77*VLOOKUP('Données projet'!$B$9,Paramètres!$A$1:$I$89,3,0)*0.475*44/12</f>
        <v>12.115460202299255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86.181420606516824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10.666666666666666</v>
      </c>
      <c r="AI77" s="13">
        <f>IF('Données projet'!$A$62&gt;35,AI76+AH77-AQ76,IF(A77&lt;'Données projet'!$A$62,$AF$205^A77,IF(A77='Données projet'!$A$62,'Données projet'!$B$62,AI76+AH77-AQ76)))</f>
        <v>383.33333333333309</v>
      </c>
      <c r="AJ77" s="13">
        <f>AI77*VLOOKUP('Données projet'!$B$10,Paramètres!$A$1:$I$89,3,0)*VLOOKUP('Données projet'!$B$10,Paramètres!$A$1:$I$89,5,0)</f>
        <v>209.29999999999987</v>
      </c>
      <c r="AK77" s="13">
        <f t="shared" si="89"/>
        <v>51.782588373964714</v>
      </c>
      <c r="AL77" s="20">
        <f t="shared" si="58"/>
        <v>454.71884141798836</v>
      </c>
      <c r="AM77" s="59">
        <f t="shared" si="59"/>
        <v>748.05217475132167</v>
      </c>
      <c r="AN77" s="59">
        <f ca="1">AVERAGE(OFFSET($AM$3,0,0,'Données projet'!$E$10+1,1))-AVERAGE(OFFSET($H$3,0,0,'Données projet'!$E$10+1,1))</f>
        <v>417.99456559608217</v>
      </c>
      <c r="AO77" s="59">
        <f t="shared" si="90"/>
        <v>651.41353014863932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238.51572203403839</v>
      </c>
      <c r="AV77" s="21">
        <f>EXP(-LN(2)/25)*AV76+(1-EXP(-LN(2)/25))/(LN(2)/25)*Calculateur!AQ77*Calculateur!AS77*VLOOKUP('Données projet'!$B$10,Paramètres!$A$1:$I$89,3,0)*0.475*44/12</f>
        <v>13.67508003269244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252.19080206673084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4</v>
      </c>
      <c r="BD77" s="12">
        <f>IF('Données projet'!$A$88&gt;35,BD76+BC77-BL76,IF(A77&lt;'Données projet'!$A$88,$BA$205^A77,IF(A77='Données projet'!$A$88,'Données projet'!$B$88,BD76+BC77-BL76)))</f>
        <v>225.99999999999994</v>
      </c>
      <c r="BE77" s="13">
        <f>BD77*VLOOKUP('Données projet'!$B$11,Paramètres!$A$1:$I$89,3,0)*VLOOKUP('Données projet'!$B$11,Paramètres!$A$1:$I$89,5,0)</f>
        <v>197.43359999999996</v>
      </c>
      <c r="BF77" s="13">
        <f t="shared" si="91"/>
        <v>49.179727436837609</v>
      </c>
      <c r="BG77" s="20">
        <f t="shared" si="61"/>
        <v>429.51821195249204</v>
      </c>
      <c r="BH77" s="59">
        <f t="shared" si="62"/>
        <v>722.8515452858253</v>
      </c>
      <c r="BI77" s="59">
        <f ca="1">AVERAGE(OFFSET($BH$3,0,0,'Données projet'!$E$11+1,1))-AVERAGE(OFFSET($H$3,0,0,'Données projet'!$E$11+1,1))</f>
        <v>247.61330734992077</v>
      </c>
      <c r="BJ77" s="59">
        <f t="shared" si="92"/>
        <v>278.55937893537259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55.893227690745064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0</v>
      </c>
      <c r="BS77" s="22">
        <f t="shared" si="63"/>
        <v>55.893227690745064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36.075000000000067</v>
      </c>
      <c r="D78" s="11">
        <f t="shared" si="86"/>
        <v>10.952155130608178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363.01663609592327</v>
      </c>
      <c r="H78" s="66">
        <f t="shared" si="56"/>
        <v>375.238961852476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636.99999999999977</v>
      </c>
      <c r="O78" s="13">
        <f>N78*VLOOKUP('Données projet'!$B$9,Paramètres!$A$1:$I$89,3,0)*VLOOKUP('Données projet'!$B$9,Paramètres!$A$1:$I$89,5,0)</f>
        <v>356.08299999999991</v>
      </c>
      <c r="P78" s="13">
        <f t="shared" si="87"/>
        <v>82.813805255716545</v>
      </c>
      <c r="Q78" s="20">
        <f t="shared" si="54"/>
        <v>764.41193582037283</v>
      </c>
      <c r="R78" s="59">
        <f t="shared" si="55"/>
        <v>1057.7452691537062</v>
      </c>
      <c r="S78" s="59">
        <f ca="1">AVERAGE(OFFSET($R$3,0,0,'Données projet'!$E$9+1,1))-AVERAGE(OFFSET($H$3,0,0,'Données projet'!$E$9+1,1))</f>
        <v>382.55387448074327</v>
      </c>
      <c r="T78" s="59">
        <f t="shared" si="88"/>
        <v>476.29465646955543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72.613572096465973</v>
      </c>
      <c r="AA78" s="21">
        <f>EXP(-LN(2)/25)*AA77+(1-EXP(-LN(2)/25))/(LN(2)/25)*Calculateur!V78*Calculateur!X78*VLOOKUP('Données projet'!$B$9,Paramètres!$A$1:$I$89,3,0)*0.475*44/12</f>
        <v>11.78416230594302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84.397734402408986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10.666666666666666</v>
      </c>
      <c r="AI78" s="13">
        <f>IF('Données projet'!$A$62&gt;35,AI77+AH78-AQ77,IF(A78&lt;'Données projet'!$A$62,$AF$205^A78,IF(A78='Données projet'!$A$62,'Données projet'!$B$62,AI77+AH78-AQ77)))</f>
        <v>393.99999999999977</v>
      </c>
      <c r="AJ78" s="13">
        <f>AI78*VLOOKUP('Données projet'!$B$10,Paramètres!$A$1:$I$89,3,0)*VLOOKUP('Données projet'!$B$10,Paramètres!$A$1:$I$89,5,0)</f>
        <v>215.12399999999988</v>
      </c>
      <c r="AK78" s="13">
        <f t="shared" si="89"/>
        <v>53.053732774689756</v>
      </c>
      <c r="AL78" s="20">
        <f t="shared" si="58"/>
        <v>467.07621791591777</v>
      </c>
      <c r="AM78" s="59">
        <f t="shared" si="59"/>
        <v>760.40955124925108</v>
      </c>
      <c r="AN78" s="59">
        <f ca="1">AVERAGE(OFFSET($AM$3,0,0,'Données projet'!$E$10+1,1))-AVERAGE(OFFSET($H$3,0,0,'Données projet'!$E$10+1,1))</f>
        <v>417.99456559608217</v>
      </c>
      <c r="AO78" s="59">
        <f t="shared" si="90"/>
        <v>651.41353014863932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233.83857420517637</v>
      </c>
      <c r="AV78" s="21">
        <f>EXP(-LN(2)/25)*AV77+(1-EXP(-LN(2)/25))/(LN(2)/25)*Calculateur!AQ78*Calculateur!AS78*VLOOKUP('Données projet'!$B$10,Paramètres!$A$1:$I$89,3,0)*0.475*44/12</f>
        <v>13.301134250057261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247.13970845523363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>
        <f>VLOOKUP(A78,'Données projet'!$A$87:$I$107,2,0)</f>
        <v>230</v>
      </c>
      <c r="BB78" s="12">
        <f>VLOOKUP(A78,'Données projet'!$A$87:$I$107,9,0)</f>
        <v>4</v>
      </c>
      <c r="BC78" s="12">
        <f t="array" ref="BC78">INDEX(BB:BB,MIN(IF(ISNUMBER(BB78:BB274),ROW(BB78:BB274),"")))</f>
        <v>4</v>
      </c>
      <c r="BD78" s="12">
        <f>IF('Données projet'!$A$88&gt;35,BD77+BC78-BL77,IF(A78&lt;'Données projet'!$A$88,$BA$205^A78,IF(A78='Données projet'!$A$88,'Données projet'!$B$88,BD77+BC78-BL77)))</f>
        <v>229.99999999999994</v>
      </c>
      <c r="BE78" s="13">
        <f>BD78*VLOOKUP('Données projet'!$B$11,Paramètres!$A$1:$I$89,3,0)*VLOOKUP('Données projet'!$B$11,Paramètres!$A$1:$I$89,5,0)</f>
        <v>200.92799999999997</v>
      </c>
      <c r="BF78" s="13">
        <f t="shared" si="91"/>
        <v>49.948059057189042</v>
      </c>
      <c r="BG78" s="20">
        <f t="shared" si="61"/>
        <v>436.94246952460418</v>
      </c>
      <c r="BH78" s="59">
        <f t="shared" si="62"/>
        <v>730.27580285793749</v>
      </c>
      <c r="BI78" s="59">
        <f ca="1">AVERAGE(OFFSET($BH$3,0,0,'Données projet'!$E$11+1,1))-AVERAGE(OFFSET($H$3,0,0,'Données projet'!$E$11+1,1))</f>
        <v>247.61330734992077</v>
      </c>
      <c r="BJ78" s="59">
        <f t="shared" si="92"/>
        <v>278.55937893537259</v>
      </c>
      <c r="BK78" s="15">
        <f>IF(ISNA(VLOOKUP(A78,'Données projet'!$A$87:$I$107,3,0)),0,VLOOKUP(A78,'Données projet'!$A$87:$I$107,3,0))</f>
        <v>12</v>
      </c>
      <c r="BL78" s="15">
        <f>IF(ISNA(VLOOKUP(A78,'Données projet'!$A$87:$I$107,4,0)),0,VLOOKUP(A78,'Données projet'!$A$87:$I$107,4,0))</f>
        <v>15</v>
      </c>
      <c r="BM78" s="16">
        <f>IF(ISNA(VLOOKUP(A78,'Données projet'!$A$87:$I$107,5,0)),0%,VLOOKUP(A78,'Données projet'!$A$87:$I$107,5,0)*VLOOKUP('Données projet'!$B$11,Paramètres!$A$1:$I$89,7,0))</f>
        <v>0.43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61.026211644194092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0</v>
      </c>
      <c r="BS78" s="22">
        <f t="shared" si="63"/>
        <v>61.026211644194092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36.556000000000068</v>
      </c>
      <c r="D79" s="11">
        <f t="shared" si="86"/>
        <v>11.081086486208905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367.724878139157</v>
      </c>
      <c r="H79" s="66">
        <f t="shared" si="56"/>
        <v>376.30125896348062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636.99999999999977</v>
      </c>
      <c r="O79" s="13">
        <f>N79*VLOOKUP('Données projet'!$B$9,Paramètres!$A$1:$I$89,3,0)*VLOOKUP('Données projet'!$B$9,Paramètres!$A$1:$I$89,5,0)</f>
        <v>356.08299999999991</v>
      </c>
      <c r="P79" s="13">
        <f t="shared" si="87"/>
        <v>82.813805255716545</v>
      </c>
      <c r="Q79" s="20">
        <f t="shared" si="54"/>
        <v>764.41193582037283</v>
      </c>
      <c r="R79" s="59">
        <f t="shared" si="55"/>
        <v>1057.7452691537062</v>
      </c>
      <c r="S79" s="59">
        <f ca="1">AVERAGE(OFFSET($R$3,0,0,'Données projet'!$E$9+1,1))-AVERAGE(OFFSET($H$3,0,0,'Données projet'!$E$9+1,1))</f>
        <v>382.55387448074327</v>
      </c>
      <c r="T79" s="59">
        <f t="shared" si="88"/>
        <v>476.29465646955543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71.189664237559995</v>
      </c>
      <c r="AA79" s="21">
        <f>EXP(-LN(2)/25)*AA78+(1-EXP(-LN(2)/25))/(LN(2)/25)*Calculateur!V79*Calculateur!X79*VLOOKUP('Données projet'!$B$9,Paramètres!$A$1:$I$89,3,0)*0.475*44/12</f>
        <v>11.461923767984846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82.651588005544838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10.666666666666666</v>
      </c>
      <c r="AI79" s="13">
        <f>IF('Données projet'!$A$62&gt;35,AI78+AH79-AQ78,IF(A79&lt;'Données projet'!$A$62,$AF$205^A79,IF(A79='Données projet'!$A$62,'Données projet'!$B$62,AI78+AH79-AQ78)))</f>
        <v>404.66666666666646</v>
      </c>
      <c r="AJ79" s="13">
        <f>AI79*VLOOKUP('Données projet'!$B$10,Paramètres!$A$1:$I$89,3,0)*VLOOKUP('Données projet'!$B$10,Paramètres!$A$1:$I$89,5,0)</f>
        <v>220.94799999999987</v>
      </c>
      <c r="AK79" s="13">
        <f t="shared" si="89"/>
        <v>54.320877246019023</v>
      </c>
      <c r="AL79" s="20">
        <f t="shared" si="58"/>
        <v>479.4266278701495</v>
      </c>
      <c r="AM79" s="59">
        <f t="shared" si="59"/>
        <v>772.75996120348282</v>
      </c>
      <c r="AN79" s="59">
        <f ca="1">AVERAGE(OFFSET($AM$3,0,0,'Données projet'!$E$10+1,1))-AVERAGE(OFFSET($H$3,0,0,'Données projet'!$E$10+1,1))</f>
        <v>417.99456559608217</v>
      </c>
      <c r="AO79" s="59">
        <f t="shared" si="90"/>
        <v>651.41353014863932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229.25314239245984</v>
      </c>
      <c r="AV79" s="21">
        <f>EXP(-LN(2)/25)*AV78+(1-EXP(-LN(2)/25))/(LN(2)/25)*Calculateur!AQ79*Calculateur!AS79*VLOOKUP('Données projet'!$B$10,Paramètres!$A$1:$I$89,3,0)*0.475*44/12</f>
        <v>12.937414034513196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242.19055642697305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3.4</v>
      </c>
      <c r="BD79" s="12">
        <f>IF('Données projet'!$A$88&gt;35,BD78+BC79-BL78,IF(A79&lt;'Données projet'!$A$88,$BA$205^A79,IF(A79='Données projet'!$A$88,'Données projet'!$B$88,BD78+BC79-BL78)))</f>
        <v>218.39999999999995</v>
      </c>
      <c r="BE79" s="13">
        <f>BD79*VLOOKUP('Données projet'!$B$11,Paramètres!$A$1:$I$89,3,0)*VLOOKUP('Données projet'!$B$11,Paramètres!$A$1:$I$89,5,0)</f>
        <v>190.79423999999997</v>
      </c>
      <c r="BF79" s="13">
        <f t="shared" si="91"/>
        <v>47.715505384501107</v>
      </c>
      <c r="BG79" s="20">
        <f t="shared" si="61"/>
        <v>415.40447321133934</v>
      </c>
      <c r="BH79" s="59">
        <f t="shared" si="62"/>
        <v>708.73780654467259</v>
      </c>
      <c r="BI79" s="59">
        <f ca="1">AVERAGE(OFFSET($BH$3,0,0,'Données projet'!$E$11+1,1))-AVERAGE(OFFSET($H$3,0,0,'Données projet'!$E$11+1,1))</f>
        <v>247.61330734992077</v>
      </c>
      <c r="BJ79" s="59">
        <f t="shared" si="92"/>
        <v>278.55937893537259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59.82952485616515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0</v>
      </c>
      <c r="BS79" s="22">
        <f t="shared" si="63"/>
        <v>59.82952485616515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37.03700000000007</v>
      </c>
      <c r="D80" s="11">
        <f t="shared" si="86"/>
        <v>11.209820518381111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372.43159698399512</v>
      </c>
      <c r="H80" s="66">
        <f t="shared" si="56"/>
        <v>377.36321240284718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636.99999999999977</v>
      </c>
      <c r="O80" s="13">
        <f>N80*VLOOKUP('Données projet'!$B$9,Paramètres!$A$1:$I$89,3,0)*VLOOKUP('Données projet'!$B$9,Paramètres!$A$1:$I$89,5,0)</f>
        <v>356.08299999999991</v>
      </c>
      <c r="P80" s="13">
        <f t="shared" si="87"/>
        <v>82.813805255716545</v>
      </c>
      <c r="Q80" s="20">
        <f t="shared" si="54"/>
        <v>764.41193582037283</v>
      </c>
      <c r="R80" s="59">
        <f t="shared" si="55"/>
        <v>1057.7452691537062</v>
      </c>
      <c r="S80" s="59">
        <f ca="1">AVERAGE(OFFSET($R$3,0,0,'Données projet'!$E$9+1,1))-AVERAGE(OFFSET($H$3,0,0,'Données projet'!$E$9+1,1))</f>
        <v>382.55387448074327</v>
      </c>
      <c r="T80" s="59">
        <f t="shared" si="88"/>
        <v>476.29465646955543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69.793678343269121</v>
      </c>
      <c r="AA80" s="21">
        <f>EXP(-LN(2)/25)*AA79+(1-EXP(-LN(2)/25))/(LN(2)/25)*Calculateur!V80*Calculateur!X80*VLOOKUP('Données projet'!$B$9,Paramètres!$A$1:$I$89,3,0)*0.475*44/12</f>
        <v>11.148496859792926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80.94217520306205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10.666666666666666</v>
      </c>
      <c r="AI80" s="13">
        <f>IF('Données projet'!$A$62&gt;35,AI79+AH80-AQ79,IF(A80&lt;'Données projet'!$A$62,$AF$205^A80,IF(A80='Données projet'!$A$62,'Données projet'!$B$62,AI79+AH80-AQ79)))</f>
        <v>415.33333333333314</v>
      </c>
      <c r="AJ80" s="13">
        <f>AI80*VLOOKUP('Données projet'!$B$10,Paramètres!$A$1:$I$89,3,0)*VLOOKUP('Données projet'!$B$10,Paramètres!$A$1:$I$89,5,0)</f>
        <v>226.77199999999991</v>
      </c>
      <c r="AK80" s="13">
        <f t="shared" si="89"/>
        <v>55.58413934243174</v>
      </c>
      <c r="AL80" s="20">
        <f t="shared" si="58"/>
        <v>491.77027602140174</v>
      </c>
      <c r="AM80" s="59">
        <f t="shared" si="59"/>
        <v>785.103609354735</v>
      </c>
      <c r="AN80" s="59">
        <f ca="1">AVERAGE(OFFSET($AM$3,0,0,'Données projet'!$E$10+1,1))-AVERAGE(OFFSET($H$3,0,0,'Données projet'!$E$10+1,1))</f>
        <v>417.99456559608217</v>
      </c>
      <c r="AO80" s="59">
        <f t="shared" si="90"/>
        <v>651.41353014863932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224.75762810075344</v>
      </c>
      <c r="AV80" s="21">
        <f>EXP(-LN(2)/25)*AV79+(1-EXP(-LN(2)/25))/(LN(2)/25)*Calculateur!AQ80*Calculateur!AS80*VLOOKUP('Données projet'!$B$10,Paramètres!$A$1:$I$89,3,0)*0.475*44/12</f>
        <v>12.583639767390398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237.34126786814383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3.4</v>
      </c>
      <c r="BD80" s="12">
        <f>IF('Données projet'!$A$88&gt;35,BD79+BC80-BL79,IF(A80&lt;'Données projet'!$A$88,$BA$205^A80,IF(A80='Données projet'!$A$88,'Données projet'!$B$88,BD79+BC80-BL79)))</f>
        <v>221.79999999999995</v>
      </c>
      <c r="BE80" s="13">
        <f>BD80*VLOOKUP('Données projet'!$B$11,Paramètres!$A$1:$I$89,3,0)*VLOOKUP('Données projet'!$B$11,Paramètres!$A$1:$I$89,5,0)</f>
        <v>193.76447999999999</v>
      </c>
      <c r="BF80" s="13">
        <f t="shared" si="91"/>
        <v>48.371273222646451</v>
      </c>
      <c r="BG80" s="20">
        <f t="shared" si="61"/>
        <v>421.71977019610921</v>
      </c>
      <c r="BH80" s="59">
        <f t="shared" si="62"/>
        <v>715.05310352944252</v>
      </c>
      <c r="BI80" s="59">
        <f ca="1">AVERAGE(OFFSET($BH$3,0,0,'Données projet'!$E$11+1,1))-AVERAGE(OFFSET($H$3,0,0,'Données projet'!$E$11+1,1))</f>
        <v>247.61330734992077</v>
      </c>
      <c r="BJ80" s="59">
        <f t="shared" si="92"/>
        <v>278.55937893537259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58.656304366142585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0</v>
      </c>
      <c r="BS80" s="22">
        <f t="shared" si="63"/>
        <v>58.656304366142585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37.518000000000072</v>
      </c>
      <c r="D81" s="11">
        <f t="shared" si="86"/>
        <v>11.338360086058589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377.13681469940019</v>
      </c>
      <c r="H81" s="66">
        <f t="shared" si="56"/>
        <v>378.42482714988546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636.99999999999977</v>
      </c>
      <c r="O81" s="13">
        <f>N81*VLOOKUP('Données projet'!$B$9,Paramètres!$A$1:$I$89,3,0)*VLOOKUP('Données projet'!$B$9,Paramètres!$A$1:$I$89,5,0)</f>
        <v>356.08299999999991</v>
      </c>
      <c r="P81" s="13">
        <f t="shared" si="87"/>
        <v>82.813805255716545</v>
      </c>
      <c r="Q81" s="20">
        <f t="shared" si="54"/>
        <v>764.41193582037283</v>
      </c>
      <c r="R81" s="59">
        <f t="shared" si="55"/>
        <v>1057.7452691537062</v>
      </c>
      <c r="S81" s="59">
        <f ca="1">AVERAGE(OFFSET($R$3,0,0,'Données projet'!$E$9+1,1))-AVERAGE(OFFSET($H$3,0,0,'Données projet'!$E$9+1,1))</f>
        <v>382.55387448074327</v>
      </c>
      <c r="T81" s="59">
        <f t="shared" si="88"/>
        <v>476.29465646955543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68.425066880897973</v>
      </c>
      <c r="AA81" s="21">
        <f>EXP(-LN(2)/25)*AA80+(1-EXP(-LN(2)/25))/(LN(2)/25)*Calculateur!V81*Calculateur!X81*VLOOKUP('Données projet'!$B$9,Paramètres!$A$1:$I$89,3,0)*0.475*44/12</f>
        <v>10.84364062688792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79.268707507785891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>
        <f>VLOOKUP(A81,'Données projet'!$A$61:$I$81,2,0)</f>
        <v>426</v>
      </c>
      <c r="AG81" s="12">
        <f>VLOOKUP(A81,'Données projet'!$A$61:$I$81,9,0)</f>
        <v>10.666666666666666</v>
      </c>
      <c r="AH81" s="12">
        <f t="array" ref="AH81">INDEX(AG:AG,MIN(IF(ISNUMBER(AG81:AG277),ROW(AG81:AG277),"")))</f>
        <v>10.666666666666666</v>
      </c>
      <c r="AI81" s="13">
        <f>IF('Données projet'!$A$62&gt;35,AI80+AH81-AQ80,IF(A81&lt;'Données projet'!$A$62,$AF$205^A81,IF(A81='Données projet'!$A$62,'Données projet'!$B$62,AI80+AH81-AQ80)))</f>
        <v>425.99999999999983</v>
      </c>
      <c r="AJ81" s="13">
        <f>AI81*VLOOKUP('Données projet'!$B$10,Paramètres!$A$1:$I$89,3,0)*VLOOKUP('Données projet'!$B$10,Paramètres!$A$1:$I$89,5,0)</f>
        <v>232.59599999999992</v>
      </c>
      <c r="AK81" s="13">
        <f t="shared" si="89"/>
        <v>56.843630236302218</v>
      </c>
      <c r="AL81" s="20">
        <f t="shared" si="58"/>
        <v>504.10735599489294</v>
      </c>
      <c r="AM81" s="59">
        <f t="shared" si="59"/>
        <v>797.4406893282262</v>
      </c>
      <c r="AN81" s="59">
        <f ca="1">AVERAGE(OFFSET($AM$3,0,0,'Données projet'!$E$10+1,1))-AVERAGE(OFFSET($H$3,0,0,'Données projet'!$E$10+1,1))</f>
        <v>417.99456559608217</v>
      </c>
      <c r="AO81" s="59">
        <f t="shared" si="90"/>
        <v>651.41353014863932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220.35026810231443</v>
      </c>
      <c r="AV81" s="21">
        <f>EXP(-LN(2)/25)*AV80+(1-EXP(-LN(2)/25))/(LN(2)/25)*Calculateur!AQ81*Calculateur!AS81*VLOOKUP('Données projet'!$B$10,Paramètres!$A$1:$I$89,3,0)*0.475*44/12</f>
        <v>12.239539476206252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232.58980757852069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3.4</v>
      </c>
      <c r="BD81" s="12">
        <f>IF('Données projet'!$A$88&gt;35,BD80+BC81-BL80,IF(A81&lt;'Données projet'!$A$88,$BA$205^A81,IF(A81='Données projet'!$A$88,'Données projet'!$B$88,BD80+BC81-BL80)))</f>
        <v>225.19999999999996</v>
      </c>
      <c r="BE81" s="13">
        <f>BD81*VLOOKUP('Données projet'!$B$11,Paramètres!$A$1:$I$89,3,0)*VLOOKUP('Données projet'!$B$11,Paramètres!$A$1:$I$89,5,0)</f>
        <v>196.73472000000001</v>
      </c>
      <c r="BF81" s="13">
        <f t="shared" si="91"/>
        <v>49.025871962429896</v>
      </c>
      <c r="BG81" s="20">
        <f t="shared" si="61"/>
        <v>428.03303100123208</v>
      </c>
      <c r="BH81" s="59">
        <f t="shared" si="62"/>
        <v>721.36636433456533</v>
      </c>
      <c r="BI81" s="59">
        <f ca="1">AVERAGE(OFFSET($BH$3,0,0,'Données projet'!$E$11+1,1))-AVERAGE(OFFSET($H$3,0,0,'Données projet'!$E$11+1,1))</f>
        <v>247.61330734992077</v>
      </c>
      <c r="BJ81" s="59">
        <f t="shared" si="92"/>
        <v>278.55937893537259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57.506090014335527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0</v>
      </c>
      <c r="BS81" s="22">
        <f t="shared" si="63"/>
        <v>57.506090014335527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37.999000000000073</v>
      </c>
      <c r="D82" s="11">
        <f t="shared" si="86"/>
        <v>11.466707970654253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381.84055275592817</v>
      </c>
      <c r="H82" s="66">
        <f t="shared" si="56"/>
        <v>379.48610804888961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636.99999999999977</v>
      </c>
      <c r="O82" s="13">
        <f>N82*VLOOKUP('Données projet'!$B$9,Paramètres!$A$1:$I$89,3,0)*VLOOKUP('Données projet'!$B$9,Paramètres!$A$1:$I$89,5,0)</f>
        <v>356.08299999999991</v>
      </c>
      <c r="P82" s="13">
        <f t="shared" si="87"/>
        <v>82.813805255716545</v>
      </c>
      <c r="Q82" s="20">
        <f t="shared" si="54"/>
        <v>764.41193582037283</v>
      </c>
      <c r="R82" s="59">
        <f t="shared" si="55"/>
        <v>1057.7452691537062</v>
      </c>
      <c r="S82" s="59">
        <f ca="1">AVERAGE(OFFSET($R$3,0,0,'Données projet'!$E$9+1,1))-AVERAGE(OFFSET($H$3,0,0,'Données projet'!$E$9+1,1))</f>
        <v>382.55387448074327</v>
      </c>
      <c r="T82" s="59">
        <f t="shared" si="88"/>
        <v>476.29465646955543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67.083293054533357</v>
      </c>
      <c r="AA82" s="21">
        <f>EXP(-LN(2)/25)*AA81+(1-EXP(-LN(2)/25))/(LN(2)/25)*Calculateur!V82*Calculateur!X82*VLOOKUP('Données projet'!$B$9,Paramètres!$A$1:$I$89,3,0)*0.475*44/12</f>
        <v>10.547120703703392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77.630413758236756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425.99999999999983</v>
      </c>
      <c r="AJ82" s="13">
        <f>AI82*VLOOKUP('Données projet'!$B$10,Paramètres!$A$1:$I$89,3,0)*VLOOKUP('Données projet'!$B$10,Paramètres!$A$1:$I$89,5,0)</f>
        <v>232.59599999999992</v>
      </c>
      <c r="AK82" s="13">
        <f t="shared" si="89"/>
        <v>56.843630236302218</v>
      </c>
      <c r="AL82" s="20">
        <f t="shared" si="58"/>
        <v>504.10735599489294</v>
      </c>
      <c r="AM82" s="59">
        <f t="shared" si="59"/>
        <v>797.4406893282262</v>
      </c>
      <c r="AN82" s="59">
        <f ca="1">AVERAGE(OFFSET($AM$3,0,0,'Données projet'!$E$10+1,1))-AVERAGE(OFFSET($H$3,0,0,'Données projet'!$E$10+1,1))</f>
        <v>417.99456559608217</v>
      </c>
      <c r="AO82" s="59">
        <f t="shared" si="90"/>
        <v>651.41353014863932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216.02933374522064</v>
      </c>
      <c r="AV82" s="21">
        <f>EXP(-LN(2)/25)*AV81+(1-EXP(-LN(2)/25))/(LN(2)/25)*Calculateur!AQ82*Calculateur!AS82*VLOOKUP('Données projet'!$B$10,Paramètres!$A$1:$I$89,3,0)*0.475*44/12</f>
        <v>11.904848625579985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227.93418237080061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3.4</v>
      </c>
      <c r="BD82" s="12">
        <f>IF('Données projet'!$A$88&gt;35,BD81+BC82-BL81,IF(A82&lt;'Données projet'!$A$88,$BA$205^A82,IF(A82='Données projet'!$A$88,'Données projet'!$B$88,BD81+BC82-BL81)))</f>
        <v>228.59999999999997</v>
      </c>
      <c r="BE82" s="13">
        <f>BD82*VLOOKUP('Données projet'!$B$11,Paramètres!$A$1:$I$89,3,0)*VLOOKUP('Données projet'!$B$11,Paramètres!$A$1:$I$89,5,0)</f>
        <v>199.70496</v>
      </c>
      <c r="BF82" s="13">
        <f t="shared" si="91"/>
        <v>49.679321293278612</v>
      </c>
      <c r="BG82" s="20">
        <f t="shared" si="61"/>
        <v>434.34428991912688</v>
      </c>
      <c r="BH82" s="59">
        <f t="shared" si="62"/>
        <v>727.67762325246019</v>
      </c>
      <c r="BI82" s="59">
        <f ca="1">AVERAGE(OFFSET($BH$3,0,0,'Données projet'!$E$11+1,1))-AVERAGE(OFFSET($H$3,0,0,'Données projet'!$E$11+1,1))</f>
        <v>247.61330734992077</v>
      </c>
      <c r="BJ82" s="59">
        <f t="shared" si="92"/>
        <v>278.55937893537259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56.378430664405926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0</v>
      </c>
      <c r="BS82" s="22">
        <f t="shared" si="63"/>
        <v>56.378430664405926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38.480000000000075</v>
      </c>
      <c r="D83" s="11">
        <f t="shared" si="86"/>
        <v>11.594866879116264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386.5428320493192</v>
      </c>
      <c r="H83" s="66">
        <f t="shared" si="56"/>
        <v>380.54705981446097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636.99999999999977</v>
      </c>
      <c r="O83" s="13">
        <f>N83*VLOOKUP('Données projet'!$B$9,Paramètres!$A$1:$I$89,3,0)*VLOOKUP('Données projet'!$B$9,Paramètres!$A$1:$I$89,5,0)</f>
        <v>356.08299999999991</v>
      </c>
      <c r="P83" s="13">
        <f t="shared" si="87"/>
        <v>82.813805255716545</v>
      </c>
      <c r="Q83" s="20">
        <f t="shared" si="54"/>
        <v>764.41193582037283</v>
      </c>
      <c r="R83" s="59">
        <f t="shared" si="55"/>
        <v>1057.7452691537062</v>
      </c>
      <c r="S83" s="59">
        <f ca="1">AVERAGE(OFFSET($R$3,0,0,'Données projet'!$E$9+1,1))-AVERAGE(OFFSET($H$3,0,0,'Données projet'!$E$9+1,1))</f>
        <v>382.55387448074327</v>
      </c>
      <c r="T83" s="59">
        <f t="shared" si="88"/>
        <v>476.29465646955543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65.767830594502527</v>
      </c>
      <c r="AA83" s="21">
        <f>EXP(-LN(2)/25)*AA82+(1-EXP(-LN(2)/25))/(LN(2)/25)*Calculateur!V83*Calculateur!X83*VLOOKUP('Données projet'!$B$9,Paramètres!$A$1:$I$89,3,0)*0.475*44/12</f>
        <v>10.258709133411651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76.026539727914184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425.99999999999983</v>
      </c>
      <c r="AJ83" s="13">
        <f>AI83*VLOOKUP('Données projet'!$B$10,Paramètres!$A$1:$I$89,3,0)*VLOOKUP('Données projet'!$B$10,Paramètres!$A$1:$I$89,5,0)</f>
        <v>232.59599999999992</v>
      </c>
      <c r="AK83" s="13">
        <f t="shared" si="89"/>
        <v>56.843630236302218</v>
      </c>
      <c r="AL83" s="20">
        <f t="shared" si="58"/>
        <v>504.10735599489294</v>
      </c>
      <c r="AM83" s="59">
        <f t="shared" si="59"/>
        <v>797.4406893282262</v>
      </c>
      <c r="AN83" s="59">
        <f ca="1">AVERAGE(OFFSET($AM$3,0,0,'Données projet'!$E$10+1,1))-AVERAGE(OFFSET($H$3,0,0,'Données projet'!$E$10+1,1))</f>
        <v>417.99456559608217</v>
      </c>
      <c r="AO83" s="59">
        <f t="shared" si="90"/>
        <v>651.41353014863932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211.79313027535974</v>
      </c>
      <c r="AV83" s="21">
        <f>EXP(-LN(2)/25)*AV82+(1-EXP(-LN(2)/25))/(LN(2)/25)*Calculateur!AQ83*Calculateur!AS83*VLOOKUP('Données projet'!$B$10,Paramètres!$A$1:$I$89,3,0)*0.475*44/12</f>
        <v>11.579309913864721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223.37244018922448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232</v>
      </c>
      <c r="BB83" s="12">
        <f>VLOOKUP(A83,'Données projet'!$A$87:$I$107,9,0)</f>
        <v>3.4</v>
      </c>
      <c r="BC83" s="12">
        <f t="array" ref="BC83">INDEX(BB:BB,MIN(IF(ISNUMBER(BB83:BB279),ROW(BB83:BB279),"")))</f>
        <v>3.4</v>
      </c>
      <c r="BD83" s="12">
        <f>IF('Données projet'!$A$88&gt;35,BD82+BC83-BL82,IF(A83&lt;'Données projet'!$A$88,$BA$205^A83,IF(A83='Données projet'!$A$88,'Données projet'!$B$88,BD82+BC83-BL82)))</f>
        <v>231.99999999999997</v>
      </c>
      <c r="BE83" s="13">
        <f>BD83*VLOOKUP('Données projet'!$B$11,Paramètres!$A$1:$I$89,3,0)*VLOOKUP('Données projet'!$B$11,Paramètres!$A$1:$I$89,5,0)</f>
        <v>202.67519999999999</v>
      </c>
      <c r="BF83" s="13">
        <f t="shared" si="91"/>
        <v>50.33164028531364</v>
      </c>
      <c r="BG83" s="20">
        <f t="shared" si="61"/>
        <v>440.65358016358783</v>
      </c>
      <c r="BH83" s="59">
        <f t="shared" si="62"/>
        <v>733.98691349692115</v>
      </c>
      <c r="BI83" s="59">
        <f ca="1">AVERAGE(OFFSET($BH$3,0,0,'Données projet'!$E$11+1,1))-AVERAGE(OFFSET($H$3,0,0,'Données projet'!$E$11+1,1))</f>
        <v>247.61330734992077</v>
      </c>
      <c r="BJ83" s="59">
        <f t="shared" si="92"/>
        <v>278.55937893537259</v>
      </c>
      <c r="BK83" s="15">
        <f>IF(ISNA(VLOOKUP(A83,'Données projet'!$A$87:$I$107,3,0)),0,VLOOKUP(A83,'Données projet'!$A$87:$I$107,3,0))</f>
        <v>13</v>
      </c>
      <c r="BL83" s="21">
        <f>IF(ISNA(VLOOKUP(A83,'Données projet'!$A$87:$I$107,4,0)),0,VLOOKUP(A83,'Données projet'!$A$87:$I$107,4,0))</f>
        <v>13</v>
      </c>
      <c r="BM83" s="16">
        <f>IF(ISNA(VLOOKUP(A83,'Données projet'!$A$87:$I$107,5,0)),0%,VLOOKUP(A83,'Données projet'!$A$87:$I$107,5,0)*VLOOKUP('Données projet'!$B$11,Paramètres!$A$1:$I$89,7,0))</f>
        <v>0.43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60.671364609224469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0</v>
      </c>
      <c r="BS83" s="22">
        <f t="shared" si="63"/>
        <v>60.671364609224469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38.961000000000077</v>
      </c>
      <c r="D84" s="11">
        <f t="shared" si="86"/>
        <v>11.722839446826988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391.24367292287553</v>
      </c>
      <c r="H84" s="66">
        <f t="shared" si="56"/>
        <v>381.60768703655714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636.99999999999977</v>
      </c>
      <c r="O84" s="13">
        <f>N84*VLOOKUP('Données projet'!$B$9,Paramètres!$A$1:$I$89,3,0)*VLOOKUP('Données projet'!$B$9,Paramètres!$A$1:$I$89,5,0)</f>
        <v>356.08299999999991</v>
      </c>
      <c r="P84" s="13">
        <f t="shared" si="87"/>
        <v>82.813805255716545</v>
      </c>
      <c r="Q84" s="20">
        <f t="shared" si="54"/>
        <v>764.41193582037283</v>
      </c>
      <c r="R84" s="59">
        <f t="shared" si="55"/>
        <v>1057.7452691537062</v>
      </c>
      <c r="S84" s="59">
        <f ca="1">AVERAGE(OFFSET($R$3,0,0,'Données projet'!$E$9+1,1))-AVERAGE(OFFSET($H$3,0,0,'Données projet'!$E$9+1,1))</f>
        <v>382.55387448074327</v>
      </c>
      <c r="T84" s="59">
        <f t="shared" si="88"/>
        <v>476.29465646955543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64.478163550960019</v>
      </c>
      <c r="AA84" s="21">
        <f>EXP(-LN(2)/25)*AA83+(1-EXP(-LN(2)/25))/(LN(2)/25)*Calculateur!V84*Calculateur!X84*VLOOKUP('Données projet'!$B$9,Paramètres!$A$1:$I$89,3,0)*0.475*44/12</f>
        <v>9.9781841926764425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74.456347743636456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425.99999999999983</v>
      </c>
      <c r="AJ84" s="13">
        <f>AI84*VLOOKUP('Données projet'!$B$10,Paramètres!$A$1:$I$89,3,0)*VLOOKUP('Données projet'!$B$10,Paramètres!$A$1:$I$89,5,0)</f>
        <v>232.59599999999992</v>
      </c>
      <c r="AK84" s="13">
        <f t="shared" si="89"/>
        <v>56.843630236302218</v>
      </c>
      <c r="AL84" s="20">
        <f t="shared" si="58"/>
        <v>504.10735599489294</v>
      </c>
      <c r="AM84" s="59">
        <f t="shared" si="59"/>
        <v>797.4406893282262</v>
      </c>
      <c r="AN84" s="59">
        <f ca="1">AVERAGE(OFFSET($AM$3,0,0,'Données projet'!$E$10+1,1))-AVERAGE(OFFSET($H$3,0,0,'Données projet'!$E$10+1,1))</f>
        <v>417.99456559608217</v>
      </c>
      <c r="AO84" s="59">
        <f t="shared" si="90"/>
        <v>651.41353014863932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207.63999617171385</v>
      </c>
      <c r="AV84" s="21">
        <f>EXP(-LN(2)/25)*AV83+(1-EXP(-LN(2)/25))/(LN(2)/25)*Calculateur!AQ84*Calculateur!AS84*VLOOKUP('Données projet'!$B$10,Paramètres!$A$1:$I$89,3,0)*0.475*44/12</f>
        <v>11.262673075340647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218.90266924705449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3</v>
      </c>
      <c r="BD84" s="12">
        <f>IF('Données projet'!$A$88&gt;35,BD83+BC84-BL83,IF(A84&lt;'Données projet'!$A$88,$BA$205^A84,IF(A84='Données projet'!$A$88,'Données projet'!$B$88,BD83+BC84-BL83)))</f>
        <v>221.99999999999997</v>
      </c>
      <c r="BE84" s="13">
        <f>BD84*VLOOKUP('Données projet'!$B$11,Paramètres!$A$1:$I$89,3,0)*VLOOKUP('Données projet'!$B$11,Paramètres!$A$1:$I$89,5,0)</f>
        <v>193.9392</v>
      </c>
      <c r="BF84" s="13">
        <f t="shared" si="91"/>
        <v>48.409811198069384</v>
      </c>
      <c r="BG84" s="20">
        <f t="shared" si="61"/>
        <v>422.09119450330417</v>
      </c>
      <c r="BH84" s="59">
        <f t="shared" si="62"/>
        <v>715.42452783663748</v>
      </c>
      <c r="BI84" s="59">
        <f ca="1">AVERAGE(OFFSET($BH$3,0,0,'Données projet'!$E$11+1,1))-AVERAGE(OFFSET($H$3,0,0,'Données projet'!$E$11+1,1))</f>
        <v>247.61330734992077</v>
      </c>
      <c r="BJ84" s="59">
        <f t="shared" si="92"/>
        <v>278.55937893537259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59.481636155115964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0</v>
      </c>
      <c r="BS84" s="22">
        <f t="shared" si="63"/>
        <v>59.481636155115964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39.442000000000078</v>
      </c>
      <c r="D85" s="11">
        <f t="shared" si="86"/>
        <v>11.850628240354748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395.94309518870392</v>
      </c>
      <c r="H85" s="66">
        <f t="shared" si="56"/>
        <v>382.66799418528461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636.99999999999977</v>
      </c>
      <c r="O85" s="13">
        <f>N85*VLOOKUP('Données projet'!$B$9,Paramètres!$A$1:$I$89,3,0)*VLOOKUP('Données projet'!$B$9,Paramètres!$A$1:$I$89,5,0)</f>
        <v>356.08299999999991</v>
      </c>
      <c r="P85" s="13">
        <f t="shared" si="87"/>
        <v>82.813805255716545</v>
      </c>
      <c r="Q85" s="20">
        <f t="shared" si="54"/>
        <v>764.41193582037283</v>
      </c>
      <c r="R85" s="59">
        <f t="shared" si="55"/>
        <v>1057.7452691537062</v>
      </c>
      <c r="S85" s="59">
        <f ca="1">AVERAGE(OFFSET($R$3,0,0,'Données projet'!$E$9+1,1))-AVERAGE(OFFSET($H$3,0,0,'Données projet'!$E$9+1,1))</f>
        <v>382.55387448074327</v>
      </c>
      <c r="T85" s="59">
        <f t="shared" si="88"/>
        <v>476.29465646955543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63.213786091522159</v>
      </c>
      <c r="AA85" s="21">
        <f>EXP(-LN(2)/25)*AA84+(1-EXP(-LN(2)/25))/(LN(2)/25)*Calculateur!V85*Calculateur!X85*VLOOKUP('Données projet'!$B$9,Paramètres!$A$1:$I$89,3,0)*0.475*44/12</f>
        <v>9.7053302211978032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72.919116312719964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425.99999999999983</v>
      </c>
      <c r="AJ85" s="13">
        <f>AI85*VLOOKUP('Données projet'!$B$10,Paramètres!$A$1:$I$89,3,0)*VLOOKUP('Données projet'!$B$10,Paramètres!$A$1:$I$89,5,0)</f>
        <v>232.59599999999992</v>
      </c>
      <c r="AK85" s="13">
        <f t="shared" si="89"/>
        <v>56.843630236302218</v>
      </c>
      <c r="AL85" s="20">
        <f t="shared" si="58"/>
        <v>504.10735599489294</v>
      </c>
      <c r="AM85" s="59">
        <f t="shared" si="59"/>
        <v>797.4406893282262</v>
      </c>
      <c r="AN85" s="59">
        <f ca="1">AVERAGE(OFFSET($AM$3,0,0,'Données projet'!$E$10+1,1))-AVERAGE(OFFSET($H$3,0,0,'Données projet'!$E$10+1,1))</f>
        <v>417.99456559608217</v>
      </c>
      <c r="AO85" s="59">
        <f t="shared" si="90"/>
        <v>651.41353014863932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203.56830249467876</v>
      </c>
      <c r="AV85" s="21">
        <f>EXP(-LN(2)/25)*AV84+(1-EXP(-LN(2)/25))/(LN(2)/25)*Calculateur!AQ85*Calculateur!AS85*VLOOKUP('Données projet'!$B$10,Paramètres!$A$1:$I$89,3,0)*0.475*44/12</f>
        <v>10.954694687817222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214.52299718249597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3</v>
      </c>
      <c r="BD85" s="12">
        <f>IF('Données projet'!$A$88&gt;35,BD84+BC85-BL84,IF(A85&lt;'Données projet'!$A$88,$BA$205^A85,IF(A85='Données projet'!$A$88,'Données projet'!$B$88,BD84+BC85-BL84)))</f>
        <v>224.99999999999997</v>
      </c>
      <c r="BE85" s="13">
        <f>BD85*VLOOKUP('Données projet'!$B$11,Paramètres!$A$1:$I$89,3,0)*VLOOKUP('Données projet'!$B$11,Paramètres!$A$1:$I$89,5,0)</f>
        <v>196.56</v>
      </c>
      <c r="BF85" s="13">
        <f t="shared" si="91"/>
        <v>48.987398161128091</v>
      </c>
      <c r="BG85" s="20">
        <f t="shared" si="61"/>
        <v>427.66171846396475</v>
      </c>
      <c r="BH85" s="59">
        <f t="shared" si="62"/>
        <v>720.99505179729806</v>
      </c>
      <c r="BI85" s="59">
        <f ca="1">AVERAGE(OFFSET($BH$3,0,0,'Données projet'!$E$11+1,1))-AVERAGE(OFFSET($H$3,0,0,'Données projet'!$E$11+1,1))</f>
        <v>247.61330734992077</v>
      </c>
      <c r="BJ85" s="59">
        <f t="shared" si="92"/>
        <v>278.55937893537259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58.315237550329819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0</v>
      </c>
      <c r="BS85" s="22">
        <f t="shared" si="63"/>
        <v>58.315237550329819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39.92300000000008</v>
      </c>
      <c r="D86" s="11">
        <f t="shared" si="86"/>
        <v>11.978235760067443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400.64111814788959</v>
      </c>
      <c r="H86" s="66">
        <f t="shared" si="56"/>
        <v>383.7279856154509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636.99999999999977</v>
      </c>
      <c r="O86" s="13">
        <f>N86*VLOOKUP('Données projet'!$B$9,Paramètres!$A$1:$I$89,3,0)*VLOOKUP('Données projet'!$B$9,Paramètres!$A$1:$I$89,5,0)</f>
        <v>356.08299999999991</v>
      </c>
      <c r="P86" s="13">
        <f t="shared" si="87"/>
        <v>82.813805255716545</v>
      </c>
      <c r="Q86" s="20">
        <f t="shared" si="54"/>
        <v>764.41193582037283</v>
      </c>
      <c r="R86" s="59">
        <f t="shared" si="55"/>
        <v>1057.7452691537062</v>
      </c>
      <c r="S86" s="59">
        <f ca="1">AVERAGE(OFFSET($R$3,0,0,'Données projet'!$E$9+1,1))-AVERAGE(OFFSET($H$3,0,0,'Données projet'!$E$9+1,1))</f>
        <v>382.55387448074327</v>
      </c>
      <c r="T86" s="59">
        <f t="shared" si="88"/>
        <v>476.29465646955543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61.974202302869777</v>
      </c>
      <c r="AA86" s="21">
        <f>EXP(-LN(2)/25)*AA85+(1-EXP(-LN(2)/25))/(LN(2)/25)*Calculateur!V86*Calculateur!X86*VLOOKUP('Données projet'!$B$9,Paramètres!$A$1:$I$89,3,0)*0.475*44/12</f>
        <v>9.4399374559180149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71.414139758787798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425.99999999999983</v>
      </c>
      <c r="AJ86" s="13">
        <f>AI86*VLOOKUP('Données projet'!$B$10,Paramètres!$A$1:$I$89,3,0)*VLOOKUP('Données projet'!$B$10,Paramètres!$A$1:$I$89,5,0)</f>
        <v>232.59599999999992</v>
      </c>
      <c r="AK86" s="13">
        <f t="shared" si="89"/>
        <v>56.843630236302218</v>
      </c>
      <c r="AL86" s="20">
        <f t="shared" si="58"/>
        <v>504.10735599489294</v>
      </c>
      <c r="AM86" s="59">
        <f t="shared" si="59"/>
        <v>797.4406893282262</v>
      </c>
      <c r="AN86" s="59">
        <f ca="1">AVERAGE(OFFSET($AM$3,0,0,'Données projet'!$E$10+1,1))-AVERAGE(OFFSET($H$3,0,0,'Données projet'!$E$10+1,1))</f>
        <v>417.99456559608217</v>
      </c>
      <c r="AO86" s="59">
        <f t="shared" si="90"/>
        <v>651.41353014863932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199.57645224716242</v>
      </c>
      <c r="AV86" s="21">
        <f>EXP(-LN(2)/25)*AV85+(1-EXP(-LN(2)/25))/(LN(2)/25)*Calculateur!AQ86*Calculateur!AS86*VLOOKUP('Données projet'!$B$10,Paramètres!$A$1:$I$89,3,0)*0.475*44/12</f>
        <v>10.655137985496504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210.23159023265893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3</v>
      </c>
      <c r="BD86" s="12">
        <f>IF('Données projet'!$A$88&gt;35,BD85+BC86-BL85,IF(A86&lt;'Données projet'!$A$88,$BA$205^A86,IF(A86='Données projet'!$A$88,'Données projet'!$B$88,BD85+BC86-BL85)))</f>
        <v>227.99999999999997</v>
      </c>
      <c r="BE86" s="13">
        <f>BD86*VLOOKUP('Données projet'!$B$11,Paramètres!$A$1:$I$89,3,0)*VLOOKUP('Données projet'!$B$11,Paramètres!$A$1:$I$89,5,0)</f>
        <v>199.1808</v>
      </c>
      <c r="BF86" s="13">
        <f t="shared" si="91"/>
        <v>49.564089376413683</v>
      </c>
      <c r="BG86" s="20">
        <f t="shared" si="61"/>
        <v>433.23068233058711</v>
      </c>
      <c r="BH86" s="59">
        <f t="shared" si="62"/>
        <v>726.56401566392037</v>
      </c>
      <c r="BI86" s="59">
        <f ca="1">AVERAGE(OFFSET($BH$3,0,0,'Données projet'!$E$11+1,1))-AVERAGE(OFFSET($H$3,0,0,'Données projet'!$E$11+1,1))</f>
        <v>247.61330734992077</v>
      </c>
      <c r="BJ86" s="59">
        <f t="shared" si="92"/>
        <v>278.55937893537259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57.171711310750631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0</v>
      </c>
      <c r="BS86" s="22">
        <f t="shared" si="63"/>
        <v>57.171711310750631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40.404000000000082</v>
      </c>
      <c r="D87" s="11">
        <f t="shared" si="86"/>
        <v>12.105664442616733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405.33776060967369</v>
      </c>
      <c r="H87" s="66">
        <f t="shared" si="56"/>
        <v>384.78766557089091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636.99999999999977</v>
      </c>
      <c r="O87" s="13">
        <f>N87*VLOOKUP('Données projet'!$B$9,Paramètres!$A$1:$I$89,3,0)*VLOOKUP('Données projet'!$B$9,Paramètres!$A$1:$I$89,5,0)</f>
        <v>356.08299999999991</v>
      </c>
      <c r="P87" s="13">
        <f t="shared" si="87"/>
        <v>82.813805255716545</v>
      </c>
      <c r="Q87" s="20">
        <f t="shared" si="54"/>
        <v>764.41193582037283</v>
      </c>
      <c r="R87" s="59">
        <f t="shared" si="55"/>
        <v>1057.7452691537062</v>
      </c>
      <c r="S87" s="59">
        <f ca="1">AVERAGE(OFFSET($R$3,0,0,'Données projet'!$E$9+1,1))-AVERAGE(OFFSET($H$3,0,0,'Données projet'!$E$9+1,1))</f>
        <v>382.55387448074327</v>
      </c>
      <c r="T87" s="59">
        <f t="shared" si="88"/>
        <v>476.29465646955543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60.758925996241416</v>
      </c>
      <c r="AA87" s="21">
        <f>EXP(-LN(2)/25)*AA86+(1-EXP(-LN(2)/25))/(LN(2)/25)*Calculateur!V87*Calculateur!X87*VLOOKUP('Données projet'!$B$9,Paramètres!$A$1:$I$89,3,0)*0.475*44/12</f>
        <v>9.1818018697612018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69.940727866002618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425.99999999999983</v>
      </c>
      <c r="AJ87" s="13">
        <f>AI87*VLOOKUP('Données projet'!$B$10,Paramètres!$A$1:$I$89,3,0)*VLOOKUP('Données projet'!$B$10,Paramètres!$A$1:$I$89,5,0)</f>
        <v>232.59599999999992</v>
      </c>
      <c r="AK87" s="13">
        <f t="shared" si="89"/>
        <v>56.843630236302218</v>
      </c>
      <c r="AL87" s="20">
        <f t="shared" si="58"/>
        <v>504.10735599489294</v>
      </c>
      <c r="AM87" s="59">
        <f t="shared" si="59"/>
        <v>797.4406893282262</v>
      </c>
      <c r="AN87" s="59">
        <f ca="1">AVERAGE(OFFSET($AM$3,0,0,'Données projet'!$E$10+1,1))-AVERAGE(OFFSET($H$3,0,0,'Données projet'!$E$10+1,1))</f>
        <v>417.99456559608217</v>
      </c>
      <c r="AO87" s="59">
        <f t="shared" si="90"/>
        <v>651.41353014863932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195.66287974821162</v>
      </c>
      <c r="AV87" s="21">
        <f>EXP(-LN(2)/25)*AV86+(1-EXP(-LN(2)/25))/(LN(2)/25)*Calculateur!AQ87*Calculateur!AS87*VLOOKUP('Données projet'!$B$10,Paramètres!$A$1:$I$89,3,0)*0.475*44/12</f>
        <v>10.363772676953747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206.02665242516537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3</v>
      </c>
      <c r="BD87" s="12">
        <f>IF('Données projet'!$A$88&gt;35,BD86+BC87-BL86,IF(A87&lt;'Données projet'!$A$88,$BA$205^A87,IF(A87='Données projet'!$A$88,'Données projet'!$B$88,BD86+BC87-BL86)))</f>
        <v>230.99999999999997</v>
      </c>
      <c r="BE87" s="13">
        <f>BD87*VLOOKUP('Données projet'!$B$11,Paramètres!$A$1:$I$89,3,0)*VLOOKUP('Données projet'!$B$11,Paramètres!$A$1:$I$89,5,0)</f>
        <v>201.80159999999998</v>
      </c>
      <c r="BF87" s="13">
        <f t="shared" si="91"/>
        <v>50.139897992681668</v>
      </c>
      <c r="BG87" s="20">
        <f t="shared" si="61"/>
        <v>438.7981090039205</v>
      </c>
      <c r="BH87" s="59">
        <f t="shared" si="62"/>
        <v>732.13144233725382</v>
      </c>
      <c r="BI87" s="59">
        <f ca="1">AVERAGE(OFFSET($BH$3,0,0,'Données projet'!$E$11+1,1))-AVERAGE(OFFSET($H$3,0,0,'Données projet'!$E$11+1,1))</f>
        <v>247.61330734992077</v>
      </c>
      <c r="BJ87" s="59">
        <f t="shared" si="92"/>
        <v>278.55937893537259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56.050608923247452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0</v>
      </c>
      <c r="BS87" s="22">
        <f t="shared" si="63"/>
        <v>56.050608923247452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40.885000000000083</v>
      </c>
      <c r="D88" s="11">
        <f t="shared" si="86"/>
        <v>12.232916663300438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410.03304090968822</v>
      </c>
      <c r="H88" s="66">
        <f t="shared" si="56"/>
        <v>385.84703818858173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636.99999999999977</v>
      </c>
      <c r="O88" s="13">
        <f>N88*VLOOKUP('Données projet'!$B$9,Paramètres!$A$1:$I$89,3,0)*VLOOKUP('Données projet'!$B$9,Paramètres!$A$1:$I$89,5,0)</f>
        <v>356.08299999999991</v>
      </c>
      <c r="P88" s="13">
        <f t="shared" si="87"/>
        <v>82.813805255716545</v>
      </c>
      <c r="Q88" s="20">
        <f t="shared" si="54"/>
        <v>764.41193582037283</v>
      </c>
      <c r="R88" s="59">
        <f t="shared" si="55"/>
        <v>1057.7452691537062</v>
      </c>
      <c r="S88" s="59">
        <f ca="1">AVERAGE(OFFSET($R$3,0,0,'Données projet'!$E$9+1,1))-AVERAGE(OFFSET($H$3,0,0,'Données projet'!$E$9+1,1))</f>
        <v>382.55387448074327</v>
      </c>
      <c r="T88" s="59">
        <f t="shared" si="88"/>
        <v>476.29465646955543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59.56748051674068</v>
      </c>
      <c r="AA88" s="21">
        <f>EXP(-LN(2)/25)*AA87+(1-EXP(-LN(2)/25))/(LN(2)/25)*Calculateur!V88*Calculateur!X88*VLOOKUP('Données projet'!$B$9,Paramètres!$A$1:$I$89,3,0)*0.475*44/12</f>
        <v>8.9307250147826061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68.498205531523283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425.99999999999983</v>
      </c>
      <c r="AJ88" s="13">
        <f>AI88*VLOOKUP('Données projet'!$B$10,Paramètres!$A$1:$I$89,3,0)*VLOOKUP('Données projet'!$B$10,Paramètres!$A$1:$I$89,5,0)</f>
        <v>232.59599999999992</v>
      </c>
      <c r="AK88" s="13">
        <f t="shared" si="89"/>
        <v>56.843630236302218</v>
      </c>
      <c r="AL88" s="20">
        <f t="shared" si="58"/>
        <v>504.10735599489294</v>
      </c>
      <c r="AM88" s="59">
        <f t="shared" si="59"/>
        <v>797.4406893282262</v>
      </c>
      <c r="AN88" s="59">
        <f ca="1">AVERAGE(OFFSET($AM$3,0,0,'Données projet'!$E$10+1,1))-AVERAGE(OFFSET($H$3,0,0,'Données projet'!$E$10+1,1))</f>
        <v>417.99456559608217</v>
      </c>
      <c r="AO88" s="59">
        <f t="shared" si="90"/>
        <v>651.41353014863932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191.82605001892173</v>
      </c>
      <c r="AV88" s="21">
        <f>EXP(-LN(2)/25)*AV87+(1-EXP(-LN(2)/25))/(LN(2)/25)*Calculateur!AQ88*Calculateur!AS88*VLOOKUP('Données projet'!$B$10,Paramètres!$A$1:$I$89,3,0)*0.475*44/12</f>
        <v>10.080374768095329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201.90642478701707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>
        <f>VLOOKUP(A88,'Données projet'!$A$87:$I$107,2,0)</f>
        <v>234</v>
      </c>
      <c r="BB88" s="12">
        <f>VLOOKUP(A88,'Données projet'!$A$87:$I$107,9,0)</f>
        <v>3</v>
      </c>
      <c r="BC88" s="12">
        <f t="array" ref="BC88">INDEX(BB:BB,MIN(IF(ISNUMBER(BB88:BB284),ROW(BB88:BB284),"")))</f>
        <v>3</v>
      </c>
      <c r="BD88" s="12">
        <f>IF('Données projet'!$A$88&gt;35,BD87+BC88-BL87,IF(A88&lt;'Données projet'!$A$88,$BA$205^A88,IF(A88='Données projet'!$A$88,'Données projet'!$B$88,BD87+BC88-BL87)))</f>
        <v>233.99999999999997</v>
      </c>
      <c r="BE88" s="13">
        <f>BD88*VLOOKUP('Données projet'!$B$11,Paramètres!$A$1:$I$89,3,0)*VLOOKUP('Données projet'!$B$11,Paramètres!$A$1:$I$89,5,0)</f>
        <v>204.42239999999998</v>
      </c>
      <c r="BF88" s="13">
        <f t="shared" si="91"/>
        <v>50.714836797527262</v>
      </c>
      <c r="BG88" s="20">
        <f t="shared" si="61"/>
        <v>444.36402075569328</v>
      </c>
      <c r="BH88" s="59">
        <f t="shared" si="62"/>
        <v>737.69735408902659</v>
      </c>
      <c r="BI88" s="59">
        <f ca="1">AVERAGE(OFFSET($BH$3,0,0,'Données projet'!$E$11+1,1))-AVERAGE(OFFSET($H$3,0,0,'Données projet'!$E$11+1,1))</f>
        <v>247.61330734992077</v>
      </c>
      <c r="BJ88" s="59">
        <f t="shared" si="92"/>
        <v>278.55937893537259</v>
      </c>
      <c r="BK88" s="15">
        <f>IF(ISNA(VLOOKUP(A88,'Données projet'!$A$87:$I$107,3,0)),0,VLOOKUP(A88,'Données projet'!$A$87:$I$107,3,0))</f>
        <v>14</v>
      </c>
      <c r="BL88" s="15">
        <f>IF(ISNA(VLOOKUP(A88,'Données projet'!$A$87:$I$107,4,0)),0,VLOOKUP(A88,'Données projet'!$A$87:$I$107,4,0))</f>
        <v>12</v>
      </c>
      <c r="BM88" s="16">
        <f>IF(ISNA(VLOOKUP(A88,'Données projet'!$A$87:$I$107,5,0)),0%,VLOOKUP(A88,'Données projet'!$A$87:$I$107,5,0)*VLOOKUP('Données projet'!$B$11,Paramètres!$A$1:$I$89,7,0))</f>
        <v>0.43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59.934703515327804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0</v>
      </c>
      <c r="BS88" s="22">
        <f t="shared" si="63"/>
        <v>59.934703515327804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41.366000000000085</v>
      </c>
      <c r="D89" s="11">
        <f t="shared" si="86"/>
        <v>12.359994738310691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414.72697692731134</v>
      </c>
      <c r="H89" s="66">
        <f t="shared" si="56"/>
        <v>386.90610750255792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636.99999999999977</v>
      </c>
      <c r="O89" s="13">
        <f>N89*VLOOKUP('Données projet'!$B$9,Paramètres!$A$1:$I$89,3,0)*VLOOKUP('Données projet'!$B$9,Paramètres!$A$1:$I$89,5,0)</f>
        <v>356.08299999999991</v>
      </c>
      <c r="P89" s="13">
        <f t="shared" si="87"/>
        <v>82.813805255716545</v>
      </c>
      <c r="Q89" s="20">
        <f t="shared" si="54"/>
        <v>764.41193582037283</v>
      </c>
      <c r="R89" s="59">
        <f t="shared" si="55"/>
        <v>1057.7452691537062</v>
      </c>
      <c r="S89" s="59">
        <f ca="1">AVERAGE(OFFSET($R$3,0,0,'Données projet'!$E$9+1,1))-AVERAGE(OFFSET($H$3,0,0,'Données projet'!$E$9+1,1))</f>
        <v>382.55387448074327</v>
      </c>
      <c r="T89" s="59">
        <f t="shared" si="88"/>
        <v>476.29465646955543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58.39939855638297</v>
      </c>
      <c r="AA89" s="21">
        <f>EXP(-LN(2)/25)*AA88+(1-EXP(-LN(2)/25))/(LN(2)/25)*Calculateur!V89*Calculateur!X89*VLOOKUP('Données projet'!$B$9,Paramètres!$A$1:$I$89,3,0)*0.475*44/12</f>
        <v>8.6865138696069586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67.085912425989932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425.99999999999983</v>
      </c>
      <c r="AJ89" s="13">
        <f>AI89*VLOOKUP('Données projet'!$B$10,Paramètres!$A$1:$I$89,3,0)*VLOOKUP('Données projet'!$B$10,Paramètres!$A$1:$I$89,5,0)</f>
        <v>232.59599999999992</v>
      </c>
      <c r="AK89" s="13">
        <f t="shared" si="89"/>
        <v>56.843630236302218</v>
      </c>
      <c r="AL89" s="20">
        <f t="shared" si="58"/>
        <v>504.10735599489294</v>
      </c>
      <c r="AM89" s="59">
        <f t="shared" si="59"/>
        <v>797.4406893282262</v>
      </c>
      <c r="AN89" s="59">
        <f ca="1">AVERAGE(OFFSET($AM$3,0,0,'Données projet'!$E$10+1,1))-AVERAGE(OFFSET($H$3,0,0,'Données projet'!$E$10+1,1))</f>
        <v>417.99456559608217</v>
      </c>
      <c r="AO89" s="59">
        <f t="shared" si="90"/>
        <v>651.41353014863932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188.06445818038816</v>
      </c>
      <c r="AV89" s="21">
        <f>EXP(-LN(2)/25)*AV88+(1-EXP(-LN(2)/25))/(LN(2)/25)*Calculateur!AQ89*Calculateur!AS89*VLOOKUP('Données projet'!$B$10,Paramètres!$A$1:$I$89,3,0)*0.475*44/12</f>
        <v>9.8047263899578923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197.86918457034605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2.8</v>
      </c>
      <c r="BD89" s="12">
        <f>IF('Données projet'!$A$88&gt;35,BD88+BC89-BL88,IF(A89&lt;'Données projet'!$A$88,$BA$205^A89,IF(A89='Données projet'!$A$88,'Données projet'!$B$88,BD88+BC89-BL88)))</f>
        <v>224.79999999999998</v>
      </c>
      <c r="BE89" s="13">
        <f>BD89*VLOOKUP('Données projet'!$B$11,Paramètres!$A$1:$I$89,3,0)*VLOOKUP('Données projet'!$B$11,Paramètres!$A$1:$I$89,5,0)</f>
        <v>196.38528000000002</v>
      </c>
      <c r="BF89" s="13">
        <f t="shared" si="91"/>
        <v>48.948920378863868</v>
      </c>
      <c r="BG89" s="20">
        <f t="shared" si="61"/>
        <v>427.29039899318792</v>
      </c>
      <c r="BH89" s="59">
        <f t="shared" si="62"/>
        <v>720.62373232652124</v>
      </c>
      <c r="BI89" s="59">
        <f ca="1">AVERAGE(OFFSET($BH$3,0,0,'Données projet'!$E$11+1,1))-AVERAGE(OFFSET($H$3,0,0,'Données projet'!$E$11+1,1))</f>
        <v>247.61330734992077</v>
      </c>
      <c r="BJ89" s="59">
        <f t="shared" si="92"/>
        <v>278.55937893537259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58.759420535951712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0</v>
      </c>
      <c r="BS89" s="22">
        <f t="shared" si="63"/>
        <v>58.759420535951712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41.847000000000087</v>
      </c>
      <c r="D90" s="11">
        <f t="shared" si="86"/>
        <v>12.486900926874483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419.41958610218967</v>
      </c>
      <c r="H90" s="66">
        <f t="shared" si="56"/>
        <v>387.96487744763988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636.99999999999977</v>
      </c>
      <c r="O90" s="13">
        <f>N90*VLOOKUP('Données projet'!$B$9,Paramètres!$A$1:$I$89,3,0)*VLOOKUP('Données projet'!$B$9,Paramètres!$A$1:$I$89,5,0)</f>
        <v>356.08299999999991</v>
      </c>
      <c r="P90" s="13">
        <f t="shared" si="87"/>
        <v>82.813805255716545</v>
      </c>
      <c r="Q90" s="20">
        <f t="shared" si="54"/>
        <v>764.41193582037283</v>
      </c>
      <c r="R90" s="59">
        <f t="shared" si="55"/>
        <v>1057.7452691537062</v>
      </c>
      <c r="S90" s="59">
        <f ca="1">AVERAGE(OFFSET($R$3,0,0,'Données projet'!$E$9+1,1))-AVERAGE(OFFSET($H$3,0,0,'Données projet'!$E$9+1,1))</f>
        <v>382.55387448074327</v>
      </c>
      <c r="T90" s="59">
        <f t="shared" si="88"/>
        <v>476.29465646955543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57.254221970808224</v>
      </c>
      <c r="AA90" s="21">
        <f>EXP(-LN(2)/25)*AA89+(1-EXP(-LN(2)/25))/(LN(2)/25)*Calculateur!V90*Calculateur!X90*VLOOKUP('Données projet'!$B$9,Paramètres!$A$1:$I$89,3,0)*0.475*44/12</f>
        <v>8.4489806910386456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65.703202661846873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425.99999999999983</v>
      </c>
      <c r="AJ90" s="13">
        <f>AI90*VLOOKUP('Données projet'!$B$10,Paramètres!$A$1:$I$89,3,0)*VLOOKUP('Données projet'!$B$10,Paramètres!$A$1:$I$89,5,0)</f>
        <v>232.59599999999992</v>
      </c>
      <c r="AK90" s="13">
        <f t="shared" si="89"/>
        <v>56.843630236302218</v>
      </c>
      <c r="AL90" s="20">
        <f t="shared" si="58"/>
        <v>504.10735599489294</v>
      </c>
      <c r="AM90" s="59">
        <f t="shared" si="59"/>
        <v>797.4406893282262</v>
      </c>
      <c r="AN90" s="59">
        <f ca="1">AVERAGE(OFFSET($AM$3,0,0,'Données projet'!$E$10+1,1))-AVERAGE(OFFSET($H$3,0,0,'Données projet'!$E$10+1,1))</f>
        <v>417.99456559608217</v>
      </c>
      <c r="AO90" s="59">
        <f t="shared" si="90"/>
        <v>651.41353014863932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184.37662886346376</v>
      </c>
      <c r="AV90" s="21">
        <f>EXP(-LN(2)/25)*AV89+(1-EXP(-LN(2)/25))/(LN(2)/25)*Calculateur!AQ90*Calculateur!AS90*VLOOKUP('Données projet'!$B$10,Paramètres!$A$1:$I$89,3,0)*0.475*44/12</f>
        <v>9.5366156312163426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193.9132444946801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2.8</v>
      </c>
      <c r="BD90" s="12">
        <f>IF('Données projet'!$A$88&gt;35,BD89+BC90-BL89,IF(A90&lt;'Données projet'!$A$88,$BA$205^A90,IF(A90='Données projet'!$A$88,'Données projet'!$B$88,BD89+BC90-BL89)))</f>
        <v>227.6</v>
      </c>
      <c r="BE90" s="13">
        <f>BD90*VLOOKUP('Données projet'!$B$11,Paramètres!$A$1:$I$89,3,0)*VLOOKUP('Données projet'!$B$11,Paramètres!$A$1:$I$89,5,0)</f>
        <v>198.83136000000002</v>
      </c>
      <c r="BF90" s="13">
        <f t="shared" si="91"/>
        <v>49.48724849224233</v>
      </c>
      <c r="BG90" s="20">
        <f t="shared" si="61"/>
        <v>432.4882431239887</v>
      </c>
      <c r="BH90" s="59">
        <f t="shared" si="62"/>
        <v>725.82157645732195</v>
      </c>
      <c r="BI90" s="59">
        <f ca="1">AVERAGE(OFFSET($BH$3,0,0,'Données projet'!$E$11+1,1))-AVERAGE(OFFSET($H$3,0,0,'Données projet'!$E$11+1,1))</f>
        <v>247.61330734992077</v>
      </c>
      <c r="BJ90" s="59">
        <f t="shared" si="92"/>
        <v>278.55937893537259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57.60718413894935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0</v>
      </c>
      <c r="BS90" s="22">
        <f t="shared" si="63"/>
        <v>57.60718413894935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42.328000000000088</v>
      </c>
      <c r="D91" s="11">
        <f t="shared" si="86"/>
        <v>12.613637433293027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424.11088544998194</v>
      </c>
      <c r="H91" s="66">
        <f t="shared" si="56"/>
        <v>389.02335186298552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636.99999999999977</v>
      </c>
      <c r="O91" s="13">
        <f>N91*VLOOKUP('Données projet'!$B$9,Paramètres!$A$1:$I$89,3,0)*VLOOKUP('Données projet'!$B$9,Paramètres!$A$1:$I$89,5,0)</f>
        <v>356.08299999999991</v>
      </c>
      <c r="P91" s="13">
        <f t="shared" si="87"/>
        <v>82.813805255716545</v>
      </c>
      <c r="Q91" s="20">
        <f t="shared" si="54"/>
        <v>764.41193582037283</v>
      </c>
      <c r="R91" s="59">
        <f t="shared" si="55"/>
        <v>1057.7452691537062</v>
      </c>
      <c r="S91" s="59">
        <f ca="1">AVERAGE(OFFSET($R$3,0,0,'Données projet'!$E$9+1,1))-AVERAGE(OFFSET($H$3,0,0,'Données projet'!$E$9+1,1))</f>
        <v>382.55387448074327</v>
      </c>
      <c r="T91" s="59">
        <f t="shared" si="88"/>
        <v>476.29465646955543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56.13150159958785</v>
      </c>
      <c r="AA91" s="21">
        <f>EXP(-LN(2)/25)*AA90+(1-EXP(-LN(2)/25))/(LN(2)/25)*Calculateur!V91*Calculateur!X91*VLOOKUP('Données projet'!$B$9,Paramètres!$A$1:$I$89,3,0)*0.475*44/12</f>
        <v>8.21794286972961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64.349444469317461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425.99999999999983</v>
      </c>
      <c r="AJ91" s="13">
        <f>AI91*VLOOKUP('Données projet'!$B$10,Paramètres!$A$1:$I$89,3,0)*VLOOKUP('Données projet'!$B$10,Paramètres!$A$1:$I$89,5,0)</f>
        <v>232.59599999999992</v>
      </c>
      <c r="AK91" s="13">
        <f t="shared" si="89"/>
        <v>56.843630236302218</v>
      </c>
      <c r="AL91" s="20">
        <f t="shared" si="58"/>
        <v>504.10735599489294</v>
      </c>
      <c r="AM91" s="59">
        <f t="shared" si="59"/>
        <v>797.4406893282262</v>
      </c>
      <c r="AN91" s="59">
        <f ca="1">AVERAGE(OFFSET($AM$3,0,0,'Données projet'!$E$10+1,1))-AVERAGE(OFFSET($H$3,0,0,'Données projet'!$E$10+1,1))</f>
        <v>417.99456559608217</v>
      </c>
      <c r="AO91" s="59">
        <f t="shared" si="90"/>
        <v>651.41353014863932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180.76111563009047</v>
      </c>
      <c r="AV91" s="21">
        <f>EXP(-LN(2)/25)*AV90+(1-EXP(-LN(2)/25))/(LN(2)/25)*Calculateur!AQ91*Calculateur!AS91*VLOOKUP('Données projet'!$B$10,Paramètres!$A$1:$I$89,3,0)*0.475*44/12</f>
        <v>9.2758363752719113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190.03695200536239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2.8</v>
      </c>
      <c r="BD91" s="12">
        <f>IF('Données projet'!$A$88&gt;35,BD90+BC91-BL90,IF(A91&lt;'Données projet'!$A$88,$BA$205^A91,IF(A91='Données projet'!$A$88,'Données projet'!$B$88,BD90+BC91-BL90)))</f>
        <v>230.4</v>
      </c>
      <c r="BE91" s="13">
        <f>BD91*VLOOKUP('Données projet'!$B$11,Paramètres!$A$1:$I$89,3,0)*VLOOKUP('Données projet'!$B$11,Paramètres!$A$1:$I$89,5,0)</f>
        <v>201.27744000000004</v>
      </c>
      <c r="BF91" s="13">
        <f t="shared" si="91"/>
        <v>50.024806258462775</v>
      </c>
      <c r="BG91" s="20">
        <f t="shared" si="61"/>
        <v>437.68474556682276</v>
      </c>
      <c r="BH91" s="59">
        <f t="shared" si="62"/>
        <v>731.01807890015607</v>
      </c>
      <c r="BI91" s="59">
        <f ca="1">AVERAGE(OFFSET($BH$3,0,0,'Données projet'!$E$11+1,1))-AVERAGE(OFFSET($H$3,0,0,'Données projet'!$E$11+1,1))</f>
        <v>247.61330734992077</v>
      </c>
      <c r="BJ91" s="59">
        <f t="shared" si="92"/>
        <v>278.55937893537259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56.477542394897398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0</v>
      </c>
      <c r="BS91" s="22">
        <f t="shared" si="63"/>
        <v>56.477542394897398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42.80900000000009</v>
      </c>
      <c r="D92" s="11">
        <f t="shared" si="86"/>
        <v>12.740206408885738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428.80089157736433</v>
      </c>
      <c r="H92" s="66">
        <f t="shared" si="56"/>
        <v>390.08153449547615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636.99999999999977</v>
      </c>
      <c r="O92" s="13">
        <f>N92*VLOOKUP('Données projet'!$B$9,Paramètres!$A$1:$I$89,3,0)*VLOOKUP('Données projet'!$B$9,Paramètres!$A$1:$I$89,5,0)</f>
        <v>356.08299999999991</v>
      </c>
      <c r="P92" s="13">
        <f t="shared" si="87"/>
        <v>82.813805255716545</v>
      </c>
      <c r="Q92" s="20">
        <f t="shared" si="54"/>
        <v>764.41193582037283</v>
      </c>
      <c r="R92" s="59">
        <f t="shared" si="55"/>
        <v>1057.7452691537062</v>
      </c>
      <c r="S92" s="59">
        <f ca="1">AVERAGE(OFFSET($R$3,0,0,'Données projet'!$E$9+1,1))-AVERAGE(OFFSET($H$3,0,0,'Données projet'!$E$9+1,1))</f>
        <v>382.55387448074327</v>
      </c>
      <c r="T92" s="59">
        <f t="shared" si="88"/>
        <v>476.29465646955543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55.030797090055302</v>
      </c>
      <c r="AA92" s="21">
        <f>EXP(-LN(2)/25)*AA91+(1-EXP(-LN(2)/25))/(LN(2)/25)*Calculateur!V92*Calculateur!X92*VLOOKUP('Données projet'!$B$9,Paramètres!$A$1:$I$89,3,0)*0.475*44/12</f>
        <v>7.9932227897940207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63.02401987984932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425.99999999999983</v>
      </c>
      <c r="AJ92" s="13">
        <f>AI92*VLOOKUP('Données projet'!$B$10,Paramètres!$A$1:$I$89,3,0)*VLOOKUP('Données projet'!$B$10,Paramètres!$A$1:$I$89,5,0)</f>
        <v>232.59599999999992</v>
      </c>
      <c r="AK92" s="13">
        <f t="shared" si="89"/>
        <v>56.843630236302218</v>
      </c>
      <c r="AL92" s="20">
        <f t="shared" si="58"/>
        <v>504.10735599489294</v>
      </c>
      <c r="AM92" s="59">
        <f t="shared" si="59"/>
        <v>797.4406893282262</v>
      </c>
      <c r="AN92" s="59">
        <f ca="1">AVERAGE(OFFSET($AM$3,0,0,'Données projet'!$E$10+1,1))-AVERAGE(OFFSET($H$3,0,0,'Données projet'!$E$10+1,1))</f>
        <v>417.99456559608217</v>
      </c>
      <c r="AO92" s="59">
        <f t="shared" si="90"/>
        <v>651.41353014863932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177.21650040597831</v>
      </c>
      <c r="AV92" s="21">
        <f>EXP(-LN(2)/25)*AV91+(1-EXP(-LN(2)/25))/(LN(2)/25)*Calculateur!AQ92*Calculateur!AS92*VLOOKUP('Données projet'!$B$10,Paramètres!$A$1:$I$89,3,0)*0.475*44/12</f>
        <v>9.0221881417950662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186.23868854777336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2.8</v>
      </c>
      <c r="BD92" s="12">
        <f>IF('Données projet'!$A$88&gt;35,BD91+BC92-BL91,IF(A92&lt;'Données projet'!$A$88,$BA$205^A92,IF(A92='Données projet'!$A$88,'Données projet'!$B$88,BD91+BC92-BL91)))</f>
        <v>233.20000000000002</v>
      </c>
      <c r="BE92" s="13">
        <f>BD92*VLOOKUP('Données projet'!$B$11,Paramètres!$A$1:$I$89,3,0)*VLOOKUP('Données projet'!$B$11,Paramètres!$A$1:$I$89,5,0)</f>
        <v>203.72352000000004</v>
      </c>
      <c r="BF92" s="13">
        <f t="shared" si="91"/>
        <v>50.561604122231515</v>
      </c>
      <c r="BG92" s="20">
        <f t="shared" si="61"/>
        <v>442.87992451288659</v>
      </c>
      <c r="BH92" s="59">
        <f t="shared" si="62"/>
        <v>736.2132578462199</v>
      </c>
      <c r="BI92" s="59">
        <f ca="1">AVERAGE(OFFSET($BH$3,0,0,'Données projet'!$E$11+1,1))-AVERAGE(OFFSET($H$3,0,0,'Données projet'!$E$11+1,1))</f>
        <v>247.61330734992077</v>
      </c>
      <c r="BJ92" s="59">
        <f t="shared" si="92"/>
        <v>278.55937893537259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55.370052236432876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0</v>
      </c>
      <c r="BS92" s="22">
        <f t="shared" si="63"/>
        <v>55.370052236432876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43.290000000000092</v>
      </c>
      <c r="D93" s="11">
        <f t="shared" si="86"/>
        <v>12.866609953844367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433.48962069634325</v>
      </c>
      <c r="H93" s="66">
        <f t="shared" si="56"/>
        <v>391.13942900294575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636.99999999999977</v>
      </c>
      <c r="O93" s="13">
        <f>N93*VLOOKUP('Données projet'!$B$9,Paramètres!$A$1:$I$89,3,0)*VLOOKUP('Données projet'!$B$9,Paramètres!$A$1:$I$89,5,0)</f>
        <v>356.08299999999991</v>
      </c>
      <c r="P93" s="13">
        <f t="shared" si="87"/>
        <v>82.813805255716545</v>
      </c>
      <c r="Q93" s="20">
        <f t="shared" si="54"/>
        <v>764.41193582037283</v>
      </c>
      <c r="R93" s="59">
        <f t="shared" si="55"/>
        <v>1057.7452691537062</v>
      </c>
      <c r="S93" s="59">
        <f ca="1">AVERAGE(OFFSET($R$3,0,0,'Données projet'!$E$9+1,1))-AVERAGE(OFFSET($H$3,0,0,'Données projet'!$E$9+1,1))</f>
        <v>382.55387448074327</v>
      </c>
      <c r="T93" s="59">
        <f t="shared" si="88"/>
        <v>476.29465646955543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53.951676724591231</v>
      </c>
      <c r="AA93" s="21">
        <f>EXP(-LN(2)/25)*AA92+(1-EXP(-LN(2)/25))/(LN(2)/25)*Calculateur!V93*Calculateur!X93*VLOOKUP('Données projet'!$B$9,Paramètres!$A$1:$I$89,3,0)*0.475*44/12</f>
        <v>7.7746476922617855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61.726324416853018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425.99999999999983</v>
      </c>
      <c r="AJ93" s="13">
        <f>AI93*VLOOKUP('Données projet'!$B$10,Paramètres!$A$1:$I$89,3,0)*VLOOKUP('Données projet'!$B$10,Paramètres!$A$1:$I$89,5,0)</f>
        <v>232.59599999999992</v>
      </c>
      <c r="AK93" s="13">
        <f t="shared" si="89"/>
        <v>56.843630236302218</v>
      </c>
      <c r="AL93" s="20">
        <f t="shared" si="58"/>
        <v>504.10735599489294</v>
      </c>
      <c r="AM93" s="59">
        <f t="shared" si="59"/>
        <v>797.4406893282262</v>
      </c>
      <c r="AN93" s="59">
        <f ca="1">AVERAGE(OFFSET($AM$3,0,0,'Données projet'!$E$10+1,1))-AVERAGE(OFFSET($H$3,0,0,'Données projet'!$E$10+1,1))</f>
        <v>417.99456559608217</v>
      </c>
      <c r="AO93" s="59">
        <f t="shared" si="90"/>
        <v>651.41353014863932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173.74139292440918</v>
      </c>
      <c r="AV93" s="21">
        <f>EXP(-LN(2)/25)*AV92+(1-EXP(-LN(2)/25))/(LN(2)/25)*Calculateur!AQ93*Calculateur!AS93*VLOOKUP('Données projet'!$B$10,Paramètres!$A$1:$I$89,3,0)*0.475*44/12</f>
        <v>8.7754759326014256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182.51686885701062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>
        <f>VLOOKUP(A93,'Données projet'!$A$87:$I$107,2,0)</f>
        <v>236</v>
      </c>
      <c r="BB93" s="12">
        <f>VLOOKUP(A93,'Données projet'!$A$87:$I$107,9,0)</f>
        <v>2.8</v>
      </c>
      <c r="BC93" s="12">
        <f t="array" ref="BC93">INDEX(BB:BB,MIN(IF(ISNUMBER(BB93:BB289),ROW(BB93:BB289),"")))</f>
        <v>2.8</v>
      </c>
      <c r="BD93" s="12">
        <f>IF('Données projet'!$A$88&gt;35,BD92+BC93-BL92,IF(A93&lt;'Données projet'!$A$88,$BA$205^A93,IF(A93='Données projet'!$A$88,'Données projet'!$B$88,BD92+BC93-BL92)))</f>
        <v>236.00000000000003</v>
      </c>
      <c r="BE93" s="13">
        <f>BD93*VLOOKUP('Données projet'!$B$11,Paramètres!$A$1:$I$89,3,0)*VLOOKUP('Données projet'!$B$11,Paramètres!$A$1:$I$89,5,0)</f>
        <v>206.16960000000006</v>
      </c>
      <c r="BF93" s="13">
        <f t="shared" si="91"/>
        <v>51.097652263007333</v>
      </c>
      <c r="BG93" s="20">
        <f t="shared" si="61"/>
        <v>448.07379769140448</v>
      </c>
      <c r="BH93" s="59">
        <f t="shared" si="62"/>
        <v>741.40713102473774</v>
      </c>
      <c r="BI93" s="59">
        <f ca="1">AVERAGE(OFFSET($BH$3,0,0,'Données projet'!$E$11+1,1))-AVERAGE(OFFSET($H$3,0,0,'Données projet'!$E$11+1,1))</f>
        <v>247.61330734992077</v>
      </c>
      <c r="BJ93" s="59">
        <f t="shared" si="92"/>
        <v>278.55937893537259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54.284279284473541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0</v>
      </c>
      <c r="BS93" s="22">
        <f t="shared" si="63"/>
        <v>54.284279284473541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43.771000000000093</v>
      </c>
      <c r="D94" s="11">
        <f t="shared" si="86"/>
        <v>12.992850119002412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438.1770886379141</v>
      </c>
      <c r="H94" s="66">
        <f t="shared" si="56"/>
        <v>392.19703895726269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636.99999999999977</v>
      </c>
      <c r="O94" s="13">
        <f>N94*VLOOKUP('Données projet'!$B$9,Paramètres!$A$1:$I$89,3,0)*VLOOKUP('Données projet'!$B$9,Paramètres!$A$1:$I$89,5,0)</f>
        <v>356.08299999999991</v>
      </c>
      <c r="P94" s="13">
        <f t="shared" si="87"/>
        <v>82.813805255716545</v>
      </c>
      <c r="Q94" s="20">
        <f t="shared" si="54"/>
        <v>764.41193582037283</v>
      </c>
      <c r="R94" s="59">
        <f t="shared" si="55"/>
        <v>1057.7452691537062</v>
      </c>
      <c r="S94" s="59">
        <f ca="1">AVERAGE(OFFSET($R$3,0,0,'Données projet'!$E$9+1,1))-AVERAGE(OFFSET($H$3,0,0,'Données projet'!$E$9+1,1))</f>
        <v>382.55387448074327</v>
      </c>
      <c r="T94" s="59">
        <f t="shared" si="88"/>
        <v>476.29465646955543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52.893717251295477</v>
      </c>
      <c r="AA94" s="21">
        <f>EXP(-LN(2)/25)*AA93+(1-EXP(-LN(2)/25))/(LN(2)/25)*Calculateur!V94*Calculateur!X94*VLOOKUP('Données projet'!$B$9,Paramètres!$A$1:$I$89,3,0)*0.475*44/12</f>
        <v>7.5620495422659344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60.455766793561409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425.99999999999983</v>
      </c>
      <c r="AJ94" s="13">
        <f>AI94*VLOOKUP('Données projet'!$B$10,Paramètres!$A$1:$I$89,3,0)*VLOOKUP('Données projet'!$B$10,Paramètres!$A$1:$I$89,5,0)</f>
        <v>232.59599999999992</v>
      </c>
      <c r="AK94" s="13">
        <f t="shared" si="89"/>
        <v>56.843630236302218</v>
      </c>
      <c r="AL94" s="20">
        <f t="shared" si="58"/>
        <v>504.10735599489294</v>
      </c>
      <c r="AM94" s="59">
        <f t="shared" si="59"/>
        <v>797.4406893282262</v>
      </c>
      <c r="AN94" s="59">
        <f ca="1">AVERAGE(OFFSET($AM$3,0,0,'Données projet'!$E$10+1,1))-AVERAGE(OFFSET($H$3,0,0,'Données projet'!$E$10+1,1))</f>
        <v>417.99456559608217</v>
      </c>
      <c r="AO94" s="59">
        <f t="shared" si="90"/>
        <v>651.41353014863932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170.33443018094735</v>
      </c>
      <c r="AV94" s="21">
        <f>EXP(-LN(2)/25)*AV93+(1-EXP(-LN(2)/25))/(LN(2)/25)*Calculateur!AQ94*Calculateur!AS94*VLOOKUP('Données projet'!$B$10,Paramètres!$A$1:$I$89,3,0)*0.475*44/12</f>
        <v>8.5355100817422169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178.86994026268957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236.00000000000003</v>
      </c>
      <c r="BE94" s="13">
        <f>BD94*VLOOKUP('Données projet'!$B$11,Paramètres!$A$1:$I$89,3,0)*VLOOKUP('Données projet'!$B$11,Paramètres!$A$1:$I$89,5,0)</f>
        <v>206.16960000000006</v>
      </c>
      <c r="BF94" s="13">
        <f t="shared" si="91"/>
        <v>51.097652263007333</v>
      </c>
      <c r="BG94" s="20">
        <f t="shared" si="61"/>
        <v>448.07379769140448</v>
      </c>
      <c r="BH94" s="59">
        <f t="shared" si="62"/>
        <v>741.40713102473774</v>
      </c>
      <c r="BI94" s="59">
        <f ca="1">AVERAGE(OFFSET($BH$3,0,0,'Données projet'!$E$11+1,1))-AVERAGE(OFFSET($H$3,0,0,'Données projet'!$E$11+1,1))</f>
        <v>247.61330734992077</v>
      </c>
      <c r="BJ94" s="59">
        <f t="shared" si="92"/>
        <v>278.55937893537259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53.219797677846024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0</v>
      </c>
      <c r="BS94" s="22">
        <f t="shared" si="63"/>
        <v>53.219797677846024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44.252000000000095</v>
      </c>
      <c r="D95" s="11">
        <f t="shared" si="86"/>
        <v>13.118928907524481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442.86331086510199</v>
      </c>
      <c r="H95" s="66">
        <f t="shared" si="56"/>
        <v>393.25436784727196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636.99999999999977</v>
      </c>
      <c r="O95" s="13">
        <f>N95*VLOOKUP('Données projet'!$B$9,Paramètres!$A$1:$I$89,3,0)*VLOOKUP('Données projet'!$B$9,Paramètres!$A$1:$I$89,5,0)</f>
        <v>356.08299999999991</v>
      </c>
      <c r="P95" s="13">
        <f t="shared" si="87"/>
        <v>82.813805255716545</v>
      </c>
      <c r="Q95" s="20">
        <f t="shared" si="54"/>
        <v>764.41193582037283</v>
      </c>
      <c r="R95" s="59">
        <f t="shared" si="55"/>
        <v>1057.7452691537062</v>
      </c>
      <c r="S95" s="59">
        <f ca="1">AVERAGE(OFFSET($R$3,0,0,'Données projet'!$E$9+1,1))-AVERAGE(OFFSET($H$3,0,0,'Données projet'!$E$9+1,1))</f>
        <v>382.55387448074327</v>
      </c>
      <c r="T95" s="59">
        <f t="shared" si="88"/>
        <v>476.29465646955543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51.856503717979493</v>
      </c>
      <c r="AA95" s="21">
        <f>EXP(-LN(2)/25)*AA94+(1-EXP(-LN(2)/25))/(LN(2)/25)*Calculateur!V95*Calculateur!X95*VLOOKUP('Données projet'!$B$9,Paramètres!$A$1:$I$89,3,0)*0.475*44/12</f>
        <v>7.35526489986177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59.211768617841265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425.99999999999983</v>
      </c>
      <c r="AJ95" s="13">
        <f>AI95*VLOOKUP('Données projet'!$B$10,Paramètres!$A$1:$I$89,3,0)*VLOOKUP('Données projet'!$B$10,Paramètres!$A$1:$I$89,5,0)</f>
        <v>232.59599999999992</v>
      </c>
      <c r="AK95" s="13">
        <f t="shared" si="89"/>
        <v>56.843630236302218</v>
      </c>
      <c r="AL95" s="20">
        <f t="shared" si="58"/>
        <v>504.10735599489294</v>
      </c>
      <c r="AM95" s="59">
        <f t="shared" si="59"/>
        <v>797.4406893282262</v>
      </c>
      <c r="AN95" s="59">
        <f ca="1">AVERAGE(OFFSET($AM$3,0,0,'Données projet'!$E$10+1,1))-AVERAGE(OFFSET($H$3,0,0,'Données projet'!$E$10+1,1))</f>
        <v>417.99456559608217</v>
      </c>
      <c r="AO95" s="59">
        <f t="shared" si="90"/>
        <v>651.41353014863932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166.99427589884272</v>
      </c>
      <c r="AV95" s="21">
        <f>EXP(-LN(2)/25)*AV94+(1-EXP(-LN(2)/25))/(LN(2)/25)*Calculateur!AQ95*Calculateur!AS95*VLOOKUP('Données projet'!$B$10,Paramètres!$A$1:$I$89,3,0)*0.475*44/12</f>
        <v>8.3021061096940088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175.29638200853674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236.00000000000003</v>
      </c>
      <c r="BE95" s="13">
        <f>BD95*VLOOKUP('Données projet'!$B$11,Paramètres!$A$1:$I$89,3,0)*VLOOKUP('Données projet'!$B$11,Paramètres!$A$1:$I$89,5,0)</f>
        <v>206.16960000000006</v>
      </c>
      <c r="BF95" s="13">
        <f t="shared" si="91"/>
        <v>51.097652263007333</v>
      </c>
      <c r="BG95" s="20">
        <f t="shared" si="61"/>
        <v>448.07379769140448</v>
      </c>
      <c r="BH95" s="59">
        <f t="shared" si="62"/>
        <v>741.40713102473774</v>
      </c>
      <c r="BI95" s="59">
        <f ca="1">AVERAGE(OFFSET($BH$3,0,0,'Données projet'!$E$11+1,1))-AVERAGE(OFFSET($H$3,0,0,'Données projet'!$E$11+1,1))</f>
        <v>247.61330734992077</v>
      </c>
      <c r="BJ95" s="59">
        <f t="shared" si="92"/>
        <v>278.55937893537259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52.176189906254805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0</v>
      </c>
      <c r="BS95" s="22">
        <f t="shared" si="63"/>
        <v>52.176189906254805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44.733000000000096</v>
      </c>
      <c r="D96" s="11">
        <f t="shared" si="86"/>
        <v>13.244848276520115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447.54830248541924</v>
      </c>
      <c r="H96" s="66">
        <f t="shared" si="56"/>
        <v>394.311419081606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636.99999999999977</v>
      </c>
      <c r="O96" s="13">
        <f>N96*VLOOKUP('Données projet'!$B$9,Paramètres!$A$1:$I$89,3,0)*VLOOKUP('Données projet'!$B$9,Paramètres!$A$1:$I$89,5,0)</f>
        <v>356.08299999999991</v>
      </c>
      <c r="P96" s="13">
        <f t="shared" si="87"/>
        <v>82.813805255716545</v>
      </c>
      <c r="Q96" s="20">
        <f t="shared" si="54"/>
        <v>764.41193582037283</v>
      </c>
      <c r="R96" s="59">
        <f t="shared" si="55"/>
        <v>1057.7452691537062</v>
      </c>
      <c r="S96" s="59">
        <f ca="1">AVERAGE(OFFSET($R$3,0,0,'Données projet'!$E$9+1,1))-AVERAGE(OFFSET($H$3,0,0,'Données projet'!$E$9+1,1))</f>
        <v>382.55387448074327</v>
      </c>
      <c r="T96" s="59">
        <f t="shared" si="88"/>
        <v>476.29465646955543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50.839629309414043</v>
      </c>
      <c r="AA96" s="21">
        <f>EXP(-LN(2)/25)*AA95+(1-EXP(-LN(2)/25))/(LN(2)/25)*Calculateur!V96*Calculateur!X96*VLOOKUP('Données projet'!$B$9,Paramètres!$A$1:$I$89,3,0)*0.475*44/12</f>
        <v>7.1541347943784794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57.993764103792522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425.99999999999983</v>
      </c>
      <c r="AJ96" s="13">
        <f>AI96*VLOOKUP('Données projet'!$B$10,Paramètres!$A$1:$I$89,3,0)*VLOOKUP('Données projet'!$B$10,Paramètres!$A$1:$I$89,5,0)</f>
        <v>232.59599999999992</v>
      </c>
      <c r="AK96" s="13">
        <f t="shared" si="89"/>
        <v>56.843630236302218</v>
      </c>
      <c r="AL96" s="20">
        <f t="shared" si="58"/>
        <v>504.10735599489294</v>
      </c>
      <c r="AM96" s="59">
        <f t="shared" si="59"/>
        <v>797.4406893282262</v>
      </c>
      <c r="AN96" s="59">
        <f ca="1">AVERAGE(OFFSET($AM$3,0,0,'Données projet'!$E$10+1,1))-AVERAGE(OFFSET($H$3,0,0,'Données projet'!$E$10+1,1))</f>
        <v>417.99456559608217</v>
      </c>
      <c r="AO96" s="59">
        <f t="shared" si="90"/>
        <v>651.41353014863932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163.71962000491723</v>
      </c>
      <c r="AV96" s="21">
        <f>EXP(-LN(2)/25)*AV95+(1-EXP(-LN(2)/25))/(LN(2)/25)*Calculateur!AQ96*Calculateur!AS96*VLOOKUP('Données projet'!$B$10,Paramètres!$A$1:$I$89,3,0)*0.475*44/12</f>
        <v>8.0750845815356413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171.79470458645287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236.00000000000003</v>
      </c>
      <c r="BE96" s="13">
        <f>BD96*VLOOKUP('Données projet'!$B$11,Paramètres!$A$1:$I$89,3,0)*VLOOKUP('Données projet'!$B$11,Paramètres!$A$1:$I$89,5,0)</f>
        <v>206.16960000000006</v>
      </c>
      <c r="BF96" s="13">
        <f t="shared" si="91"/>
        <v>51.097652263007333</v>
      </c>
      <c r="BG96" s="20">
        <f t="shared" si="61"/>
        <v>448.07379769140448</v>
      </c>
      <c r="BH96" s="59">
        <f t="shared" si="62"/>
        <v>741.40713102473774</v>
      </c>
      <c r="BI96" s="59">
        <f ca="1">AVERAGE(OFFSET($BH$3,0,0,'Données projet'!$E$11+1,1))-AVERAGE(OFFSET($H$3,0,0,'Données projet'!$E$11+1,1))</f>
        <v>247.61330734992077</v>
      </c>
      <c r="BJ96" s="59">
        <f t="shared" si="92"/>
        <v>278.55937893537259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51.153046646526597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0</v>
      </c>
      <c r="BS96" s="22">
        <f t="shared" si="63"/>
        <v>51.153046646526597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45.214000000000098</v>
      </c>
      <c r="D97" s="11">
        <f t="shared" si="86"/>
        <v>13.37061013858626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452.23207826277189</v>
      </c>
      <c r="H97" s="66">
        <f t="shared" si="56"/>
        <v>395.36819599137124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636.99999999999977</v>
      </c>
      <c r="O97" s="13">
        <f>N97*VLOOKUP('Données projet'!$B$9,Paramètres!$A$1:$I$89,3,0)*VLOOKUP('Données projet'!$B$9,Paramètres!$A$1:$I$89,5,0)</f>
        <v>356.08299999999991</v>
      </c>
      <c r="P97" s="13">
        <f t="shared" si="87"/>
        <v>82.813805255716545</v>
      </c>
      <c r="Q97" s="20">
        <f t="shared" si="54"/>
        <v>764.41193582037283</v>
      </c>
      <c r="R97" s="59">
        <f t="shared" si="55"/>
        <v>1057.7452691537062</v>
      </c>
      <c r="S97" s="59">
        <f ca="1">AVERAGE(OFFSET($R$3,0,0,'Données projet'!$E$9+1,1))-AVERAGE(OFFSET($H$3,0,0,'Données projet'!$E$9+1,1))</f>
        <v>382.55387448074327</v>
      </c>
      <c r="T97" s="59">
        <f t="shared" si="88"/>
        <v>476.29465646955543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49.84269518776842</v>
      </c>
      <c r="AA97" s="21">
        <f>EXP(-LN(2)/25)*AA96+(1-EXP(-LN(2)/25))/(LN(2)/25)*Calculateur!V97*Calculateur!X97*VLOOKUP('Données projet'!$B$9,Paramètres!$A$1:$I$89,3,0)*0.475*44/12</f>
        <v>6.9585046022066024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56.801199789975023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425.99999999999983</v>
      </c>
      <c r="AJ97" s="13">
        <f>AI97*VLOOKUP('Données projet'!$B$10,Paramètres!$A$1:$I$89,3,0)*VLOOKUP('Données projet'!$B$10,Paramètres!$A$1:$I$89,5,0)</f>
        <v>232.59599999999992</v>
      </c>
      <c r="AK97" s="13">
        <f t="shared" si="89"/>
        <v>56.843630236302218</v>
      </c>
      <c r="AL97" s="20">
        <f t="shared" si="58"/>
        <v>504.10735599489294</v>
      </c>
      <c r="AM97" s="59">
        <f t="shared" si="59"/>
        <v>797.4406893282262</v>
      </c>
      <c r="AN97" s="59">
        <f ca="1">AVERAGE(OFFSET($AM$3,0,0,'Données projet'!$E$10+1,1))-AVERAGE(OFFSET($H$3,0,0,'Données projet'!$E$10+1,1))</f>
        <v>417.99456559608217</v>
      </c>
      <c r="AO97" s="59">
        <f t="shared" si="90"/>
        <v>651.41353014863932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160.50917811572873</v>
      </c>
      <c r="AV97" s="21">
        <f>EXP(-LN(2)/25)*AV96+(1-EXP(-LN(2)/25))/(LN(2)/25)*Calculateur!AQ97*Calculateur!AS97*VLOOKUP('Données projet'!$B$10,Paramètres!$A$1:$I$89,3,0)*0.475*44/12</f>
        <v>7.8542709690033066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168.36344908473203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236.00000000000003</v>
      </c>
      <c r="BE97" s="13">
        <f>BD97*VLOOKUP('Données projet'!$B$11,Paramètres!$A$1:$I$89,3,0)*VLOOKUP('Données projet'!$B$11,Paramètres!$A$1:$I$89,5,0)</f>
        <v>206.16960000000006</v>
      </c>
      <c r="BF97" s="13">
        <f t="shared" si="91"/>
        <v>51.097652263007333</v>
      </c>
      <c r="BG97" s="20">
        <f t="shared" si="61"/>
        <v>448.07379769140448</v>
      </c>
      <c r="BH97" s="59">
        <f t="shared" si="62"/>
        <v>741.40713102473774</v>
      </c>
      <c r="BI97" s="59">
        <f ca="1">AVERAGE(OFFSET($BH$3,0,0,'Données projet'!$E$11+1,1))-AVERAGE(OFFSET($H$3,0,0,'Données projet'!$E$11+1,1))</f>
        <v>247.61330734992077</v>
      </c>
      <c r="BJ97" s="59">
        <f t="shared" si="92"/>
        <v>278.55937893537259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50.149966602065895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0</v>
      </c>
      <c r="BS97" s="22">
        <f t="shared" si="63"/>
        <v>50.149966602065895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45.6950000000001</v>
      </c>
      <c r="D98" s="11">
        <f t="shared" si="86"/>
        <v>13.49621636328218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456.91465262884572</v>
      </c>
      <c r="H98" s="66">
        <f t="shared" si="56"/>
        <v>396.42470183271661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636.99999999999977</v>
      </c>
      <c r="O98" s="13">
        <f>N98*VLOOKUP('Données projet'!$B$9,Paramètres!$A$1:$I$89,3,0)*VLOOKUP('Données projet'!$B$9,Paramètres!$A$1:$I$89,5,0)</f>
        <v>356.08299999999991</v>
      </c>
      <c r="P98" s="13">
        <f t="shared" si="87"/>
        <v>82.813805255716545</v>
      </c>
      <c r="Q98" s="20">
        <f t="shared" si="54"/>
        <v>764.41193582037283</v>
      </c>
      <c r="R98" s="59">
        <f t="shared" si="55"/>
        <v>1057.7452691537062</v>
      </c>
      <c r="S98" s="59">
        <f ca="1">AVERAGE(OFFSET($R$3,0,0,'Données projet'!$E$9+1,1))-AVERAGE(OFFSET($H$3,0,0,'Données projet'!$E$9+1,1))</f>
        <v>382.55387448074327</v>
      </c>
      <c r="T98" s="59">
        <f t="shared" si="88"/>
        <v>476.29465646955543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48.865310336178496</v>
      </c>
      <c r="AA98" s="21">
        <f>EXP(-LN(2)/25)*AA97+(1-EXP(-LN(2)/25))/(LN(2)/25)*Calculateur!V98*Calculateur!X98*VLOOKUP('Données projet'!$B$9,Paramètres!$A$1:$I$89,3,0)*0.475*44/12</f>
        <v>6.7682239279274095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55.633534264105904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425.99999999999983</v>
      </c>
      <c r="AJ98" s="13">
        <f>AI98*VLOOKUP('Données projet'!$B$10,Paramètres!$A$1:$I$89,3,0)*VLOOKUP('Données projet'!$B$10,Paramètres!$A$1:$I$89,5,0)</f>
        <v>232.59599999999992</v>
      </c>
      <c r="AK98" s="13">
        <f t="shared" si="89"/>
        <v>56.843630236302218</v>
      </c>
      <c r="AL98" s="20">
        <f t="shared" si="58"/>
        <v>504.10735599489294</v>
      </c>
      <c r="AM98" s="59">
        <f t="shared" si="59"/>
        <v>797.4406893282262</v>
      </c>
      <c r="AN98" s="59">
        <f ca="1">AVERAGE(OFFSET($AM$3,0,0,'Données projet'!$E$10+1,1))-AVERAGE(OFFSET($H$3,0,0,'Données projet'!$E$10+1,1))</f>
        <v>417.99456559608217</v>
      </c>
      <c r="AO98" s="59">
        <f t="shared" si="90"/>
        <v>651.41353014863932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157.36169103381101</v>
      </c>
      <c r="AV98" s="21">
        <f>EXP(-LN(2)/25)*AV97+(1-EXP(-LN(2)/25))/(LN(2)/25)*Calculateur!AQ98*Calculateur!AS98*VLOOKUP('Données projet'!$B$10,Paramètres!$A$1:$I$89,3,0)*0.475*44/12</f>
        <v>7.6394955163177523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165.00118655012878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236.00000000000003</v>
      </c>
      <c r="BE98" s="13">
        <f>BD98*VLOOKUP('Données projet'!$B$11,Paramètres!$A$1:$I$89,3,0)*VLOOKUP('Données projet'!$B$11,Paramètres!$A$1:$I$89,5,0)</f>
        <v>206.16960000000006</v>
      </c>
      <c r="BF98" s="13">
        <f t="shared" si="91"/>
        <v>51.097652263007333</v>
      </c>
      <c r="BG98" s="20">
        <f t="shared" si="61"/>
        <v>448.07379769140448</v>
      </c>
      <c r="BH98" s="59">
        <f t="shared" si="62"/>
        <v>741.40713102473774</v>
      </c>
      <c r="BI98" s="59">
        <f ca="1">AVERAGE(OFFSET($BH$3,0,0,'Données projet'!$E$11+1,1))-AVERAGE(OFFSET($H$3,0,0,'Données projet'!$E$11+1,1))</f>
        <v>247.61330734992077</v>
      </c>
      <c r="BJ98" s="59">
        <f t="shared" si="92"/>
        <v>278.55937893537259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49.166556345458652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0</v>
      </c>
      <c r="BS98" s="22">
        <f t="shared" si="63"/>
        <v>49.166556345458652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46.176000000000101</v>
      </c>
      <c r="D99" s="11">
        <f t="shared" si="86"/>
        <v>13.621668778540512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461.59603969399774</v>
      </c>
      <c r="H99" s="66">
        <f t="shared" si="56"/>
        <v>397.48093978929154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636.99999999999977</v>
      </c>
      <c r="O99" s="13">
        <f>N99*VLOOKUP('Données projet'!$B$9,Paramètres!$A$1:$I$89,3,0)*VLOOKUP('Données projet'!$B$9,Paramètres!$A$1:$I$89,5,0)</f>
        <v>356.08299999999991</v>
      </c>
      <c r="P99" s="13">
        <f t="shared" si="87"/>
        <v>82.813805255716545</v>
      </c>
      <c r="Q99" s="20">
        <f t="shared" ref="Q99:Q130" si="107">(O99+P99)*0.475*44/12</f>
        <v>764.41193582037283</v>
      </c>
      <c r="R99" s="59">
        <f t="shared" si="55"/>
        <v>1057.7452691537062</v>
      </c>
      <c r="S99" s="59">
        <f ca="1">AVERAGE(OFFSET($R$3,0,0,'Données projet'!$E$9+1,1))-AVERAGE(OFFSET($H$3,0,0,'Données projet'!$E$9+1,1))</f>
        <v>382.55387448074327</v>
      </c>
      <c r="T99" s="59">
        <f t="shared" si="88"/>
        <v>476.29465646955543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47.907091405382353</v>
      </c>
      <c r="AA99" s="21">
        <f>EXP(-LN(2)/25)*AA98+(1-EXP(-LN(2)/25))/(LN(2)/25)*Calculateur!V99*Calculateur!X99*VLOOKUP('Données projet'!$B$9,Paramètres!$A$1:$I$89,3,0)*0.475*44/12</f>
        <v>6.5831464886928073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54.490237894075157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425.99999999999983</v>
      </c>
      <c r="AJ99" s="13">
        <f>AI99*VLOOKUP('Données projet'!$B$10,Paramètres!$A$1:$I$89,3,0)*VLOOKUP('Données projet'!$B$10,Paramètres!$A$1:$I$89,5,0)</f>
        <v>232.59599999999992</v>
      </c>
      <c r="AK99" s="13">
        <f t="shared" si="89"/>
        <v>56.843630236302218</v>
      </c>
      <c r="AL99" s="20">
        <f t="shared" si="58"/>
        <v>504.10735599489294</v>
      </c>
      <c r="AM99" s="59">
        <f t="shared" si="59"/>
        <v>797.4406893282262</v>
      </c>
      <c r="AN99" s="59">
        <f ca="1">AVERAGE(OFFSET($AM$3,0,0,'Données projet'!$E$10+1,1))-AVERAGE(OFFSET($H$3,0,0,'Données projet'!$E$10+1,1))</f>
        <v>417.99456559608217</v>
      </c>
      <c r="AO99" s="59">
        <f t="shared" si="90"/>
        <v>651.41353014863932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154.27592425379217</v>
      </c>
      <c r="AV99" s="21">
        <f>EXP(-LN(2)/25)*AV98+(1-EXP(-LN(2)/25))/(LN(2)/25)*Calculateur!AQ99*Calculateur!AS99*VLOOKUP('Données projet'!$B$10,Paramètres!$A$1:$I$89,3,0)*0.475*44/12</f>
        <v>7.4305931096804345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161.70651736347261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236.00000000000003</v>
      </c>
      <c r="BE99" s="13">
        <f>BD99*VLOOKUP('Données projet'!$B$11,Paramètres!$A$1:$I$89,3,0)*VLOOKUP('Données projet'!$B$11,Paramètres!$A$1:$I$89,5,0)</f>
        <v>206.16960000000006</v>
      </c>
      <c r="BF99" s="13">
        <f t="shared" si="91"/>
        <v>51.097652263007333</v>
      </c>
      <c r="BG99" s="20">
        <f t="shared" si="61"/>
        <v>448.07379769140448</v>
      </c>
      <c r="BH99" s="59">
        <f t="shared" si="62"/>
        <v>741.40713102473774</v>
      </c>
      <c r="BI99" s="59">
        <f ca="1">AVERAGE(OFFSET($BH$3,0,0,'Données projet'!$E$11+1,1))-AVERAGE(OFFSET($H$3,0,0,'Données projet'!$E$11+1,1))</f>
        <v>247.61330734992077</v>
      </c>
      <c r="BJ99" s="59">
        <f t="shared" si="92"/>
        <v>278.55937893537259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48.202430164162443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0</v>
      </c>
      <c r="BS99" s="22">
        <f t="shared" si="63"/>
        <v>48.202430164162443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46.657000000000103</v>
      </c>
      <c r="D100" s="11">
        <f t="shared" si="86"/>
        <v>13.746969172017856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466.27625325768253</v>
      </c>
      <c r="H100" s="66">
        <f t="shared" si="56"/>
        <v>398.5369129745979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636.99999999999977</v>
      </c>
      <c r="O100" s="13">
        <f>N100*VLOOKUP('Données projet'!$B$9,Paramètres!$A$1:$I$89,3,0)*VLOOKUP('Données projet'!$B$9,Paramètres!$A$1:$I$89,5,0)</f>
        <v>356.08299999999991</v>
      </c>
      <c r="P100" s="13">
        <f t="shared" si="87"/>
        <v>82.813805255716545</v>
      </c>
      <c r="Q100" s="20">
        <f t="shared" si="107"/>
        <v>764.41193582037283</v>
      </c>
      <c r="R100" s="59">
        <f t="shared" si="55"/>
        <v>1057.7452691537062</v>
      </c>
      <c r="S100" s="59">
        <f ca="1">AVERAGE(OFFSET($R$3,0,0,'Données projet'!$E$9+1,1))-AVERAGE(OFFSET($H$3,0,0,'Données projet'!$E$9+1,1))</f>
        <v>382.55387448074327</v>
      </c>
      <c r="T100" s="59">
        <f t="shared" si="88"/>
        <v>476.29465646955543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46.967662563363284</v>
      </c>
      <c r="AA100" s="21">
        <f>EXP(-LN(2)/25)*AA99+(1-EXP(-LN(2)/25))/(LN(2)/25)*Calculateur!V100*Calculateur!X100*VLOOKUP('Données projet'!$B$9,Paramètres!$A$1:$I$89,3,0)*0.475*44/12</f>
        <v>6.4031300017668746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53.370792565130159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425.99999999999983</v>
      </c>
      <c r="AJ100" s="13">
        <f>AI100*VLOOKUP('Données projet'!$B$10,Paramètres!$A$1:$I$89,3,0)*VLOOKUP('Données projet'!$B$10,Paramètres!$A$1:$I$89,5,0)</f>
        <v>232.59599999999992</v>
      </c>
      <c r="AK100" s="13">
        <f t="shared" si="89"/>
        <v>56.843630236302218</v>
      </c>
      <c r="AL100" s="20">
        <f t="shared" si="58"/>
        <v>504.10735599489294</v>
      </c>
      <c r="AM100" s="59">
        <f t="shared" si="59"/>
        <v>797.4406893282262</v>
      </c>
      <c r="AN100" s="59">
        <f ca="1">AVERAGE(OFFSET($AM$3,0,0,'Données projet'!$E$10+1,1))-AVERAGE(OFFSET($H$3,0,0,'Données projet'!$E$10+1,1))</f>
        <v>417.99456559608217</v>
      </c>
      <c r="AO100" s="59">
        <f t="shared" si="90"/>
        <v>651.41353014863932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151.25066747819758</v>
      </c>
      <c r="AV100" s="21">
        <f>EXP(-LN(2)/25)*AV99+(1-EXP(-LN(2)/25))/(LN(2)/25)*Calculateur!AQ100*Calculateur!AS100*VLOOKUP('Données projet'!$B$10,Paramètres!$A$1:$I$89,3,0)*0.475*44/12</f>
        <v>7.227403150338314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158.4780706285359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236.00000000000003</v>
      </c>
      <c r="BE100" s="13">
        <f>BD100*VLOOKUP('Données projet'!$B$11,Paramètres!$A$1:$I$89,3,0)*VLOOKUP('Données projet'!$B$11,Paramètres!$A$1:$I$89,5,0)</f>
        <v>206.16960000000006</v>
      </c>
      <c r="BF100" s="13">
        <f t="shared" si="91"/>
        <v>51.097652263007333</v>
      </c>
      <c r="BG100" s="20">
        <f t="shared" si="61"/>
        <v>448.07379769140448</v>
      </c>
      <c r="BH100" s="59">
        <f t="shared" si="62"/>
        <v>741.40713102473774</v>
      </c>
      <c r="BI100" s="59">
        <f ca="1">AVERAGE(OFFSET($BH$3,0,0,'Données projet'!$E$11+1,1))-AVERAGE(OFFSET($H$3,0,0,'Données projet'!$E$11+1,1))</f>
        <v>247.61330734992077</v>
      </c>
      <c r="BJ100" s="59">
        <f t="shared" si="92"/>
        <v>278.55937893537259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47.257209909222553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0</v>
      </c>
      <c r="BS100" s="22">
        <f t="shared" si="63"/>
        <v>47.257209909222553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47.138000000000105</v>
      </c>
      <c r="D101" s="11">
        <f t="shared" si="86"/>
        <v>13.87211929238806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470.95530681843502</v>
      </c>
      <c r="H101" s="66">
        <f t="shared" si="56"/>
        <v>399.59262443424268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636.99999999999977</v>
      </c>
      <c r="O101" s="13">
        <f>N101*VLOOKUP('Données projet'!$B$9,Paramètres!$A$1:$I$89,3,0)*VLOOKUP('Données projet'!$B$9,Paramètres!$A$1:$I$89,5,0)</f>
        <v>356.08299999999991</v>
      </c>
      <c r="P101" s="13">
        <f t="shared" si="87"/>
        <v>82.813805255716545</v>
      </c>
      <c r="Q101" s="20">
        <f t="shared" si="107"/>
        <v>764.41193582037283</v>
      </c>
      <c r="R101" s="59">
        <f t="shared" si="55"/>
        <v>1057.7452691537062</v>
      </c>
      <c r="S101" s="59">
        <f ca="1">AVERAGE(OFFSET($R$3,0,0,'Données projet'!$E$9+1,1))-AVERAGE(OFFSET($H$3,0,0,'Données projet'!$E$9+1,1))</f>
        <v>382.55387448074327</v>
      </c>
      <c r="T101" s="59">
        <f t="shared" si="88"/>
        <v>476.29465646955543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46.04665534794119</v>
      </c>
      <c r="AA101" s="21">
        <f>EXP(-LN(2)/25)*AA100+(1-EXP(-LN(2)/25))/(LN(2)/25)*Calculateur!V101*Calculateur!X101*VLOOKUP('Données projet'!$B$9,Paramètres!$A$1:$I$89,3,0)*0.475*44/12</f>
        <v>6.2280360751425876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52.27469142308378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425.99999999999983</v>
      </c>
      <c r="AJ101" s="13">
        <f>AI101*VLOOKUP('Données projet'!$B$10,Paramètres!$A$1:$I$89,3,0)*VLOOKUP('Données projet'!$B$10,Paramètres!$A$1:$I$89,5,0)</f>
        <v>232.59599999999992</v>
      </c>
      <c r="AK101" s="13">
        <f t="shared" si="89"/>
        <v>56.843630236302218</v>
      </c>
      <c r="AL101" s="20">
        <f t="shared" si="58"/>
        <v>504.10735599489294</v>
      </c>
      <c r="AM101" s="59">
        <f t="shared" si="59"/>
        <v>797.4406893282262</v>
      </c>
      <c r="AN101" s="59">
        <f ca="1">AVERAGE(OFFSET($AM$3,0,0,'Données projet'!$E$10+1,1))-AVERAGE(OFFSET($H$3,0,0,'Données projet'!$E$10+1,1))</f>
        <v>417.99456559608217</v>
      </c>
      <c r="AO101" s="59">
        <f t="shared" si="90"/>
        <v>651.41353014863932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148.28473414274799</v>
      </c>
      <c r="AV101" s="21">
        <f>EXP(-LN(2)/25)*AV100+(1-EXP(-LN(2)/25))/(LN(2)/25)*Calculateur!AQ101*Calculateur!AS101*VLOOKUP('Données projet'!$B$10,Paramètres!$A$1:$I$89,3,0)*0.475*44/12</f>
        <v>7.0297694311196999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155.31450357386768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236.00000000000003</v>
      </c>
      <c r="BE101" s="13">
        <f>BD101*VLOOKUP('Données projet'!$B$11,Paramètres!$A$1:$I$89,3,0)*VLOOKUP('Données projet'!$B$11,Paramètres!$A$1:$I$89,5,0)</f>
        <v>206.16960000000006</v>
      </c>
      <c r="BF101" s="13">
        <f t="shared" si="91"/>
        <v>51.097652263007333</v>
      </c>
      <c r="BG101" s="20">
        <f t="shared" si="61"/>
        <v>448.07379769140448</v>
      </c>
      <c r="BH101" s="59">
        <f t="shared" si="62"/>
        <v>741.40713102473774</v>
      </c>
      <c r="BI101" s="59">
        <f ca="1">AVERAGE(OFFSET($BH$3,0,0,'Données projet'!$E$11+1,1))-AVERAGE(OFFSET($H$3,0,0,'Données projet'!$E$11+1,1))</f>
        <v>247.61330734992077</v>
      </c>
      <c r="BJ101" s="59">
        <f t="shared" si="92"/>
        <v>278.55937893537259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46.330524846954603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0</v>
      </c>
      <c r="BS101" s="22">
        <f t="shared" si="63"/>
        <v>46.330524846954603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47.619000000000106</v>
      </c>
      <c r="D102" s="11">
        <f t="shared" si="86"/>
        <v>13.997120850581238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475.63321358343501</v>
      </c>
      <c r="H102" s="66">
        <f t="shared" si="56"/>
        <v>400.64807714809581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636.99999999999977</v>
      </c>
      <c r="O102" s="13">
        <f>N102*VLOOKUP('Données projet'!$B$9,Paramètres!$A$1:$I$89,3,0)*VLOOKUP('Données projet'!$B$9,Paramètres!$A$1:$I$89,5,0)</f>
        <v>356.08299999999991</v>
      </c>
      <c r="P102" s="13">
        <f t="shared" si="87"/>
        <v>82.813805255716545</v>
      </c>
      <c r="Q102" s="20">
        <f t="shared" si="107"/>
        <v>764.41193582037283</v>
      </c>
      <c r="R102" s="59">
        <f t="shared" si="55"/>
        <v>1057.7452691537062</v>
      </c>
      <c r="S102" s="59">
        <f ca="1">AVERAGE(OFFSET($R$3,0,0,'Données projet'!$E$9+1,1))-AVERAGE(OFFSET($H$3,0,0,'Données projet'!$E$9+1,1))</f>
        <v>382.55387448074327</v>
      </c>
      <c r="T102" s="59">
        <f t="shared" si="88"/>
        <v>476.29465646955543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45.143708522254592</v>
      </c>
      <c r="AA102" s="21">
        <f>EXP(-LN(2)/25)*AA101+(1-EXP(-LN(2)/25))/(LN(2)/25)*Calculateur!V102*Calculateur!X102*VLOOKUP('Données projet'!$B$9,Paramètres!$A$1:$I$89,3,0)*0.475*44/12</f>
        <v>6.0577301011496312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51.201438623404222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425.99999999999983</v>
      </c>
      <c r="AJ102" s="13">
        <f>AI102*VLOOKUP('Données projet'!$B$10,Paramètres!$A$1:$I$89,3,0)*VLOOKUP('Données projet'!$B$10,Paramètres!$A$1:$I$89,5,0)</f>
        <v>232.59599999999992</v>
      </c>
      <c r="AK102" s="13">
        <f t="shared" si="89"/>
        <v>56.843630236302218</v>
      </c>
      <c r="AL102" s="20">
        <f t="shared" si="58"/>
        <v>504.10735599489294</v>
      </c>
      <c r="AM102" s="59">
        <f t="shared" si="59"/>
        <v>797.4406893282262</v>
      </c>
      <c r="AN102" s="59">
        <f ca="1">AVERAGE(OFFSET($AM$3,0,0,'Données projet'!$E$10+1,1))-AVERAGE(OFFSET($H$3,0,0,'Données projet'!$E$10+1,1))</f>
        <v>417.99456559608217</v>
      </c>
      <c r="AO102" s="59">
        <f t="shared" si="90"/>
        <v>651.41353014863932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145.37696095096587</v>
      </c>
      <c r="AV102" s="21">
        <f>EXP(-LN(2)/25)*AV101+(1-EXP(-LN(2)/25))/(LN(2)/25)*Calculateur!AQ102*Calculateur!AS102*VLOOKUP('Données projet'!$B$10,Paramètres!$A$1:$I$89,3,0)*0.475*44/12</f>
        <v>6.8375400163462237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152.21450096731209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236.00000000000003</v>
      </c>
      <c r="BE102" s="13">
        <f>BD102*VLOOKUP('Données projet'!$B$11,Paramètres!$A$1:$I$89,3,0)*VLOOKUP('Données projet'!$B$11,Paramètres!$A$1:$I$89,5,0)</f>
        <v>206.16960000000006</v>
      </c>
      <c r="BF102" s="13">
        <f t="shared" si="91"/>
        <v>51.097652263007333</v>
      </c>
      <c r="BG102" s="20">
        <f t="shared" si="61"/>
        <v>448.07379769140448</v>
      </c>
      <c r="BH102" s="59">
        <f t="shared" si="62"/>
        <v>741.40713102473774</v>
      </c>
      <c r="BI102" s="59">
        <f ca="1">AVERAGE(OFFSET($BH$3,0,0,'Données projet'!$E$11+1,1))-AVERAGE(OFFSET($H$3,0,0,'Données projet'!$E$11+1,1))</f>
        <v>247.61330734992077</v>
      </c>
      <c r="BJ102" s="59">
        <f t="shared" si="92"/>
        <v>278.55937893537259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45.422011513535651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0</v>
      </c>
      <c r="BS102" s="22">
        <f t="shared" si="63"/>
        <v>45.422011513535651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48.100000000000108</v>
      </c>
      <c r="D103" s="11">
        <f t="shared" si="86"/>
        <v>14.121975520971258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480.3099864776737</v>
      </c>
      <c r="H103" s="66">
        <f t="shared" si="56"/>
        <v>401.70327403235842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636.99999999999977</v>
      </c>
      <c r="O103" s="13">
        <f>N103*VLOOKUP('Données projet'!$B$9,Paramètres!$A$1:$I$89,3,0)*VLOOKUP('Données projet'!$B$9,Paramètres!$A$1:$I$89,5,0)</f>
        <v>356.08299999999991</v>
      </c>
      <c r="P103" s="13">
        <f t="shared" si="87"/>
        <v>82.813805255716545</v>
      </c>
      <c r="Q103" s="20">
        <f t="shared" si="107"/>
        <v>764.41193582037283</v>
      </c>
      <c r="R103" s="59">
        <f t="shared" si="55"/>
        <v>1057.7452691537062</v>
      </c>
      <c r="S103" s="59">
        <f ca="1">AVERAGE(OFFSET($R$3,0,0,'Données projet'!$E$9+1,1))-AVERAGE(OFFSET($H$3,0,0,'Données projet'!$E$9+1,1))</f>
        <v>382.55387448074327</v>
      </c>
      <c r="T103" s="59">
        <f t="shared" si="88"/>
        <v>476.29465646955543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44.258467933076531</v>
      </c>
      <c r="AA103" s="21">
        <f>EXP(-LN(2)/25)*AA102+(1-EXP(-LN(2)/25))/(LN(2)/25)*Calculateur!V103*Calculateur!X103*VLOOKUP('Données projet'!$B$9,Paramètres!$A$1:$I$89,3,0)*0.475*44/12</f>
        <v>5.8920811529715138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50.150549086048045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425.99999999999983</v>
      </c>
      <c r="AJ103" s="13">
        <f>AI103*VLOOKUP('Données projet'!$B$10,Paramètres!$A$1:$I$89,3,0)*VLOOKUP('Données projet'!$B$10,Paramètres!$A$1:$I$89,5,0)</f>
        <v>232.59599999999992</v>
      </c>
      <c r="AK103" s="13">
        <f t="shared" si="89"/>
        <v>56.843630236302218</v>
      </c>
      <c r="AL103" s="20">
        <f t="shared" si="58"/>
        <v>504.10735599489294</v>
      </c>
      <c r="AM103" s="59">
        <f t="shared" si="59"/>
        <v>797.4406893282262</v>
      </c>
      <c r="AN103" s="59">
        <f ca="1">AVERAGE(OFFSET($AM$3,0,0,'Données projet'!$E$10+1,1))-AVERAGE(OFFSET($H$3,0,0,'Données projet'!$E$10+1,1))</f>
        <v>417.99456559608217</v>
      </c>
      <c r="AO103" s="59">
        <f t="shared" si="90"/>
        <v>651.41353014863932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142.52620741790804</v>
      </c>
      <c r="AV103" s="21">
        <f>EXP(-LN(2)/25)*AV102+(1-EXP(-LN(2)/25))/(LN(2)/25)*Calculateur!AQ103*Calculateur!AS103*VLOOKUP('Données projet'!$B$10,Paramètres!$A$1:$I$89,3,0)*0.475*44/12</f>
        <v>6.6505671250286342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149.17677454293667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236.00000000000003</v>
      </c>
      <c r="BE103" s="13">
        <f>BD103*VLOOKUP('Données projet'!$B$11,Paramètres!$A$1:$I$89,3,0)*VLOOKUP('Données projet'!$B$11,Paramètres!$A$1:$I$89,5,0)</f>
        <v>206.16960000000006</v>
      </c>
      <c r="BF103" s="13">
        <f t="shared" si="91"/>
        <v>51.097652263007333</v>
      </c>
      <c r="BG103" s="20">
        <f t="shared" si="61"/>
        <v>448.07379769140448</v>
      </c>
      <c r="BH103" s="59">
        <f t="shared" si="62"/>
        <v>741.40713102473774</v>
      </c>
      <c r="BI103" s="59">
        <f ca="1">AVERAGE(OFFSET($BH$3,0,0,'Données projet'!$E$11+1,1))-AVERAGE(OFFSET($H$3,0,0,'Données projet'!$E$11+1,1))</f>
        <v>247.61330734992077</v>
      </c>
      <c r="BJ103" s="59">
        <f t="shared" si="92"/>
        <v>278.55937893537259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44.531313572446628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0</v>
      </c>
      <c r="BS103" s="22">
        <f t="shared" si="63"/>
        <v>44.531313572446628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48.58100000000011</v>
      </c>
      <c r="D104" s="11">
        <f t="shared" si="86"/>
        <v>14.246684942514399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484.98563815274366</v>
      </c>
      <c r="H104" s="66">
        <f t="shared" si="56"/>
        <v>402.75821794154609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636.99999999999977</v>
      </c>
      <c r="O104" s="13">
        <f>N104*VLOOKUP('Données projet'!$B$9,Paramètres!$A$1:$I$89,3,0)*VLOOKUP('Données projet'!$B$9,Paramètres!$A$1:$I$89,5,0)</f>
        <v>356.08299999999991</v>
      </c>
      <c r="P104" s="13">
        <f t="shared" si="87"/>
        <v>82.813805255716545</v>
      </c>
      <c r="Q104" s="20">
        <f t="shared" si="107"/>
        <v>764.41193582037283</v>
      </c>
      <c r="R104" s="59">
        <f t="shared" si="55"/>
        <v>1057.7452691537062</v>
      </c>
      <c r="S104" s="59">
        <f ca="1">AVERAGE(OFFSET($R$3,0,0,'Données projet'!$E$9+1,1))-AVERAGE(OFFSET($H$3,0,0,'Données projet'!$E$9+1,1))</f>
        <v>382.55387448074327</v>
      </c>
      <c r="T104" s="59">
        <f t="shared" si="88"/>
        <v>476.29465646955543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43.390586371908803</v>
      </c>
      <c r="AA104" s="21">
        <f>EXP(-LN(2)/25)*AA103+(1-EXP(-LN(2)/25))/(LN(2)/25)*Calculateur!V104*Calculateur!X104*VLOOKUP('Données projet'!$B$9,Paramètres!$A$1:$I$89,3,0)*0.475*44/12</f>
        <v>5.7309618839924266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49.121548255901232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425.99999999999983</v>
      </c>
      <c r="AJ104" s="13">
        <f>AI104*VLOOKUP('Données projet'!$B$10,Paramètres!$A$1:$I$89,3,0)*VLOOKUP('Données projet'!$B$10,Paramètres!$A$1:$I$89,5,0)</f>
        <v>232.59599999999992</v>
      </c>
      <c r="AK104" s="13">
        <f t="shared" si="89"/>
        <v>56.843630236302218</v>
      </c>
      <c r="AL104" s="20">
        <f t="shared" si="58"/>
        <v>504.10735599489294</v>
      </c>
      <c r="AM104" s="59">
        <f t="shared" si="59"/>
        <v>797.4406893282262</v>
      </c>
      <c r="AN104" s="59">
        <f ca="1">AVERAGE(OFFSET($AM$3,0,0,'Données projet'!$E$10+1,1))-AVERAGE(OFFSET($H$3,0,0,'Données projet'!$E$10+1,1))</f>
        <v>417.99456559608217</v>
      </c>
      <c r="AO104" s="59">
        <f t="shared" si="90"/>
        <v>651.41353014863932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139.73135542284552</v>
      </c>
      <c r="AV104" s="21">
        <f>EXP(-LN(2)/25)*AV103+(1-EXP(-LN(2)/25))/(LN(2)/25)*Calculateur!AQ104*Calculateur!AS104*VLOOKUP('Données projet'!$B$10,Paramètres!$A$1:$I$89,3,0)*0.475*44/12</f>
        <v>6.4687070172566008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146.20006244010213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236.00000000000003</v>
      </c>
      <c r="BE104" s="13">
        <f>BD104*VLOOKUP('Données projet'!$B$11,Paramètres!$A$1:$I$89,3,0)*VLOOKUP('Données projet'!$B$11,Paramètres!$A$1:$I$89,5,0)</f>
        <v>206.16960000000006</v>
      </c>
      <c r="BF104" s="13">
        <f t="shared" si="91"/>
        <v>51.097652263007333</v>
      </c>
      <c r="BG104" s="20">
        <f t="shared" si="61"/>
        <v>448.07379769140448</v>
      </c>
      <c r="BH104" s="59">
        <f t="shared" si="62"/>
        <v>741.40713102473774</v>
      </c>
      <c r="BI104" s="59">
        <f ca="1">AVERAGE(OFFSET($BH$3,0,0,'Données projet'!$E$11+1,1))-AVERAGE(OFFSET($H$3,0,0,'Données projet'!$E$11+1,1))</f>
        <v>247.61330734992077</v>
      </c>
      <c r="BJ104" s="59">
        <f t="shared" si="92"/>
        <v>278.55937893537259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43.65808167471026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0</v>
      </c>
      <c r="BS104" s="22">
        <f t="shared" si="63"/>
        <v>43.65808167471026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49.062000000000111</v>
      </c>
      <c r="D105" s="11">
        <f t="shared" si="86"/>
        <v>14.371250719841637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489.66018099526968</v>
      </c>
      <c r="H105" s="66">
        <f t="shared" si="56"/>
        <v>403.81291167039103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636.99999999999977</v>
      </c>
      <c r="O105" s="13">
        <f>N105*VLOOKUP('Données projet'!$B$9,Paramètres!$A$1:$I$89,3,0)*VLOOKUP('Données projet'!$B$9,Paramètres!$A$1:$I$89,5,0)</f>
        <v>356.08299999999991</v>
      </c>
      <c r="P105" s="13">
        <f t="shared" si="87"/>
        <v>82.813805255716545</v>
      </c>
      <c r="Q105" s="20">
        <f t="shared" si="107"/>
        <v>764.41193582037283</v>
      </c>
      <c r="R105" s="59">
        <f t="shared" si="55"/>
        <v>1057.7452691537062</v>
      </c>
      <c r="S105" s="59">
        <f ca="1">AVERAGE(OFFSET($R$3,0,0,'Données projet'!$E$9+1,1))-AVERAGE(OFFSET($H$3,0,0,'Données projet'!$E$9+1,1))</f>
        <v>382.55387448074327</v>
      </c>
      <c r="T105" s="59">
        <f t="shared" si="88"/>
        <v>476.29465646955543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42.539723438800095</v>
      </c>
      <c r="AA105" s="21">
        <f>EXP(-LN(2)/25)*AA104+(1-EXP(-LN(2)/25))/(LN(2)/25)*Calculateur!V105*Calculateur!X105*VLOOKUP('Données projet'!$B$9,Paramètres!$A$1:$I$89,3,0)*0.475*44/12</f>
        <v>5.5742484298964667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48.113971868696559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425.99999999999983</v>
      </c>
      <c r="AJ105" s="13">
        <f>AI105*VLOOKUP('Données projet'!$B$10,Paramètres!$A$1:$I$89,3,0)*VLOOKUP('Données projet'!$B$10,Paramètres!$A$1:$I$89,5,0)</f>
        <v>232.59599999999992</v>
      </c>
      <c r="AK105" s="13">
        <f t="shared" si="89"/>
        <v>56.843630236302218</v>
      </c>
      <c r="AL105" s="20">
        <f t="shared" si="58"/>
        <v>504.10735599489294</v>
      </c>
      <c r="AM105" s="59">
        <f t="shared" si="59"/>
        <v>797.4406893282262</v>
      </c>
      <c r="AN105" s="59">
        <f ca="1">AVERAGE(OFFSET($AM$3,0,0,'Données projet'!$E$10+1,1))-AVERAGE(OFFSET($H$3,0,0,'Données projet'!$E$10+1,1))</f>
        <v>417.99456559608217</v>
      </c>
      <c r="AO105" s="59">
        <f t="shared" si="90"/>
        <v>651.41353014863932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136.9913087707148</v>
      </c>
      <c r="AV105" s="21">
        <f>EXP(-LN(2)/25)*AV104+(1-EXP(-LN(2)/25))/(LN(2)/25)*Calculateur!AQ105*Calculateur!AS105*VLOOKUP('Données projet'!$B$10,Paramètres!$A$1:$I$89,3,0)*0.475*44/12</f>
        <v>6.2918198836952017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143.28312865441001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236.00000000000003</v>
      </c>
      <c r="BE105" s="13">
        <f>BD105*VLOOKUP('Données projet'!$B$11,Paramètres!$A$1:$I$89,3,0)*VLOOKUP('Données projet'!$B$11,Paramètres!$A$1:$I$89,5,0)</f>
        <v>206.16960000000006</v>
      </c>
      <c r="BF105" s="13">
        <f t="shared" si="91"/>
        <v>51.097652263007333</v>
      </c>
      <c r="BG105" s="20">
        <f t="shared" si="61"/>
        <v>448.07379769140448</v>
      </c>
      <c r="BH105" s="59">
        <f t="shared" si="62"/>
        <v>741.40713102473774</v>
      </c>
      <c r="BI105" s="59">
        <f ca="1">AVERAGE(OFFSET($BH$3,0,0,'Données projet'!$E$11+1,1))-AVERAGE(OFFSET($H$3,0,0,'Données projet'!$E$11+1,1))</f>
        <v>247.61330734992077</v>
      </c>
      <c r="BJ105" s="59">
        <f t="shared" si="92"/>
        <v>278.55937893537259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42.801973321869639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0</v>
      </c>
      <c r="BS105" s="22">
        <f t="shared" si="63"/>
        <v>42.801973321869639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49.543000000000113</v>
      </c>
      <c r="D106" s="11">
        <f t="shared" si="86"/>
        <v>14.495674424306822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494.33362713500088</v>
      </c>
      <c r="H106" s="66">
        <f t="shared" si="56"/>
        <v>404.8673579556679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636.99999999999977</v>
      </c>
      <c r="O106" s="13">
        <f>N106*VLOOKUP('Données projet'!$B$9,Paramètres!$A$1:$I$89,3,0)*VLOOKUP('Données projet'!$B$9,Paramètres!$A$1:$I$89,5,0)</f>
        <v>356.08299999999991</v>
      </c>
      <c r="P106" s="13">
        <f t="shared" si="87"/>
        <v>82.813805255716545</v>
      </c>
      <c r="Q106" s="20">
        <f t="shared" si="107"/>
        <v>764.41193582037283</v>
      </c>
      <c r="R106" s="59">
        <f t="shared" si="55"/>
        <v>1057.7452691537062</v>
      </c>
      <c r="S106" s="59">
        <f ca="1">AVERAGE(OFFSET($R$3,0,0,'Données projet'!$E$9+1,1))-AVERAGE(OFFSET($H$3,0,0,'Données projet'!$E$9+1,1))</f>
        <v>382.55387448074327</v>
      </c>
      <c r="T106" s="59">
        <f t="shared" si="88"/>
        <v>476.29465646955543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41.705545408834503</v>
      </c>
      <c r="AA106" s="21">
        <f>EXP(-LN(2)/25)*AA105+(1-EXP(-LN(2)/25))/(LN(2)/25)*Calculateur!V106*Calculateur!X106*VLOOKUP('Données projet'!$B$9,Paramètres!$A$1:$I$89,3,0)*0.475*44/12</f>
        <v>5.4218203134439626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47.127365722278469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425.99999999999983</v>
      </c>
      <c r="AJ106" s="13">
        <f>AI106*VLOOKUP('Données projet'!$B$10,Paramètres!$A$1:$I$89,3,0)*VLOOKUP('Données projet'!$B$10,Paramètres!$A$1:$I$89,5,0)</f>
        <v>232.59599999999992</v>
      </c>
      <c r="AK106" s="13">
        <f t="shared" si="89"/>
        <v>56.843630236302218</v>
      </c>
      <c r="AL106" s="20">
        <f t="shared" si="58"/>
        <v>504.10735599489294</v>
      </c>
      <c r="AM106" s="59">
        <f t="shared" si="59"/>
        <v>797.4406893282262</v>
      </c>
      <c r="AN106" s="59">
        <f ca="1">AVERAGE(OFFSET($AM$3,0,0,'Données projet'!$E$10+1,1))-AVERAGE(OFFSET($H$3,0,0,'Données projet'!$E$10+1,1))</f>
        <v>417.99456559608217</v>
      </c>
      <c r="AO106" s="59">
        <f t="shared" si="90"/>
        <v>651.41353014863932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134.30499276216892</v>
      </c>
      <c r="AV106" s="21">
        <f>EXP(-LN(2)/25)*AV105+(1-EXP(-LN(2)/25))/(LN(2)/25)*Calculateur!AQ106*Calculateur!AS106*VLOOKUP('Données projet'!$B$10,Paramètres!$A$1:$I$89,3,0)*0.475*44/12</f>
        <v>6.1197697381031286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140.42476250027204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236.00000000000003</v>
      </c>
      <c r="BE106" s="13">
        <f>BD106*VLOOKUP('Données projet'!$B$11,Paramètres!$A$1:$I$89,3,0)*VLOOKUP('Données projet'!$B$11,Paramètres!$A$1:$I$89,5,0)</f>
        <v>206.16960000000006</v>
      </c>
      <c r="BF106" s="13">
        <f t="shared" si="91"/>
        <v>51.097652263007333</v>
      </c>
      <c r="BG106" s="20">
        <f t="shared" si="61"/>
        <v>448.07379769140448</v>
      </c>
      <c r="BH106" s="59">
        <f t="shared" si="62"/>
        <v>741.40713102473774</v>
      </c>
      <c r="BI106" s="59">
        <f ca="1">AVERAGE(OFFSET($BH$3,0,0,'Données projet'!$E$11+1,1))-AVERAGE(OFFSET($H$3,0,0,'Données projet'!$E$11+1,1))</f>
        <v>247.61330734992077</v>
      </c>
      <c r="BJ106" s="59">
        <f t="shared" si="92"/>
        <v>278.55937893537259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41.962652731653684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0</v>
      </c>
      <c r="BS106" s="22">
        <f t="shared" si="63"/>
        <v>41.962652731653684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50.024000000000115</v>
      </c>
      <c r="D107" s="11">
        <f t="shared" si="86"/>
        <v>14.619957594993028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499.00598845257861</v>
      </c>
      <c r="H107" s="66">
        <f t="shared" si="56"/>
        <v>405.92155947794635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636.99999999999977</v>
      </c>
      <c r="O107" s="13">
        <f>N107*VLOOKUP('Données projet'!$B$9,Paramètres!$A$1:$I$89,3,0)*VLOOKUP('Données projet'!$B$9,Paramètres!$A$1:$I$89,5,0)</f>
        <v>356.08299999999991</v>
      </c>
      <c r="P107" s="13">
        <f t="shared" si="87"/>
        <v>82.813805255716545</v>
      </c>
      <c r="Q107" s="20">
        <f t="shared" si="107"/>
        <v>764.41193582037283</v>
      </c>
      <c r="R107" s="59">
        <f t="shared" si="55"/>
        <v>1057.7452691537062</v>
      </c>
      <c r="S107" s="59">
        <f ca="1">AVERAGE(OFFSET($R$3,0,0,'Données projet'!$E$9+1,1))-AVERAGE(OFFSET($H$3,0,0,'Données projet'!$E$9+1,1))</f>
        <v>382.55387448074327</v>
      </c>
      <c r="T107" s="59">
        <f t="shared" si="88"/>
        <v>476.29465646955543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40.887725101238175</v>
      </c>
      <c r="AA107" s="21">
        <f>EXP(-LN(2)/25)*AA106+(1-EXP(-LN(2)/25))/(LN(2)/25)*Calculateur!V107*Calculateur!X107*VLOOKUP('Données projet'!$B$9,Paramètres!$A$1:$I$89,3,0)*0.475*44/12</f>
        <v>5.2735603518516987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46.161285453089874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425.99999999999983</v>
      </c>
      <c r="AJ107" s="13">
        <f>AI107*VLOOKUP('Données projet'!$B$10,Paramètres!$A$1:$I$89,3,0)*VLOOKUP('Données projet'!$B$10,Paramètres!$A$1:$I$89,5,0)</f>
        <v>232.59599999999992</v>
      </c>
      <c r="AK107" s="13">
        <f t="shared" si="89"/>
        <v>56.843630236302218</v>
      </c>
      <c r="AL107" s="20">
        <f t="shared" si="58"/>
        <v>504.10735599489294</v>
      </c>
      <c r="AM107" s="59">
        <f t="shared" si="59"/>
        <v>797.4406893282262</v>
      </c>
      <c r="AN107" s="59">
        <f ca="1">AVERAGE(OFFSET($AM$3,0,0,'Données projet'!$E$10+1,1))-AVERAGE(OFFSET($H$3,0,0,'Données projet'!$E$10+1,1))</f>
        <v>417.99456559608217</v>
      </c>
      <c r="AO107" s="59">
        <f t="shared" si="90"/>
        <v>651.41353014863932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131.67135377205966</v>
      </c>
      <c r="AV107" s="21">
        <f>EXP(-LN(2)/25)*AV106+(1-EXP(-LN(2)/25))/(LN(2)/25)*Calculateur!AQ107*Calculateur!AS107*VLOOKUP('Données projet'!$B$10,Paramètres!$A$1:$I$89,3,0)*0.475*44/12</f>
        <v>5.9524243127899954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137.62377808484965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236.00000000000003</v>
      </c>
      <c r="BE107" s="13">
        <f>BD107*VLOOKUP('Données projet'!$B$11,Paramètres!$A$1:$I$89,3,0)*VLOOKUP('Données projet'!$B$11,Paramètres!$A$1:$I$89,5,0)</f>
        <v>206.16960000000006</v>
      </c>
      <c r="BF107" s="13">
        <f t="shared" si="91"/>
        <v>51.097652263007333</v>
      </c>
      <c r="BG107" s="20">
        <f t="shared" si="61"/>
        <v>448.07379769140448</v>
      </c>
      <c r="BH107" s="59">
        <f t="shared" si="62"/>
        <v>741.40713102473774</v>
      </c>
      <c r="BI107" s="59">
        <f ca="1">AVERAGE(OFFSET($BH$3,0,0,'Données projet'!$E$11+1,1))-AVERAGE(OFFSET($H$3,0,0,'Données projet'!$E$11+1,1))</f>
        <v>247.61330734992077</v>
      </c>
      <c r="BJ107" s="59">
        <f t="shared" si="92"/>
        <v>278.55937893537259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41.139790706276855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0</v>
      </c>
      <c r="BS107" s="22">
        <f t="shared" si="63"/>
        <v>41.139790706276855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50.505000000000116</v>
      </c>
      <c r="D108" s="11">
        <f t="shared" si="86"/>
        <v>14.744101739679099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503.67727658699749</v>
      </c>
      <c r="H108" s="66">
        <f t="shared" si="56"/>
        <v>406.9755188632746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636.99999999999977</v>
      </c>
      <c r="O108" s="13">
        <f>N108*VLOOKUP('Données projet'!$B$9,Paramètres!$A$1:$I$89,3,0)*VLOOKUP('Données projet'!$B$9,Paramètres!$A$1:$I$89,5,0)</f>
        <v>356.08299999999991</v>
      </c>
      <c r="P108" s="13">
        <f t="shared" si="87"/>
        <v>82.813805255716545</v>
      </c>
      <c r="Q108" s="20">
        <f t="shared" si="107"/>
        <v>764.41193582037283</v>
      </c>
      <c r="R108" s="59">
        <f t="shared" si="55"/>
        <v>1057.7452691537062</v>
      </c>
      <c r="S108" s="59">
        <f ca="1">AVERAGE(OFFSET($R$3,0,0,'Données projet'!$E$9+1,1))-AVERAGE(OFFSET($H$3,0,0,'Données projet'!$E$9+1,1))</f>
        <v>382.55387448074327</v>
      </c>
      <c r="T108" s="59">
        <f t="shared" si="88"/>
        <v>476.29465646955543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40.08594175105268</v>
      </c>
      <c r="AA108" s="21">
        <f>EXP(-LN(2)/25)*AA107+(1-EXP(-LN(2)/25))/(LN(2)/25)*Calculateur!V108*Calculateur!X108*VLOOKUP('Données projet'!$B$9,Paramètres!$A$1:$I$89,3,0)*0.475*44/12</f>
        <v>5.1293545667058282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45.215296317758508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425.99999999999983</v>
      </c>
      <c r="AJ108" s="13">
        <f>AI108*VLOOKUP('Données projet'!$B$10,Paramètres!$A$1:$I$89,3,0)*VLOOKUP('Données projet'!$B$10,Paramètres!$A$1:$I$89,5,0)</f>
        <v>232.59599999999992</v>
      </c>
      <c r="AK108" s="13">
        <f t="shared" si="89"/>
        <v>56.843630236302218</v>
      </c>
      <c r="AL108" s="20">
        <f t="shared" si="58"/>
        <v>504.10735599489294</v>
      </c>
      <c r="AM108" s="59">
        <f t="shared" si="59"/>
        <v>797.4406893282262</v>
      </c>
      <c r="AN108" s="59">
        <f ca="1">AVERAGE(OFFSET($AM$3,0,0,'Données projet'!$E$10+1,1))-AVERAGE(OFFSET($H$3,0,0,'Données projet'!$E$10+1,1))</f>
        <v>417.99456559608217</v>
      </c>
      <c r="AO108" s="59">
        <f t="shared" si="90"/>
        <v>651.41353014863932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129.08935883618526</v>
      </c>
      <c r="AV108" s="21">
        <f>EXP(-LN(2)/25)*AV107+(1-EXP(-LN(2)/25))/(LN(2)/25)*Calculateur!AQ108*Calculateur!AS108*VLOOKUP('Données projet'!$B$10,Paramètres!$A$1:$I$89,3,0)*0.475*44/12</f>
        <v>5.7896549569323632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134.87901379311762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236.00000000000003</v>
      </c>
      <c r="BE108" s="13">
        <f>BD108*VLOOKUP('Données projet'!$B$11,Paramètres!$A$1:$I$89,3,0)*VLOOKUP('Données projet'!$B$11,Paramètres!$A$1:$I$89,5,0)</f>
        <v>206.16960000000006</v>
      </c>
      <c r="BF108" s="13">
        <f t="shared" si="91"/>
        <v>51.097652263007333</v>
      </c>
      <c r="BG108" s="20">
        <f t="shared" si="61"/>
        <v>448.07379769140448</v>
      </c>
      <c r="BH108" s="59">
        <f t="shared" si="62"/>
        <v>741.40713102473774</v>
      </c>
      <c r="BI108" s="59">
        <f ca="1">AVERAGE(OFFSET($BH$3,0,0,'Données projet'!$E$11+1,1))-AVERAGE(OFFSET($H$3,0,0,'Données projet'!$E$11+1,1))</f>
        <v>247.61330734992077</v>
      </c>
      <c r="BJ108" s="59">
        <f t="shared" si="92"/>
        <v>278.55937893537259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40.333064503321388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0</v>
      </c>
      <c r="BS108" s="22">
        <f t="shared" si="63"/>
        <v>40.333064503321388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50.986000000000118</v>
      </c>
      <c r="D109" s="11">
        <f t="shared" si="86"/>
        <v>14.868108335768225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508.34750294277325</v>
      </c>
      <c r="H109" s="66">
        <f t="shared" si="56"/>
        <v>408.0292386847965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636.99999999999977</v>
      </c>
      <c r="O109" s="13">
        <f>N109*VLOOKUP('Données projet'!$B$9,Paramètres!$A$1:$I$89,3,0)*VLOOKUP('Données projet'!$B$9,Paramètres!$A$1:$I$89,5,0)</f>
        <v>356.08299999999991</v>
      </c>
      <c r="P109" s="13">
        <f t="shared" si="87"/>
        <v>82.813805255716545</v>
      </c>
      <c r="Q109" s="20">
        <f t="shared" si="107"/>
        <v>764.41193582037283</v>
      </c>
      <c r="R109" s="59">
        <f t="shared" si="55"/>
        <v>1057.7452691537062</v>
      </c>
      <c r="S109" s="59">
        <f ca="1">AVERAGE(OFFSET($R$3,0,0,'Données projet'!$E$9+1,1))-AVERAGE(OFFSET($H$3,0,0,'Données projet'!$E$9+1,1))</f>
        <v>382.55387448074327</v>
      </c>
      <c r="T109" s="59">
        <f t="shared" si="88"/>
        <v>476.29465646955543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39.299880883324768</v>
      </c>
      <c r="AA109" s="21">
        <f>EXP(-LN(2)/25)*AA108+(1-EXP(-LN(2)/25))/(LN(2)/25)*Calculateur!V109*Calculateur!X109*VLOOKUP('Données projet'!$B$9,Paramètres!$A$1:$I$89,3,0)*0.475*44/12</f>
        <v>4.9890920963382239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44.288972979662994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425.99999999999983</v>
      </c>
      <c r="AJ109" s="13">
        <f>AI109*VLOOKUP('Données projet'!$B$10,Paramètres!$A$1:$I$89,3,0)*VLOOKUP('Données projet'!$B$10,Paramètres!$A$1:$I$89,5,0)</f>
        <v>232.59599999999992</v>
      </c>
      <c r="AK109" s="13">
        <f t="shared" si="89"/>
        <v>56.843630236302218</v>
      </c>
      <c r="AL109" s="20">
        <f t="shared" si="58"/>
        <v>504.10735599489294</v>
      </c>
      <c r="AM109" s="59">
        <f t="shared" si="59"/>
        <v>797.4406893282262</v>
      </c>
      <c r="AN109" s="59">
        <f ca="1">AVERAGE(OFFSET($AM$3,0,0,'Données projet'!$E$10+1,1))-AVERAGE(OFFSET($H$3,0,0,'Données projet'!$E$10+1,1))</f>
        <v>417.99456559608217</v>
      </c>
      <c r="AO109" s="59">
        <f t="shared" si="90"/>
        <v>651.41353014863932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126.55799524614194</v>
      </c>
      <c r="AV109" s="21">
        <f>EXP(-LN(2)/25)*AV108+(1-EXP(-LN(2)/25))/(LN(2)/25)*Calculateur!AQ109*Calculateur!AS109*VLOOKUP('Données projet'!$B$10,Paramètres!$A$1:$I$89,3,0)*0.475*44/12</f>
        <v>5.6313365376703262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132.18933178381226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236.00000000000003</v>
      </c>
      <c r="BE109" s="13">
        <f>BD109*VLOOKUP('Données projet'!$B$11,Paramètres!$A$1:$I$89,3,0)*VLOOKUP('Données projet'!$B$11,Paramètres!$A$1:$I$89,5,0)</f>
        <v>206.16960000000006</v>
      </c>
      <c r="BF109" s="13">
        <f t="shared" si="91"/>
        <v>51.097652263007333</v>
      </c>
      <c r="BG109" s="20">
        <f t="shared" si="61"/>
        <v>448.07379769140448</v>
      </c>
      <c r="BH109" s="59">
        <f t="shared" si="62"/>
        <v>741.40713102473774</v>
      </c>
      <c r="BI109" s="59">
        <f ca="1">AVERAGE(OFFSET($BH$3,0,0,'Données projet'!$E$11+1,1))-AVERAGE(OFFSET($H$3,0,0,'Données projet'!$E$11+1,1))</f>
        <v>247.61330734992077</v>
      </c>
      <c r="BJ109" s="59">
        <f t="shared" si="92"/>
        <v>278.55937893537259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39.542157709151482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0</v>
      </c>
      <c r="BS109" s="22">
        <f t="shared" si="63"/>
        <v>39.542157709151482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51.46700000000012</v>
      </c>
      <c r="D110" s="11">
        <f t="shared" si="86"/>
        <v>14.991978831180672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513.01667869683422</v>
      </c>
      <c r="H110" s="66">
        <f t="shared" si="56"/>
        <v>409.08272146430653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636.99999999999977</v>
      </c>
      <c r="O110" s="13">
        <f>N110*VLOOKUP('Données projet'!$B$9,Paramètres!$A$1:$I$89,3,0)*VLOOKUP('Données projet'!$B$9,Paramètres!$A$1:$I$89,5,0)</f>
        <v>356.08299999999991</v>
      </c>
      <c r="P110" s="13">
        <f t="shared" si="87"/>
        <v>82.813805255716545</v>
      </c>
      <c r="Q110" s="20">
        <f t="shared" si="107"/>
        <v>764.41193582037283</v>
      </c>
      <c r="R110" s="59">
        <f t="shared" si="55"/>
        <v>1057.7452691537062</v>
      </c>
      <c r="S110" s="59">
        <f ca="1">AVERAGE(OFFSET($R$3,0,0,'Données projet'!$E$9+1,1))-AVERAGE(OFFSET($H$3,0,0,'Données projet'!$E$9+1,1))</f>
        <v>382.55387448074327</v>
      </c>
      <c r="T110" s="59">
        <f t="shared" si="88"/>
        <v>476.29465646955543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38.529234189763208</v>
      </c>
      <c r="AA110" s="21">
        <f>EXP(-LN(2)/25)*AA109+(1-EXP(-LN(2)/25))/(LN(2)/25)*Calculateur!V110*Calculateur!X110*VLOOKUP('Données projet'!$B$9,Paramètres!$A$1:$I$89,3,0)*0.475*44/12</f>
        <v>4.8526651105989043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43.381899300362115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425.99999999999983</v>
      </c>
      <c r="AJ110" s="13">
        <f>AI110*VLOOKUP('Données projet'!$B$10,Paramètres!$A$1:$I$89,3,0)*VLOOKUP('Données projet'!$B$10,Paramètres!$A$1:$I$89,5,0)</f>
        <v>232.59599999999992</v>
      </c>
      <c r="AK110" s="13">
        <f t="shared" si="89"/>
        <v>56.843630236302218</v>
      </c>
      <c r="AL110" s="20">
        <f t="shared" si="58"/>
        <v>504.10735599489294</v>
      </c>
      <c r="AM110" s="59">
        <f t="shared" si="59"/>
        <v>797.4406893282262</v>
      </c>
      <c r="AN110" s="59">
        <f ca="1">AVERAGE(OFFSET($AM$3,0,0,'Données projet'!$E$10+1,1))-AVERAGE(OFFSET($H$3,0,0,'Données projet'!$E$10+1,1))</f>
        <v>417.99456559608217</v>
      </c>
      <c r="AO110" s="59">
        <f t="shared" si="90"/>
        <v>651.41353014863932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124.07627015212005</v>
      </c>
      <c r="AV110" s="21">
        <f>EXP(-LN(2)/25)*AV109+(1-EXP(-LN(2)/25))/(LN(2)/25)*Calculateur!AQ110*Calculateur!AS110*VLOOKUP('Données projet'!$B$10,Paramètres!$A$1:$I$89,3,0)*0.475*44/12</f>
        <v>5.4773473439086136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129.55361749602866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236.00000000000003</v>
      </c>
      <c r="BE110" s="13">
        <f>BD110*VLOOKUP('Données projet'!$B$11,Paramètres!$A$1:$I$89,3,0)*VLOOKUP('Données projet'!$B$11,Paramètres!$A$1:$I$89,5,0)</f>
        <v>206.16960000000006</v>
      </c>
      <c r="BF110" s="13">
        <f t="shared" si="91"/>
        <v>51.097652263007333</v>
      </c>
      <c r="BG110" s="20">
        <f t="shared" si="61"/>
        <v>448.07379769140448</v>
      </c>
      <c r="BH110" s="59">
        <f t="shared" si="62"/>
        <v>741.40713102473774</v>
      </c>
      <c r="BI110" s="59">
        <f ca="1">AVERAGE(OFFSET($BH$3,0,0,'Données projet'!$E$11+1,1))-AVERAGE(OFFSET($H$3,0,0,'Données projet'!$E$11+1,1))</f>
        <v>247.61330734992077</v>
      </c>
      <c r="BJ110" s="59">
        <f t="shared" si="92"/>
        <v>278.55937893537259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38.766760114809735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0</v>
      </c>
      <c r="BS110" s="22">
        <f t="shared" si="63"/>
        <v>38.766760114809735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51.948000000000121</v>
      </c>
      <c r="D111" s="11">
        <f t="shared" si="86"/>
        <v>15.115714645211925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517.68481480514572</v>
      </c>
      <c r="H111" s="66">
        <f t="shared" si="56"/>
        <v>410.13596967374428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636.99999999999977</v>
      </c>
      <c r="O111" s="13">
        <f>N111*VLOOKUP('Données projet'!$B$9,Paramètres!$A$1:$I$89,3,0)*VLOOKUP('Données projet'!$B$9,Paramètres!$A$1:$I$89,5,0)</f>
        <v>356.08299999999991</v>
      </c>
      <c r="P111" s="13">
        <f t="shared" si="87"/>
        <v>82.813805255716545</v>
      </c>
      <c r="Q111" s="20">
        <f t="shared" si="107"/>
        <v>764.41193582037283</v>
      </c>
      <c r="R111" s="59">
        <f t="shared" si="55"/>
        <v>1057.7452691537062</v>
      </c>
      <c r="S111" s="59">
        <f ca="1">AVERAGE(OFFSET($R$3,0,0,'Données projet'!$E$9+1,1))-AVERAGE(OFFSET($H$3,0,0,'Données projet'!$E$9+1,1))</f>
        <v>382.55387448074327</v>
      </c>
      <c r="T111" s="59">
        <f t="shared" si="88"/>
        <v>476.29465646955543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37.773699407814327</v>
      </c>
      <c r="AA111" s="21">
        <f>EXP(-LN(2)/25)*AA110+(1-EXP(-LN(2)/25))/(LN(2)/25)*Calculateur!V111*Calculateur!X111*VLOOKUP('Données projet'!$B$9,Paramètres!$A$1:$I$89,3,0)*0.475*44/12</f>
        <v>4.7199687279590101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42.493668135773333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425.99999999999983</v>
      </c>
      <c r="AJ111" s="13">
        <f>AI111*VLOOKUP('Données projet'!$B$10,Paramètres!$A$1:$I$89,3,0)*VLOOKUP('Données projet'!$B$10,Paramètres!$A$1:$I$89,5,0)</f>
        <v>232.59599999999992</v>
      </c>
      <c r="AK111" s="13">
        <f t="shared" si="89"/>
        <v>56.843630236302218</v>
      </c>
      <c r="AL111" s="20">
        <f t="shared" si="58"/>
        <v>504.10735599489294</v>
      </c>
      <c r="AM111" s="59">
        <f t="shared" si="59"/>
        <v>797.4406893282262</v>
      </c>
      <c r="AN111" s="59">
        <f ca="1">AVERAGE(OFFSET($AM$3,0,0,'Données projet'!$E$10+1,1))-AVERAGE(OFFSET($H$3,0,0,'Données projet'!$E$10+1,1))</f>
        <v>417.99456559608217</v>
      </c>
      <c r="AO111" s="59">
        <f t="shared" si="90"/>
        <v>651.41353014863932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121.64321017348908</v>
      </c>
      <c r="AV111" s="21">
        <f>EXP(-LN(2)/25)*AV110+(1-EXP(-LN(2)/25))/(LN(2)/25)*Calculateur!AQ111*Calculateur!AS111*VLOOKUP('Données projet'!$B$10,Paramètres!$A$1:$I$89,3,0)*0.475*44/12</f>
        <v>5.3275689927482546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126.97077916623734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236.00000000000003</v>
      </c>
      <c r="BE111" s="13">
        <f>BD111*VLOOKUP('Données projet'!$B$11,Paramètres!$A$1:$I$89,3,0)*VLOOKUP('Données projet'!$B$11,Paramètres!$A$1:$I$89,5,0)</f>
        <v>206.16960000000006</v>
      </c>
      <c r="BF111" s="13">
        <f t="shared" si="91"/>
        <v>51.097652263007333</v>
      </c>
      <c r="BG111" s="20">
        <f t="shared" si="61"/>
        <v>448.07379769140448</v>
      </c>
      <c r="BH111" s="59">
        <f t="shared" si="62"/>
        <v>741.40713102473774</v>
      </c>
      <c r="BI111" s="59">
        <f ca="1">AVERAGE(OFFSET($BH$3,0,0,'Données projet'!$E$11+1,1))-AVERAGE(OFFSET($H$3,0,0,'Données projet'!$E$11+1,1))</f>
        <v>247.61330734992077</v>
      </c>
      <c r="BJ111" s="59">
        <f t="shared" si="92"/>
        <v>278.55937893537259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38.006567594347196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0</v>
      </c>
      <c r="BS111" s="22">
        <f t="shared" si="63"/>
        <v>38.006567594347196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52.429000000000123</v>
      </c>
      <c r="D112" s="11">
        <f t="shared" si="86"/>
        <v>15.239317169358381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522.3519220090833</v>
      </c>
      <c r="H112" s="66">
        <f t="shared" si="56"/>
        <v>411.18898573663273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636.99999999999977</v>
      </c>
      <c r="O112" s="13">
        <f>N112*VLOOKUP('Données projet'!$B$9,Paramètres!$A$1:$I$89,3,0)*VLOOKUP('Données projet'!$B$9,Paramètres!$A$1:$I$89,5,0)</f>
        <v>356.08299999999991</v>
      </c>
      <c r="P112" s="13">
        <f t="shared" si="87"/>
        <v>82.813805255716545</v>
      </c>
      <c r="Q112" s="20">
        <f t="shared" si="107"/>
        <v>764.41193582037283</v>
      </c>
      <c r="R112" s="59">
        <f t="shared" si="55"/>
        <v>1057.7452691537062</v>
      </c>
      <c r="S112" s="59">
        <f ca="1">AVERAGE(OFFSET($R$3,0,0,'Données projet'!$E$9+1,1))-AVERAGE(OFFSET($H$3,0,0,'Données projet'!$E$9+1,1))</f>
        <v>382.55387448074327</v>
      </c>
      <c r="T112" s="59">
        <f t="shared" si="88"/>
        <v>476.29465646955543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37.032980202108746</v>
      </c>
      <c r="AA112" s="21">
        <f>EXP(-LN(2)/25)*AA111+(1-EXP(-LN(2)/25))/(LN(2)/25)*Calculateur!V112*Calculateur!X112*VLOOKUP('Données projet'!$B$9,Paramètres!$A$1:$I$89,3,0)*0.475*44/12</f>
        <v>4.5909009348806036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41.623881136989347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425.99999999999983</v>
      </c>
      <c r="AJ112" s="13">
        <f>AI112*VLOOKUP('Données projet'!$B$10,Paramètres!$A$1:$I$89,3,0)*VLOOKUP('Données projet'!$B$10,Paramètres!$A$1:$I$89,5,0)</f>
        <v>232.59599999999992</v>
      </c>
      <c r="AK112" s="13">
        <f t="shared" si="89"/>
        <v>56.843630236302218</v>
      </c>
      <c r="AL112" s="20">
        <f t="shared" si="58"/>
        <v>504.10735599489294</v>
      </c>
      <c r="AM112" s="59">
        <f t="shared" si="59"/>
        <v>797.4406893282262</v>
      </c>
      <c r="AN112" s="59">
        <f ca="1">AVERAGE(OFFSET($AM$3,0,0,'Données projet'!$E$10+1,1))-AVERAGE(OFFSET($H$3,0,0,'Données projet'!$E$10+1,1))</f>
        <v>417.99456559608217</v>
      </c>
      <c r="AO112" s="59">
        <f t="shared" si="90"/>
        <v>651.41353014863932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119.25786101701901</v>
      </c>
      <c r="AV112" s="21">
        <f>EXP(-LN(2)/25)*AV111+(1-EXP(-LN(2)/25))/(LN(2)/25)*Calculateur!AQ112*Calculateur!AS112*VLOOKUP('Données projet'!$B$10,Paramètres!$A$1:$I$89,3,0)*0.475*44/12</f>
        <v>5.1818863384768763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124.43974735549588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236.00000000000003</v>
      </c>
      <c r="BE112" s="13">
        <f>BD112*VLOOKUP('Données projet'!$B$11,Paramètres!$A$1:$I$89,3,0)*VLOOKUP('Données projet'!$B$11,Paramètres!$A$1:$I$89,5,0)</f>
        <v>206.16960000000006</v>
      </c>
      <c r="BF112" s="13">
        <f t="shared" si="91"/>
        <v>51.097652263007333</v>
      </c>
      <c r="BG112" s="20">
        <f t="shared" si="61"/>
        <v>448.07379769140448</v>
      </c>
      <c r="BH112" s="59">
        <f t="shared" si="62"/>
        <v>741.40713102473774</v>
      </c>
      <c r="BI112" s="59">
        <f ca="1">AVERAGE(OFFSET($BH$3,0,0,'Données projet'!$E$11+1,1))-AVERAGE(OFFSET($H$3,0,0,'Données projet'!$E$11+1,1))</f>
        <v>247.61330734992077</v>
      </c>
      <c r="BJ112" s="59">
        <f t="shared" si="92"/>
        <v>278.55937893537259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37.261281985539277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0</v>
      </c>
      <c r="BS112" s="22">
        <f t="shared" si="63"/>
        <v>37.261281985539277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52.910000000000124</v>
      </c>
      <c r="D113" s="11">
        <f t="shared" si="86"/>
        <v>15.362787768111703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527.018010841565</v>
      </c>
      <c r="H113" s="66">
        <f t="shared" si="56"/>
        <v>412.2417720294614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636.99999999999977</v>
      </c>
      <c r="O113" s="13">
        <f>N113*VLOOKUP('Données projet'!$B$9,Paramètres!$A$1:$I$89,3,0)*VLOOKUP('Données projet'!$B$9,Paramètres!$A$1:$I$89,5,0)</f>
        <v>356.08299999999991</v>
      </c>
      <c r="P113" s="13">
        <f t="shared" si="87"/>
        <v>82.813805255716545</v>
      </c>
      <c r="Q113" s="20">
        <f t="shared" si="107"/>
        <v>764.41193582037283</v>
      </c>
      <c r="R113" s="59">
        <f t="shared" si="55"/>
        <v>1057.7452691537062</v>
      </c>
      <c r="S113" s="59">
        <f ca="1">AVERAGE(OFFSET($R$3,0,0,'Données projet'!$E$9+1,1))-AVERAGE(OFFSET($H$3,0,0,'Données projet'!$E$9+1,1))</f>
        <v>382.55387448074327</v>
      </c>
      <c r="T113" s="59">
        <f t="shared" si="88"/>
        <v>476.29465646955543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36.306786048232951</v>
      </c>
      <c r="AA113" s="21">
        <f>EXP(-LN(2)/25)*AA112+(1-EXP(-LN(2)/25))/(LN(2)/25)*Calculateur!V113*Calculateur!X113*VLOOKUP('Données projet'!$B$9,Paramètres!$A$1:$I$89,3,0)*0.475*44/12</f>
        <v>4.4653625073913057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40.772148555624256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425.99999999999983</v>
      </c>
      <c r="AJ113" s="13">
        <f>AI113*VLOOKUP('Données projet'!$B$10,Paramètres!$A$1:$I$89,3,0)*VLOOKUP('Données projet'!$B$10,Paramètres!$A$1:$I$89,5,0)</f>
        <v>232.59599999999992</v>
      </c>
      <c r="AK113" s="13">
        <f t="shared" si="89"/>
        <v>56.843630236302218</v>
      </c>
      <c r="AL113" s="20">
        <f t="shared" si="58"/>
        <v>504.10735599489294</v>
      </c>
      <c r="AM113" s="59">
        <f t="shared" si="59"/>
        <v>797.4406893282262</v>
      </c>
      <c r="AN113" s="59">
        <f ca="1">AVERAGE(OFFSET($AM$3,0,0,'Données projet'!$E$10+1,1))-AVERAGE(OFFSET($H$3,0,0,'Données projet'!$E$10+1,1))</f>
        <v>417.99456559608217</v>
      </c>
      <c r="AO113" s="59">
        <f t="shared" si="90"/>
        <v>651.41353014863932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116.919287102588</v>
      </c>
      <c r="AV113" s="21">
        <f>EXP(-LN(2)/25)*AV112+(1-EXP(-LN(2)/25))/(LN(2)/25)*Calculateur!AQ113*Calculateur!AS113*VLOOKUP('Données projet'!$B$10,Paramètres!$A$1:$I$89,3,0)*0.475*44/12</f>
        <v>5.040187384047667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121.95947448663567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236.00000000000003</v>
      </c>
      <c r="BE113" s="13">
        <f>BD113*VLOOKUP('Données projet'!$B$11,Paramètres!$A$1:$I$89,3,0)*VLOOKUP('Données projet'!$B$11,Paramètres!$A$1:$I$89,5,0)</f>
        <v>206.16960000000006</v>
      </c>
      <c r="BF113" s="13">
        <f t="shared" si="91"/>
        <v>51.097652263007333</v>
      </c>
      <c r="BG113" s="20">
        <f t="shared" si="61"/>
        <v>448.07379769140448</v>
      </c>
      <c r="BH113" s="59">
        <f t="shared" si="62"/>
        <v>741.40713102473774</v>
      </c>
      <c r="BI113" s="59">
        <f ca="1">AVERAGE(OFFSET($BH$3,0,0,'Données projet'!$E$11+1,1))-AVERAGE(OFFSET($H$3,0,0,'Données projet'!$E$11+1,1))</f>
        <v>247.61330734992077</v>
      </c>
      <c r="BJ113" s="59">
        <f t="shared" si="92"/>
        <v>278.55937893537259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36.530610972940742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0</v>
      </c>
      <c r="BS113" s="22">
        <f t="shared" si="63"/>
        <v>36.530610972940742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53.391000000000126</v>
      </c>
      <c r="D114" s="11">
        <f t="shared" si="86"/>
        <v>15.486127779723555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531.68309163295476</v>
      </c>
      <c r="H114" s="66">
        <f t="shared" si="56"/>
        <v>413.29433088301869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636.99999999999977</v>
      </c>
      <c r="O114" s="13">
        <f>N114*VLOOKUP('Données projet'!$B$9,Paramètres!$A$1:$I$89,3,0)*VLOOKUP('Données projet'!$B$9,Paramètres!$A$1:$I$89,5,0)</f>
        <v>356.08299999999991</v>
      </c>
      <c r="P114" s="13">
        <f t="shared" si="87"/>
        <v>82.813805255716545</v>
      </c>
      <c r="Q114" s="20">
        <f t="shared" si="107"/>
        <v>764.41193582037283</v>
      </c>
      <c r="R114" s="59">
        <f t="shared" si="55"/>
        <v>1057.7452691537062</v>
      </c>
      <c r="S114" s="59">
        <f ca="1">AVERAGE(OFFSET($R$3,0,0,'Données projet'!$E$9+1,1))-AVERAGE(OFFSET($H$3,0,0,'Données projet'!$E$9+1,1))</f>
        <v>382.55387448074327</v>
      </c>
      <c r="T114" s="59">
        <f t="shared" si="88"/>
        <v>476.29465646955543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35.594832118779962</v>
      </c>
      <c r="AA114" s="21">
        <f>EXP(-LN(2)/25)*AA113+(1-EXP(-LN(2)/25))/(LN(2)/25)*Calculateur!V114*Calculateur!X114*VLOOKUP('Données projet'!$B$9,Paramètres!$A$1:$I$89,3,0)*0.475*44/12</f>
        <v>4.343256934803482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39.938089053583447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425.99999999999983</v>
      </c>
      <c r="AJ114" s="13">
        <f>AI114*VLOOKUP('Données projet'!$B$10,Paramètres!$A$1:$I$89,3,0)*VLOOKUP('Données projet'!$B$10,Paramètres!$A$1:$I$89,5,0)</f>
        <v>232.59599999999992</v>
      </c>
      <c r="AK114" s="13">
        <f t="shared" si="89"/>
        <v>56.843630236302218</v>
      </c>
      <c r="AL114" s="20">
        <f t="shared" si="58"/>
        <v>504.10735599489294</v>
      </c>
      <c r="AM114" s="59">
        <f t="shared" si="59"/>
        <v>797.4406893282262</v>
      </c>
      <c r="AN114" s="59">
        <f ca="1">AVERAGE(OFFSET($AM$3,0,0,'Données projet'!$E$10+1,1))-AVERAGE(OFFSET($H$3,0,0,'Données projet'!$E$10+1,1))</f>
        <v>417.99456559608217</v>
      </c>
      <c r="AO114" s="59">
        <f t="shared" si="90"/>
        <v>651.41353014863932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114.62657119622973</v>
      </c>
      <c r="AV114" s="21">
        <f>EXP(-LN(2)/25)*AV113+(1-EXP(-LN(2)/25))/(LN(2)/25)*Calculateur!AQ114*Calculateur!AS114*VLOOKUP('Données projet'!$B$10,Paramètres!$A$1:$I$89,3,0)*0.475*44/12</f>
        <v>4.9023631949789488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119.52893439120868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236.00000000000003</v>
      </c>
      <c r="BE114" s="13">
        <f>BD114*VLOOKUP('Données projet'!$B$11,Paramètres!$A$1:$I$89,3,0)*VLOOKUP('Données projet'!$B$11,Paramètres!$A$1:$I$89,5,0)</f>
        <v>206.16960000000006</v>
      </c>
      <c r="BF114" s="13">
        <f t="shared" si="91"/>
        <v>51.097652263007333</v>
      </c>
      <c r="BG114" s="20">
        <f t="shared" si="61"/>
        <v>448.07379769140448</v>
      </c>
      <c r="BH114" s="59">
        <f t="shared" si="62"/>
        <v>741.40713102473774</v>
      </c>
      <c r="BI114" s="59">
        <f ca="1">AVERAGE(OFFSET($BH$3,0,0,'Données projet'!$E$11+1,1))-AVERAGE(OFFSET($H$3,0,0,'Données projet'!$E$11+1,1))</f>
        <v>247.61330734992077</v>
      </c>
      <c r="BJ114" s="59">
        <f t="shared" si="92"/>
        <v>278.55937893537259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35.814267973233953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0</v>
      </c>
      <c r="BS114" s="22">
        <f t="shared" si="63"/>
        <v>35.814267973233953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53.872000000000128</v>
      </c>
      <c r="D115" s="11">
        <f t="shared" si="86"/>
        <v>15.609338516941946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536.34717451674589</v>
      </c>
      <c r="H115" s="66">
        <f t="shared" si="56"/>
        <v>414.34666458367406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636.99999999999977</v>
      </c>
      <c r="O115" s="13">
        <f>N115*VLOOKUP('Données projet'!$B$9,Paramètres!$A$1:$I$89,3,0)*VLOOKUP('Données projet'!$B$9,Paramètres!$A$1:$I$89,5,0)</f>
        <v>356.08299999999991</v>
      </c>
      <c r="P115" s="13">
        <f t="shared" si="87"/>
        <v>82.813805255716545</v>
      </c>
      <c r="Q115" s="20">
        <f t="shared" si="107"/>
        <v>764.41193582037283</v>
      </c>
      <c r="R115" s="59">
        <f t="shared" si="55"/>
        <v>1057.7452691537062</v>
      </c>
      <c r="S115" s="59">
        <f ca="1">AVERAGE(OFFSET($R$3,0,0,'Données projet'!$E$9+1,1))-AVERAGE(OFFSET($H$3,0,0,'Données projet'!$E$9+1,1))</f>
        <v>382.55387448074327</v>
      </c>
      <c r="T115" s="59">
        <f t="shared" si="88"/>
        <v>476.29465646955543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34.896839171634525</v>
      </c>
      <c r="AA115" s="21">
        <f>EXP(-LN(2)/25)*AA114+(1-EXP(-LN(2)/25))/(LN(2)/25)*Calculateur!V115*Calculateur!X115*VLOOKUP('Données projet'!$B$9,Paramètres!$A$1:$I$89,3,0)*0.475*44/12</f>
        <v>4.2244903455193255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39.121329517153853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425.99999999999983</v>
      </c>
      <c r="AJ115" s="13">
        <f>AI115*VLOOKUP('Données projet'!$B$10,Paramètres!$A$1:$I$89,3,0)*VLOOKUP('Données projet'!$B$10,Paramètres!$A$1:$I$89,5,0)</f>
        <v>232.59599999999992</v>
      </c>
      <c r="AK115" s="13">
        <f t="shared" si="89"/>
        <v>56.843630236302218</v>
      </c>
      <c r="AL115" s="20">
        <f t="shared" si="58"/>
        <v>504.10735599489294</v>
      </c>
      <c r="AM115" s="59">
        <f t="shared" si="59"/>
        <v>797.4406893282262</v>
      </c>
      <c r="AN115" s="59">
        <f ca="1">AVERAGE(OFFSET($AM$3,0,0,'Données projet'!$E$10+1,1))-AVERAGE(OFFSET($H$3,0,0,'Données projet'!$E$10+1,1))</f>
        <v>417.99456559608217</v>
      </c>
      <c r="AO115" s="59">
        <f t="shared" si="90"/>
        <v>651.41353014863932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112.37881405037653</v>
      </c>
      <c r="AV115" s="21">
        <f>EXP(-LN(2)/25)*AV114+(1-EXP(-LN(2)/25))/(LN(2)/25)*Calculateur!AQ115*Calculateur!AS115*VLOOKUP('Données projet'!$B$10,Paramètres!$A$1:$I$89,3,0)*0.475*44/12</f>
        <v>4.7683078156081731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117.1471218659847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236.00000000000003</v>
      </c>
      <c r="BE115" s="13">
        <f>BD115*VLOOKUP('Données projet'!$B$11,Paramètres!$A$1:$I$89,3,0)*VLOOKUP('Données projet'!$B$11,Paramètres!$A$1:$I$89,5,0)</f>
        <v>206.16960000000006</v>
      </c>
      <c r="BF115" s="13">
        <f t="shared" si="91"/>
        <v>51.097652263007333</v>
      </c>
      <c r="BG115" s="20">
        <f t="shared" si="61"/>
        <v>448.07379769140448</v>
      </c>
      <c r="BH115" s="59">
        <f t="shared" si="62"/>
        <v>741.40713102473774</v>
      </c>
      <c r="BI115" s="59">
        <f ca="1">AVERAGE(OFFSET($BH$3,0,0,'Données projet'!$E$11+1,1))-AVERAGE(OFFSET($H$3,0,0,'Données projet'!$E$11+1,1))</f>
        <v>247.61330734992077</v>
      </c>
      <c r="BJ115" s="59">
        <f t="shared" si="92"/>
        <v>278.55937893537259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35.111972022825327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0</v>
      </c>
      <c r="BS115" s="22">
        <f t="shared" si="63"/>
        <v>35.111972022825327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54.353000000000129</v>
      </c>
      <c r="D116" s="11">
        <f t="shared" si="86"/>
        <v>15.732421267720559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541.010269435037</v>
      </c>
      <c r="H116" s="66">
        <f t="shared" si="56"/>
        <v>415.39877537461348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636.99999999999977</v>
      </c>
      <c r="O116" s="13">
        <f>N116*VLOOKUP('Données projet'!$B$9,Paramètres!$A$1:$I$89,3,0)*VLOOKUP('Données projet'!$B$9,Paramètres!$A$1:$I$89,5,0)</f>
        <v>356.08299999999991</v>
      </c>
      <c r="P116" s="13">
        <f t="shared" si="87"/>
        <v>82.813805255716545</v>
      </c>
      <c r="Q116" s="20">
        <f t="shared" si="107"/>
        <v>764.41193582037283</v>
      </c>
      <c r="R116" s="59">
        <f t="shared" si="55"/>
        <v>1057.7452691537062</v>
      </c>
      <c r="S116" s="59">
        <f ca="1">AVERAGE(OFFSET($R$3,0,0,'Données projet'!$E$9+1,1))-AVERAGE(OFFSET($H$3,0,0,'Données projet'!$E$9+1,1))</f>
        <v>382.55387448074327</v>
      </c>
      <c r="T116" s="59">
        <f t="shared" si="88"/>
        <v>476.29465646955543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34.212533440448951</v>
      </c>
      <c r="AA116" s="21">
        <f>EXP(-LN(2)/25)*AA115+(1-EXP(-LN(2)/25))/(LN(2)/25)*Calculateur!V116*Calculateur!X116*VLOOKUP('Données projet'!$B$9,Paramètres!$A$1:$I$89,3,0)*0.475*44/12</f>
        <v>4.1089714348648076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38.321504875313757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425.99999999999983</v>
      </c>
      <c r="AJ116" s="13">
        <f>AI116*VLOOKUP('Données projet'!$B$10,Paramètres!$A$1:$I$89,3,0)*VLOOKUP('Données projet'!$B$10,Paramètres!$A$1:$I$89,5,0)</f>
        <v>232.59599999999992</v>
      </c>
      <c r="AK116" s="13">
        <f t="shared" si="89"/>
        <v>56.843630236302218</v>
      </c>
      <c r="AL116" s="20">
        <f t="shared" si="58"/>
        <v>504.10735599489294</v>
      </c>
      <c r="AM116" s="59">
        <f t="shared" si="59"/>
        <v>797.4406893282262</v>
      </c>
      <c r="AN116" s="59">
        <f ca="1">AVERAGE(OFFSET($AM$3,0,0,'Données projet'!$E$10+1,1))-AVERAGE(OFFSET($H$3,0,0,'Données projet'!$E$10+1,1))</f>
        <v>417.99456559608217</v>
      </c>
      <c r="AO116" s="59">
        <f t="shared" si="90"/>
        <v>651.41353014863932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110.17513405115703</v>
      </c>
      <c r="AV116" s="21">
        <f>EXP(-LN(2)/25)*AV115+(1-EXP(-LN(2)/25))/(LN(2)/25)*Calculateur!AQ116*Calculateur!AS116*VLOOKUP('Données projet'!$B$10,Paramètres!$A$1:$I$89,3,0)*0.475*44/12</f>
        <v>4.6379181876359574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114.81305223879299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236.00000000000003</v>
      </c>
      <c r="BE116" s="13">
        <f>BD116*VLOOKUP('Données projet'!$B$11,Paramètres!$A$1:$I$89,3,0)*VLOOKUP('Données projet'!$B$11,Paramètres!$A$1:$I$89,5,0)</f>
        <v>206.16960000000006</v>
      </c>
      <c r="BF116" s="13">
        <f t="shared" si="91"/>
        <v>51.097652263007333</v>
      </c>
      <c r="BG116" s="20">
        <f t="shared" si="61"/>
        <v>448.07379769140448</v>
      </c>
      <c r="BH116" s="59">
        <f t="shared" si="62"/>
        <v>741.40713102473774</v>
      </c>
      <c r="BI116" s="59">
        <f ca="1">AVERAGE(OFFSET($BH$3,0,0,'Données projet'!$E$11+1,1))-AVERAGE(OFFSET($H$3,0,0,'Données projet'!$E$11+1,1))</f>
        <v>247.61330734992077</v>
      </c>
      <c r="BJ116" s="59">
        <f t="shared" si="92"/>
        <v>278.55937893537259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34.423447667645981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0</v>
      </c>
      <c r="BS116" s="22">
        <f t="shared" si="63"/>
        <v>34.423447667645981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54.834000000000131</v>
      </c>
      <c r="D117" s="11">
        <f t="shared" si="86"/>
        <v>15.855377295902201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545.67238614380744</v>
      </c>
      <c r="H117" s="66">
        <f t="shared" si="56"/>
        <v>416.45066545702986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636.99999999999977</v>
      </c>
      <c r="O117" s="13">
        <f>N117*VLOOKUP('Données projet'!$B$9,Paramètres!$A$1:$I$89,3,0)*VLOOKUP('Données projet'!$B$9,Paramètres!$A$1:$I$89,5,0)</f>
        <v>356.08299999999991</v>
      </c>
      <c r="P117" s="13">
        <f t="shared" si="87"/>
        <v>82.813805255716545</v>
      </c>
      <c r="Q117" s="20">
        <f t="shared" si="107"/>
        <v>764.41193582037283</v>
      </c>
      <c r="R117" s="59">
        <f t="shared" si="55"/>
        <v>1057.7452691537062</v>
      </c>
      <c r="S117" s="59">
        <f ca="1">AVERAGE(OFFSET($R$3,0,0,'Données projet'!$E$9+1,1))-AVERAGE(OFFSET($H$3,0,0,'Données projet'!$E$9+1,1))</f>
        <v>382.55387448074327</v>
      </c>
      <c r="T117" s="59">
        <f t="shared" si="88"/>
        <v>476.29465646955543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33.541646527266643</v>
      </c>
      <c r="AA117" s="21">
        <f>EXP(-LN(2)/25)*AA116+(1-EXP(-LN(2)/25))/(LN(2)/25)*Calculateur!V117*Calculateur!X117*VLOOKUP('Données projet'!$B$9,Paramètres!$A$1:$I$89,3,0)*0.475*44/12</f>
        <v>3.996611394897013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37.538257922163659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425.99999999999983</v>
      </c>
      <c r="AJ117" s="13">
        <f>AI117*VLOOKUP('Données projet'!$B$10,Paramètres!$A$1:$I$89,3,0)*VLOOKUP('Données projet'!$B$10,Paramètres!$A$1:$I$89,5,0)</f>
        <v>232.59599999999992</v>
      </c>
      <c r="AK117" s="13">
        <f t="shared" si="89"/>
        <v>56.843630236302218</v>
      </c>
      <c r="AL117" s="20">
        <f t="shared" si="58"/>
        <v>504.10735599489294</v>
      </c>
      <c r="AM117" s="59">
        <f t="shared" si="59"/>
        <v>797.4406893282262</v>
      </c>
      <c r="AN117" s="59">
        <f ca="1">AVERAGE(OFFSET($AM$3,0,0,'Données projet'!$E$10+1,1))-AVERAGE(OFFSET($H$3,0,0,'Données projet'!$E$10+1,1))</f>
        <v>417.99456559608217</v>
      </c>
      <c r="AO117" s="59">
        <f t="shared" si="90"/>
        <v>651.41353014863932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108.01466687261015</v>
      </c>
      <c r="AV117" s="21">
        <f>EXP(-LN(2)/25)*AV116+(1-EXP(-LN(2)/25))/(LN(2)/25)*Calculateur!AQ117*Calculateur!AS117*VLOOKUP('Données projet'!$B$10,Paramètres!$A$1:$I$89,3,0)*0.475*44/12</f>
        <v>4.5110940708975349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112.52576094350769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236.00000000000003</v>
      </c>
      <c r="BE117" s="13">
        <f>BD117*VLOOKUP('Données projet'!$B$11,Paramètres!$A$1:$I$89,3,0)*VLOOKUP('Données projet'!$B$11,Paramètres!$A$1:$I$89,5,0)</f>
        <v>206.16960000000006</v>
      </c>
      <c r="BF117" s="13">
        <f t="shared" si="91"/>
        <v>51.097652263007333</v>
      </c>
      <c r="BG117" s="20">
        <f t="shared" si="61"/>
        <v>448.07379769140448</v>
      </c>
      <c r="BH117" s="59">
        <f t="shared" si="62"/>
        <v>741.40713102473774</v>
      </c>
      <c r="BI117" s="59">
        <f ca="1">AVERAGE(OFFSET($BH$3,0,0,'Données projet'!$E$11+1,1))-AVERAGE(OFFSET($H$3,0,0,'Données projet'!$E$11+1,1))</f>
        <v>247.61330734992077</v>
      </c>
      <c r="BJ117" s="59">
        <f t="shared" si="92"/>
        <v>278.55937893537259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33.748424855113313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0</v>
      </c>
      <c r="BS117" s="22">
        <f t="shared" si="63"/>
        <v>33.748424855113313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55.315000000000133</v>
      </c>
      <c r="D118" s="11">
        <f t="shared" si="86"/>
        <v>15.978207841877643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550.33353421800382</v>
      </c>
      <c r="H118" s="66">
        <f t="shared" si="56"/>
        <v>417.5023369912704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636.99999999999977</v>
      </c>
      <c r="O118" s="13">
        <f>N118*VLOOKUP('Données projet'!$B$9,Paramètres!$A$1:$I$89,3,0)*VLOOKUP('Données projet'!$B$9,Paramètres!$A$1:$I$89,5,0)</f>
        <v>356.08299999999991</v>
      </c>
      <c r="P118" s="13">
        <f t="shared" si="87"/>
        <v>82.813805255716545</v>
      </c>
      <c r="Q118" s="20">
        <f t="shared" si="107"/>
        <v>764.41193582037283</v>
      </c>
      <c r="R118" s="59">
        <f t="shared" si="55"/>
        <v>1057.7452691537062</v>
      </c>
      <c r="S118" s="59">
        <f ca="1">AVERAGE(OFFSET($R$3,0,0,'Données projet'!$E$9+1,1))-AVERAGE(OFFSET($H$3,0,0,'Données projet'!$E$9+1,1))</f>
        <v>382.55387448074327</v>
      </c>
      <c r="T118" s="59">
        <f t="shared" si="88"/>
        <v>476.29465646955543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32.883915297251228</v>
      </c>
      <c r="AA118" s="21">
        <f>EXP(-LN(2)/25)*AA117+(1-EXP(-LN(2)/25))/(LN(2)/25)*Calculateur!V118*Calculateur!X118*VLOOKUP('Données projet'!$B$9,Paramètres!$A$1:$I$89,3,0)*0.475*44/12</f>
        <v>3.8873238461308954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36.771239143382125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425.99999999999983</v>
      </c>
      <c r="AJ118" s="13">
        <f>AI118*VLOOKUP('Données projet'!$B$10,Paramètres!$A$1:$I$89,3,0)*VLOOKUP('Données projet'!$B$10,Paramètres!$A$1:$I$89,5,0)</f>
        <v>232.59599999999992</v>
      </c>
      <c r="AK118" s="13">
        <f t="shared" si="89"/>
        <v>56.843630236302218</v>
      </c>
      <c r="AL118" s="20">
        <f t="shared" si="58"/>
        <v>504.10735599489294</v>
      </c>
      <c r="AM118" s="59">
        <f t="shared" si="59"/>
        <v>797.4406893282262</v>
      </c>
      <c r="AN118" s="59">
        <f ca="1">AVERAGE(OFFSET($AM$3,0,0,'Données projet'!$E$10+1,1))-AVERAGE(OFFSET($H$3,0,0,'Données projet'!$E$10+1,1))</f>
        <v>417.99456559608217</v>
      </c>
      <c r="AO118" s="59">
        <f t="shared" si="90"/>
        <v>651.41353014863932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105.8965651376797</v>
      </c>
      <c r="AV118" s="21">
        <f>EXP(-LN(2)/25)*AV117+(1-EXP(-LN(2)/25))/(LN(2)/25)*Calculateur!AQ118*Calculateur!AS118*VLOOKUP('Données projet'!$B$10,Paramètres!$A$1:$I$89,3,0)*0.475*44/12</f>
        <v>4.3877379663007146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110.28430310398042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236.00000000000003</v>
      </c>
      <c r="BE118" s="13">
        <f>BD118*VLOOKUP('Données projet'!$B$11,Paramètres!$A$1:$I$89,3,0)*VLOOKUP('Données projet'!$B$11,Paramètres!$A$1:$I$89,5,0)</f>
        <v>206.16960000000006</v>
      </c>
      <c r="BF118" s="13">
        <f t="shared" si="91"/>
        <v>51.097652263007333</v>
      </c>
      <c r="BG118" s="20">
        <f t="shared" si="61"/>
        <v>448.07379769140448</v>
      </c>
      <c r="BH118" s="59">
        <f t="shared" si="62"/>
        <v>741.40713102473774</v>
      </c>
      <c r="BI118" s="59">
        <f ca="1">AVERAGE(OFFSET($BH$3,0,0,'Données projet'!$E$11+1,1))-AVERAGE(OFFSET($H$3,0,0,'Données projet'!$E$11+1,1))</f>
        <v>247.61330734992077</v>
      </c>
      <c r="BJ118" s="59">
        <f t="shared" si="92"/>
        <v>278.55937893537259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33.08663882821115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0</v>
      </c>
      <c r="BS118" s="22">
        <f t="shared" si="63"/>
        <v>33.08663882821115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55.796000000000134</v>
      </c>
      <c r="D119" s="11">
        <f t="shared" si="86"/>
        <v>16.100914123220836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554.9937230564426</v>
      </c>
      <c r="H119" s="66">
        <f t="shared" si="56"/>
        <v>418.55379209794313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636.99999999999977</v>
      </c>
      <c r="O119" s="13">
        <f>N119*VLOOKUP('Données projet'!$B$9,Paramètres!$A$1:$I$89,3,0)*VLOOKUP('Données projet'!$B$9,Paramètres!$A$1:$I$89,5,0)</f>
        <v>356.08299999999991</v>
      </c>
      <c r="P119" s="13">
        <f t="shared" si="87"/>
        <v>82.813805255716545</v>
      </c>
      <c r="Q119" s="20">
        <f t="shared" si="107"/>
        <v>764.41193582037283</v>
      </c>
      <c r="R119" s="59">
        <f t="shared" si="55"/>
        <v>1057.7452691537062</v>
      </c>
      <c r="S119" s="59">
        <f ca="1">AVERAGE(OFFSET($R$3,0,0,'Données projet'!$E$9+1,1))-AVERAGE(OFFSET($H$3,0,0,'Données projet'!$E$9+1,1))</f>
        <v>382.55387448074327</v>
      </c>
      <c r="T119" s="59">
        <f t="shared" si="88"/>
        <v>476.29465646955543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32.239081775479981</v>
      </c>
      <c r="AA119" s="21">
        <f>EXP(-LN(2)/25)*AA118+(1-EXP(-LN(2)/25))/(LN(2)/25)*Calculateur!V119*Calculateur!X119*VLOOKUP('Données projet'!$B$9,Paramètres!$A$1:$I$89,3,0)*0.475*44/12</f>
        <v>3.7810247711329694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36.020106546612951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425.99999999999983</v>
      </c>
      <c r="AJ119" s="13">
        <f>AI119*VLOOKUP('Données projet'!$B$10,Paramètres!$A$1:$I$89,3,0)*VLOOKUP('Données projet'!$B$10,Paramètres!$A$1:$I$89,5,0)</f>
        <v>232.59599999999992</v>
      </c>
      <c r="AK119" s="13">
        <f t="shared" si="89"/>
        <v>56.843630236302218</v>
      </c>
      <c r="AL119" s="20">
        <f t="shared" si="58"/>
        <v>504.10735599489294</v>
      </c>
      <c r="AM119" s="59">
        <f t="shared" si="59"/>
        <v>797.4406893282262</v>
      </c>
      <c r="AN119" s="59">
        <f ca="1">AVERAGE(OFFSET($AM$3,0,0,'Données projet'!$E$10+1,1))-AVERAGE(OFFSET($H$3,0,0,'Données projet'!$E$10+1,1))</f>
        <v>417.99456559608217</v>
      </c>
      <c r="AO119" s="59">
        <f t="shared" si="90"/>
        <v>651.41353014863932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103.81999808585675</v>
      </c>
      <c r="AV119" s="21">
        <f>EXP(-LN(2)/25)*AV118+(1-EXP(-LN(2)/25))/(LN(2)/25)*Calculateur!AQ119*Calculateur!AS119*VLOOKUP('Données projet'!$B$10,Paramètres!$A$1:$I$89,3,0)*0.475*44/12</f>
        <v>4.2677550408711102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108.08775312672786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236.00000000000003</v>
      </c>
      <c r="BE119" s="13">
        <f>BD119*VLOOKUP('Données projet'!$B$11,Paramètres!$A$1:$I$89,3,0)*VLOOKUP('Données projet'!$B$11,Paramètres!$A$1:$I$89,5,0)</f>
        <v>206.16960000000006</v>
      </c>
      <c r="BF119" s="13">
        <f t="shared" si="91"/>
        <v>51.097652263007333</v>
      </c>
      <c r="BG119" s="20">
        <f t="shared" si="61"/>
        <v>448.07379769140448</v>
      </c>
      <c r="BH119" s="59">
        <f t="shared" si="62"/>
        <v>741.40713102473774</v>
      </c>
      <c r="BI119" s="59">
        <f ca="1">AVERAGE(OFFSET($BH$3,0,0,'Données projet'!$E$11+1,1))-AVERAGE(OFFSET($H$3,0,0,'Données projet'!$E$11+1,1))</f>
        <v>247.61330734992077</v>
      </c>
      <c r="BJ119" s="59">
        <f t="shared" si="92"/>
        <v>278.55937893537259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32.437830021646917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0</v>
      </c>
      <c r="BS119" s="22">
        <f t="shared" si="63"/>
        <v>32.437830021646917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56.277000000000136</v>
      </c>
      <c r="D120" s="11">
        <f t="shared" si="86"/>
        <v>16.22349733530163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559.65296188653986</v>
      </c>
      <c r="H120" s="66">
        <f t="shared" si="56"/>
        <v>419.60503285898386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636.99999999999977</v>
      </c>
      <c r="O120" s="13">
        <f>N120*VLOOKUP('Données projet'!$B$9,Paramètres!$A$1:$I$89,3,0)*VLOOKUP('Données projet'!$B$9,Paramètres!$A$1:$I$89,5,0)</f>
        <v>356.08299999999991</v>
      </c>
      <c r="P120" s="13">
        <f t="shared" si="87"/>
        <v>82.813805255716545</v>
      </c>
      <c r="Q120" s="20">
        <f t="shared" si="107"/>
        <v>764.41193582037283</v>
      </c>
      <c r="R120" s="59">
        <f t="shared" si="55"/>
        <v>1057.7452691537062</v>
      </c>
      <c r="S120" s="59">
        <f ca="1">AVERAGE(OFFSET($R$3,0,0,'Données projet'!$E$9+1,1))-AVERAGE(OFFSET($H$3,0,0,'Données projet'!$E$9+1,1))</f>
        <v>382.55387448074327</v>
      </c>
      <c r="T120" s="59">
        <f t="shared" si="88"/>
        <v>476.29465646955543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31.606893045761055</v>
      </c>
      <c r="AA120" s="21">
        <f>EXP(-LN(2)/25)*AA119+(1-EXP(-LN(2)/25))/(LN(2)/25)*Calculateur!V120*Calculateur!X120*VLOOKUP('Données projet'!$B$9,Paramètres!$A$1:$I$89,3,0)*0.475*44/12</f>
        <v>3.6776324499308872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35.284525495691945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425.99999999999983</v>
      </c>
      <c r="AJ120" s="13">
        <f>AI120*VLOOKUP('Données projet'!$B$10,Paramètres!$A$1:$I$89,3,0)*VLOOKUP('Données projet'!$B$10,Paramètres!$A$1:$I$89,5,0)</f>
        <v>232.59599999999992</v>
      </c>
      <c r="AK120" s="13">
        <f t="shared" si="89"/>
        <v>56.843630236302218</v>
      </c>
      <c r="AL120" s="20">
        <f t="shared" si="58"/>
        <v>504.10735599489294</v>
      </c>
      <c r="AM120" s="59">
        <f t="shared" si="59"/>
        <v>797.4406893282262</v>
      </c>
      <c r="AN120" s="59">
        <f ca="1">AVERAGE(OFFSET($AM$3,0,0,'Données projet'!$E$10+1,1))-AVERAGE(OFFSET($H$3,0,0,'Données projet'!$E$10+1,1))</f>
        <v>417.99456559608217</v>
      </c>
      <c r="AO120" s="59">
        <f t="shared" si="90"/>
        <v>651.41353014863932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101.78415124733921</v>
      </c>
      <c r="AV120" s="21">
        <f>EXP(-LN(2)/25)*AV119+(1-EXP(-LN(2)/25))/(LN(2)/25)*Calculateur!AQ120*Calculateur!AS120*VLOOKUP('Données projet'!$B$10,Paramètres!$A$1:$I$89,3,0)*0.475*44/12</f>
        <v>4.1510530548470062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105.93520430218622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236.00000000000003</v>
      </c>
      <c r="BE120" s="13">
        <f>BD120*VLOOKUP('Données projet'!$B$11,Paramètres!$A$1:$I$89,3,0)*VLOOKUP('Données projet'!$B$11,Paramètres!$A$1:$I$89,5,0)</f>
        <v>206.16960000000006</v>
      </c>
      <c r="BF120" s="13">
        <f t="shared" si="91"/>
        <v>51.097652263007333</v>
      </c>
      <c r="BG120" s="20">
        <f t="shared" si="61"/>
        <v>448.07379769140448</v>
      </c>
      <c r="BH120" s="59">
        <f t="shared" si="62"/>
        <v>741.40713102473774</v>
      </c>
      <c r="BI120" s="59">
        <f ca="1">AVERAGE(OFFSET($BH$3,0,0,'Données projet'!$E$11+1,1))-AVERAGE(OFFSET($H$3,0,0,'Données projet'!$E$11+1,1))</f>
        <v>247.61330734992077</v>
      </c>
      <c r="BJ120" s="59">
        <f t="shared" si="92"/>
        <v>278.55937893537259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31.801743960045116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0</v>
      </c>
      <c r="BS120" s="22">
        <f t="shared" si="63"/>
        <v>31.801743960045116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56.758000000000138</v>
      </c>
      <c r="D121" s="11">
        <f t="shared" si="86"/>
        <v>16.345958651876956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564.31125976887586</v>
      </c>
      <c r="H121" s="66">
        <f t="shared" si="56"/>
        <v>420.65606131868589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636.99999999999977</v>
      </c>
      <c r="O121" s="13">
        <f>N121*VLOOKUP('Données projet'!$B$9,Paramètres!$A$1:$I$89,3,0)*VLOOKUP('Données projet'!$B$9,Paramètres!$A$1:$I$89,5,0)</f>
        <v>356.08299999999991</v>
      </c>
      <c r="P121" s="13">
        <f t="shared" si="87"/>
        <v>82.813805255716545</v>
      </c>
      <c r="Q121" s="20">
        <f t="shared" si="107"/>
        <v>764.41193582037283</v>
      </c>
      <c r="R121" s="59">
        <f t="shared" si="55"/>
        <v>1057.7452691537062</v>
      </c>
      <c r="S121" s="59">
        <f ca="1">AVERAGE(OFFSET($R$3,0,0,'Données projet'!$E$9+1,1))-AVERAGE(OFFSET($H$3,0,0,'Données projet'!$E$9+1,1))</f>
        <v>382.55387448074327</v>
      </c>
      <c r="T121" s="59">
        <f t="shared" si="88"/>
        <v>476.29465646955543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30.987101151434864</v>
      </c>
      <c r="AA121" s="21">
        <f>EXP(-LN(2)/25)*AA120+(1-EXP(-LN(2)/25))/(LN(2)/25)*Calculateur!V121*Calculateur!X121*VLOOKUP('Données projet'!$B$9,Paramètres!$A$1:$I$89,3,0)*0.475*44/12</f>
        <v>3.5770673971892419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34.564168548624103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425.99999999999983</v>
      </c>
      <c r="AJ121" s="13">
        <f>AI121*VLOOKUP('Données projet'!$B$10,Paramètres!$A$1:$I$89,3,0)*VLOOKUP('Données projet'!$B$10,Paramètres!$A$1:$I$89,5,0)</f>
        <v>232.59599999999992</v>
      </c>
      <c r="AK121" s="13">
        <f t="shared" si="89"/>
        <v>56.843630236302218</v>
      </c>
      <c r="AL121" s="20">
        <f t="shared" si="58"/>
        <v>504.10735599489294</v>
      </c>
      <c r="AM121" s="59">
        <f t="shared" si="59"/>
        <v>797.4406893282262</v>
      </c>
      <c r="AN121" s="59">
        <f ca="1">AVERAGE(OFFSET($AM$3,0,0,'Données projet'!$E$10+1,1))-AVERAGE(OFFSET($H$3,0,0,'Données projet'!$E$10+1,1))</f>
        <v>417.99456559608217</v>
      </c>
      <c r="AO121" s="59">
        <f t="shared" si="90"/>
        <v>651.41353014863932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99.78822612358104</v>
      </c>
      <c r="AV121" s="21">
        <f>EXP(-LN(2)/25)*AV120+(1-EXP(-LN(2)/25))/(LN(2)/25)*Calculateur!AQ121*Calculateur!AS121*VLOOKUP('Données projet'!$B$10,Paramètres!$A$1:$I$89,3,0)*0.475*44/12</f>
        <v>4.0375422907678216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103.82576841434886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236.00000000000003</v>
      </c>
      <c r="BE121" s="13">
        <f>BD121*VLOOKUP('Données projet'!$B$11,Paramètres!$A$1:$I$89,3,0)*VLOOKUP('Données projet'!$B$11,Paramètres!$A$1:$I$89,5,0)</f>
        <v>206.16960000000006</v>
      </c>
      <c r="BF121" s="13">
        <f t="shared" si="91"/>
        <v>51.097652263007333</v>
      </c>
      <c r="BG121" s="20">
        <f t="shared" si="61"/>
        <v>448.07379769140448</v>
      </c>
      <c r="BH121" s="59">
        <f t="shared" si="62"/>
        <v>741.40713102473774</v>
      </c>
      <c r="BI121" s="59">
        <f ca="1">AVERAGE(OFFSET($BH$3,0,0,'Données projet'!$E$11+1,1))-AVERAGE(OFFSET($H$3,0,0,'Données projet'!$E$11+1,1))</f>
        <v>247.61330734992077</v>
      </c>
      <c r="BJ121" s="59">
        <f t="shared" si="92"/>
        <v>278.55937893537259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31.178131158137138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0</v>
      </c>
      <c r="BS121" s="22">
        <f t="shared" si="63"/>
        <v>31.178131158137138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57.239000000000139</v>
      </c>
      <c r="D122" s="11">
        <f t="shared" si="86"/>
        <v>16.468299225661315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568.9686256015973</v>
      </c>
      <c r="H122" s="66">
        <f t="shared" si="56"/>
        <v>421.70687948469367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636.99999999999977</v>
      </c>
      <c r="O122" s="13">
        <f>N122*VLOOKUP('Données projet'!$B$9,Paramètres!$A$1:$I$89,3,0)*VLOOKUP('Données projet'!$B$9,Paramètres!$A$1:$I$89,5,0)</f>
        <v>356.08299999999991</v>
      </c>
      <c r="P122" s="13">
        <f t="shared" si="87"/>
        <v>82.813805255716545</v>
      </c>
      <c r="Q122" s="20">
        <f t="shared" si="107"/>
        <v>764.41193582037283</v>
      </c>
      <c r="R122" s="59">
        <f t="shared" si="55"/>
        <v>1057.7452691537062</v>
      </c>
      <c r="S122" s="59">
        <f ca="1">AVERAGE(OFFSET($R$3,0,0,'Données projet'!$E$9+1,1))-AVERAGE(OFFSET($H$3,0,0,'Données projet'!$E$9+1,1))</f>
        <v>382.55387448074327</v>
      </c>
      <c r="T122" s="59">
        <f t="shared" si="88"/>
        <v>476.29465646955543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30.379462998120683</v>
      </c>
      <c r="AA122" s="21">
        <f>EXP(-LN(2)/25)*AA121+(1-EXP(-LN(2)/25))/(LN(2)/25)*Calculateur!V122*Calculateur!X122*VLOOKUP('Données projet'!$B$9,Paramètres!$A$1:$I$89,3,0)*0.475*44/12</f>
        <v>3.4792523011033034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33.858715299223988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425.99999999999983</v>
      </c>
      <c r="AJ122" s="13">
        <f>AI122*VLOOKUP('Données projet'!$B$10,Paramètres!$A$1:$I$89,3,0)*VLOOKUP('Données projet'!$B$10,Paramètres!$A$1:$I$89,5,0)</f>
        <v>232.59599999999992</v>
      </c>
      <c r="AK122" s="13">
        <f t="shared" si="89"/>
        <v>56.843630236302218</v>
      </c>
      <c r="AL122" s="20">
        <f t="shared" si="58"/>
        <v>504.10735599489294</v>
      </c>
      <c r="AM122" s="59">
        <f t="shared" si="59"/>
        <v>797.4406893282262</v>
      </c>
      <c r="AN122" s="59">
        <f ca="1">AVERAGE(OFFSET($AM$3,0,0,'Données projet'!$E$10+1,1))-AVERAGE(OFFSET($H$3,0,0,'Données projet'!$E$10+1,1))</f>
        <v>417.99456559608217</v>
      </c>
      <c r="AO122" s="59">
        <f t="shared" si="90"/>
        <v>651.41353014863932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97.831439874105655</v>
      </c>
      <c r="AV122" s="21">
        <f>EXP(-LN(2)/25)*AV121+(1-EXP(-LN(2)/25))/(LN(2)/25)*Calculateur!AQ122*Calculateur!AS122*VLOOKUP('Données projet'!$B$10,Paramètres!$A$1:$I$89,3,0)*0.475*44/12</f>
        <v>3.9271354845016542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101.7585753586073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236.00000000000003</v>
      </c>
      <c r="BE122" s="13">
        <f>BD122*VLOOKUP('Données projet'!$B$11,Paramètres!$A$1:$I$89,3,0)*VLOOKUP('Données projet'!$B$11,Paramètres!$A$1:$I$89,5,0)</f>
        <v>206.16960000000006</v>
      </c>
      <c r="BF122" s="13">
        <f t="shared" si="91"/>
        <v>51.097652263007333</v>
      </c>
      <c r="BG122" s="20">
        <f t="shared" si="61"/>
        <v>448.07379769140448</v>
      </c>
      <c r="BH122" s="59">
        <f t="shared" si="62"/>
        <v>741.40713102473774</v>
      </c>
      <c r="BI122" s="59">
        <f ca="1">AVERAGE(OFFSET($BH$3,0,0,'Données projet'!$E$11+1,1))-AVERAGE(OFFSET($H$3,0,0,'Données projet'!$E$11+1,1))</f>
        <v>247.61330734992077</v>
      </c>
      <c r="BJ122" s="59">
        <f t="shared" si="92"/>
        <v>278.55937893537259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30.566747022908324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0</v>
      </c>
      <c r="BS122" s="22">
        <f t="shared" si="63"/>
        <v>30.566747022908324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57.720000000000141</v>
      </c>
      <c r="D123" s="11">
        <f t="shared" si="86"/>
        <v>16.590520188877683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573.62506812467097</v>
      </c>
      <c r="H123" s="66">
        <f t="shared" si="56"/>
        <v>422.75748932896221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636.99999999999977</v>
      </c>
      <c r="O123" s="13">
        <f>N123*VLOOKUP('Données projet'!$B$9,Paramètres!$A$1:$I$89,3,0)*VLOOKUP('Données projet'!$B$9,Paramètres!$A$1:$I$89,5,0)</f>
        <v>356.08299999999991</v>
      </c>
      <c r="P123" s="13">
        <f t="shared" si="87"/>
        <v>82.813805255716545</v>
      </c>
      <c r="Q123" s="20">
        <f t="shared" si="107"/>
        <v>764.41193582037283</v>
      </c>
      <c r="R123" s="59">
        <f t="shared" si="55"/>
        <v>1057.7452691537062</v>
      </c>
      <c r="S123" s="59">
        <f ca="1">AVERAGE(OFFSET($R$3,0,0,'Données projet'!$E$9+1,1))-AVERAGE(OFFSET($H$3,0,0,'Données projet'!$E$9+1,1))</f>
        <v>382.55387448074327</v>
      </c>
      <c r="T123" s="59">
        <f t="shared" si="88"/>
        <v>476.29465646955543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29.783740258370315</v>
      </c>
      <c r="AA123" s="21">
        <f>EXP(-LN(2)/25)*AA122+(1-EXP(-LN(2)/25))/(LN(2)/25)*Calculateur!V123*Calculateur!X123*VLOOKUP('Données projet'!$B$9,Paramètres!$A$1:$I$89,3,0)*0.475*44/12</f>
        <v>3.3841119639637069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33.16785222233402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425.99999999999983</v>
      </c>
      <c r="AJ123" s="13">
        <f>AI123*VLOOKUP('Données projet'!$B$10,Paramètres!$A$1:$I$89,3,0)*VLOOKUP('Données projet'!$B$10,Paramètres!$A$1:$I$89,5,0)</f>
        <v>232.59599999999992</v>
      </c>
      <c r="AK123" s="13">
        <f t="shared" si="89"/>
        <v>56.843630236302218</v>
      </c>
      <c r="AL123" s="20">
        <f t="shared" si="58"/>
        <v>504.10735599489294</v>
      </c>
      <c r="AM123" s="59">
        <f t="shared" si="59"/>
        <v>797.4406893282262</v>
      </c>
      <c r="AN123" s="59">
        <f ca="1">AVERAGE(OFFSET($AM$3,0,0,'Données projet'!$E$10+1,1))-AVERAGE(OFFSET($H$3,0,0,'Données projet'!$E$10+1,1))</f>
        <v>417.99456559608217</v>
      </c>
      <c r="AO123" s="59">
        <f t="shared" si="90"/>
        <v>651.41353014863932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95.913025009460711</v>
      </c>
      <c r="AV123" s="21">
        <f>EXP(-LN(2)/25)*AV122+(1-EXP(-LN(2)/25))/(LN(2)/25)*Calculateur!AQ123*Calculateur!AS123*VLOOKUP('Données projet'!$B$10,Paramètres!$A$1:$I$89,3,0)*0.475*44/12</f>
        <v>3.819747758158877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99.732772767619593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236.00000000000003</v>
      </c>
      <c r="BE123" s="13">
        <f>BD123*VLOOKUP('Données projet'!$B$11,Paramètres!$A$1:$I$89,3,0)*VLOOKUP('Données projet'!$B$11,Paramètres!$A$1:$I$89,5,0)</f>
        <v>206.16960000000006</v>
      </c>
      <c r="BF123" s="13">
        <f t="shared" si="91"/>
        <v>51.097652263007333</v>
      </c>
      <c r="BG123" s="20">
        <f t="shared" si="61"/>
        <v>448.07379769140448</v>
      </c>
      <c r="BH123" s="59">
        <f t="shared" si="62"/>
        <v>741.40713102473774</v>
      </c>
      <c r="BI123" s="59">
        <f ca="1">AVERAGE(OFFSET($BH$3,0,0,'Données projet'!$E$11+1,1))-AVERAGE(OFFSET($H$3,0,0,'Données projet'!$E$11+1,1))</f>
        <v>247.61330734992077</v>
      </c>
      <c r="BJ123" s="59">
        <f t="shared" si="92"/>
        <v>278.55937893537259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29.967351757663845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0</v>
      </c>
      <c r="BS123" s="22">
        <f t="shared" si="63"/>
        <v>29.967351757663845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58.201000000000143</v>
      </c>
      <c r="D124" s="11">
        <f t="shared" si="86"/>
        <v>16.712622653789325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578.28059592398893</v>
      </c>
      <c r="H124" s="66">
        <f t="shared" si="56"/>
        <v>423.80789278868326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636.99999999999977</v>
      </c>
      <c r="O124" s="13">
        <f>N124*VLOOKUP('Données projet'!$B$9,Paramètres!$A$1:$I$89,3,0)*VLOOKUP('Données projet'!$B$9,Paramètres!$A$1:$I$89,5,0)</f>
        <v>356.08299999999991</v>
      </c>
      <c r="P124" s="13">
        <f t="shared" si="87"/>
        <v>82.813805255716545</v>
      </c>
      <c r="Q124" s="20">
        <f t="shared" si="107"/>
        <v>764.41193582037283</v>
      </c>
      <c r="R124" s="59">
        <f t="shared" si="55"/>
        <v>1057.7452691537062</v>
      </c>
      <c r="S124" s="59">
        <f ca="1">AVERAGE(OFFSET($R$3,0,0,'Données projet'!$E$9+1,1))-AVERAGE(OFFSET($H$3,0,0,'Données projet'!$E$9+1,1))</f>
        <v>382.55387448074327</v>
      </c>
      <c r="T124" s="59">
        <f t="shared" si="88"/>
        <v>476.29465646955543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29.19969927819146</v>
      </c>
      <c r="AA124" s="21">
        <f>EXP(-LN(2)/25)*AA123+(1-EXP(-LN(2)/25))/(LN(2)/25)*Calculateur!V124*Calculateur!X124*VLOOKUP('Données projet'!$B$9,Paramètres!$A$1:$I$89,3,0)*0.475*44/12</f>
        <v>3.2915732443464059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32.491272522537869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425.99999999999983</v>
      </c>
      <c r="AJ124" s="13">
        <f>AI124*VLOOKUP('Données projet'!$B$10,Paramètres!$A$1:$I$89,3,0)*VLOOKUP('Données projet'!$B$10,Paramètres!$A$1:$I$89,5,0)</f>
        <v>232.59599999999992</v>
      </c>
      <c r="AK124" s="13">
        <f t="shared" si="89"/>
        <v>56.843630236302218</v>
      </c>
      <c r="AL124" s="20">
        <f t="shared" si="58"/>
        <v>504.10735599489294</v>
      </c>
      <c r="AM124" s="59">
        <f t="shared" si="59"/>
        <v>797.4406893282262</v>
      </c>
      <c r="AN124" s="59">
        <f ca="1">AVERAGE(OFFSET($AM$3,0,0,'Données projet'!$E$10+1,1))-AVERAGE(OFFSET($H$3,0,0,'Données projet'!$E$10+1,1))</f>
        <v>417.99456559608217</v>
      </c>
      <c r="AO124" s="59">
        <f t="shared" si="90"/>
        <v>651.41353014863932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94.032229090193937</v>
      </c>
      <c r="AV124" s="21">
        <f>EXP(-LN(2)/25)*AV123+(1-EXP(-LN(2)/25))/(LN(2)/25)*Calculateur!AQ124*Calculateur!AS124*VLOOKUP('Données projet'!$B$10,Paramètres!$A$1:$I$89,3,0)*0.475*44/12</f>
        <v>3.7152965548402181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97.747525645034159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236.00000000000003</v>
      </c>
      <c r="BE124" s="13">
        <f>BD124*VLOOKUP('Données projet'!$B$11,Paramètres!$A$1:$I$89,3,0)*VLOOKUP('Données projet'!$B$11,Paramètres!$A$1:$I$89,5,0)</f>
        <v>206.16960000000006</v>
      </c>
      <c r="BF124" s="13">
        <f t="shared" si="91"/>
        <v>51.097652263007333</v>
      </c>
      <c r="BG124" s="20">
        <f t="shared" si="61"/>
        <v>448.07379769140448</v>
      </c>
      <c r="BH124" s="59">
        <f t="shared" si="62"/>
        <v>741.40713102473774</v>
      </c>
      <c r="BI124" s="59">
        <f ca="1">AVERAGE(OFFSET($BH$3,0,0,'Données projet'!$E$11+1,1))-AVERAGE(OFFSET($H$3,0,0,'Données projet'!$E$11+1,1))</f>
        <v>247.61330734992077</v>
      </c>
      <c r="BJ124" s="59">
        <f t="shared" si="92"/>
        <v>278.55937893537259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29.379710267975799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0</v>
      </c>
      <c r="BS124" s="22">
        <f t="shared" si="63"/>
        <v>29.379710267975799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58.682000000000144</v>
      </c>
      <c r="D125" s="11">
        <f t="shared" si="86"/>
        <v>16.834607713213771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582.93521743533552</v>
      </c>
      <c r="H125" s="66">
        <f t="shared" si="56"/>
        <v>424.85809176718089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636.99999999999977</v>
      </c>
      <c r="O125" s="13">
        <f>N125*VLOOKUP('Données projet'!$B$9,Paramètres!$A$1:$I$89,3,0)*VLOOKUP('Données projet'!$B$9,Paramètres!$A$1:$I$89,5,0)</f>
        <v>356.08299999999991</v>
      </c>
      <c r="P125" s="13">
        <f t="shared" si="87"/>
        <v>82.813805255716545</v>
      </c>
      <c r="Q125" s="20">
        <f t="shared" si="107"/>
        <v>764.41193582037283</v>
      </c>
      <c r="R125" s="59">
        <f t="shared" si="55"/>
        <v>1057.7452691537062</v>
      </c>
      <c r="S125" s="59">
        <f ca="1">AVERAGE(OFFSET($R$3,0,0,'Données projet'!$E$9+1,1))-AVERAGE(OFFSET($H$3,0,0,'Données projet'!$E$9+1,1))</f>
        <v>382.55387448074327</v>
      </c>
      <c r="T125" s="59">
        <f t="shared" si="88"/>
        <v>476.29465646955543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28.627110985404087</v>
      </c>
      <c r="AA125" s="21">
        <f>EXP(-LN(2)/25)*AA124+(1-EXP(-LN(2)/25))/(LN(2)/25)*Calculateur!V125*Calculateur!X125*VLOOKUP('Données projet'!$B$9,Paramètres!$A$1:$I$89,3,0)*0.475*44/12</f>
        <v>3.2015650008834395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31.828675986287529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425.99999999999983</v>
      </c>
      <c r="AJ125" s="13">
        <f>AI125*VLOOKUP('Données projet'!$B$10,Paramètres!$A$1:$I$89,3,0)*VLOOKUP('Données projet'!$B$10,Paramètres!$A$1:$I$89,5,0)</f>
        <v>232.59599999999992</v>
      </c>
      <c r="AK125" s="13">
        <f t="shared" si="89"/>
        <v>56.843630236302218</v>
      </c>
      <c r="AL125" s="20">
        <f t="shared" si="58"/>
        <v>504.10735599489294</v>
      </c>
      <c r="AM125" s="59">
        <f t="shared" si="59"/>
        <v>797.4406893282262</v>
      </c>
      <c r="AN125" s="59">
        <f ca="1">AVERAGE(OFFSET($AM$3,0,0,'Données projet'!$E$10+1,1))-AVERAGE(OFFSET($H$3,0,0,'Données projet'!$E$10+1,1))</f>
        <v>417.99456559608217</v>
      </c>
      <c r="AO125" s="59">
        <f t="shared" si="90"/>
        <v>651.41353014863932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92.18831443173174</v>
      </c>
      <c r="AV125" s="21">
        <f>EXP(-LN(2)/25)*AV124+(1-EXP(-LN(2)/25))/(LN(2)/25)*Calculateur!AQ125*Calculateur!AS125*VLOOKUP('Données projet'!$B$10,Paramètres!$A$1:$I$89,3,0)*0.475*44/12</f>
        <v>3.6137015751691579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95.802016006900899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236.00000000000003</v>
      </c>
      <c r="BE125" s="13">
        <f>BD125*VLOOKUP('Données projet'!$B$11,Paramètres!$A$1:$I$89,3,0)*VLOOKUP('Données projet'!$B$11,Paramètres!$A$1:$I$89,5,0)</f>
        <v>206.16960000000006</v>
      </c>
      <c r="BF125" s="13">
        <f t="shared" si="91"/>
        <v>51.097652263007333</v>
      </c>
      <c r="BG125" s="20">
        <f t="shared" si="61"/>
        <v>448.07379769140448</v>
      </c>
      <c r="BH125" s="59">
        <f t="shared" si="62"/>
        <v>741.40713102473774</v>
      </c>
      <c r="BI125" s="59">
        <f ca="1">AVERAGE(OFFSET($BH$3,0,0,'Données projet'!$E$11+1,1))-AVERAGE(OFFSET($H$3,0,0,'Données projet'!$E$11+1,1))</f>
        <v>247.61330734992077</v>
      </c>
      <c r="BJ125" s="59">
        <f t="shared" si="92"/>
        <v>278.55937893537259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28.803592069474618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0</v>
      </c>
      <c r="BS125" s="22">
        <f t="shared" si="63"/>
        <v>28.803592069474618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59.163000000000146</v>
      </c>
      <c r="D126" s="11">
        <f t="shared" si="86"/>
        <v>16.956476441019255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587.58894094821994</v>
      </c>
      <c r="H126" s="66">
        <f t="shared" si="56"/>
        <v>425.90808813477543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636.99999999999977</v>
      </c>
      <c r="O126" s="13">
        <f>N126*VLOOKUP('Données projet'!$B$9,Paramètres!$A$1:$I$89,3,0)*VLOOKUP('Données projet'!$B$9,Paramètres!$A$1:$I$89,5,0)</f>
        <v>356.08299999999991</v>
      </c>
      <c r="P126" s="13">
        <f t="shared" si="87"/>
        <v>82.813805255716545</v>
      </c>
      <c r="Q126" s="20">
        <f t="shared" si="107"/>
        <v>764.41193582037283</v>
      </c>
      <c r="R126" s="59">
        <f t="shared" si="55"/>
        <v>1057.7452691537062</v>
      </c>
      <c r="S126" s="59">
        <f ca="1">AVERAGE(OFFSET($R$3,0,0,'Données projet'!$E$9+1,1))-AVERAGE(OFFSET($H$3,0,0,'Données projet'!$E$9+1,1))</f>
        <v>382.55387448074327</v>
      </c>
      <c r="T126" s="59">
        <f t="shared" si="88"/>
        <v>476.29465646955543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28.065750799793904</v>
      </c>
      <c r="AA126" s="21">
        <f>EXP(-LN(2)/25)*AA125+(1-EXP(-LN(2)/25))/(LN(2)/25)*Calculateur!V126*Calculateur!X126*VLOOKUP('Données projet'!$B$9,Paramètres!$A$1:$I$89,3,0)*0.475*44/12</f>
        <v>3.1140180375712956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31.179768837365199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425.99999999999983</v>
      </c>
      <c r="AJ126" s="13">
        <f>AI126*VLOOKUP('Données projet'!$B$10,Paramètres!$A$1:$I$89,3,0)*VLOOKUP('Données projet'!$B$10,Paramètres!$A$1:$I$89,5,0)</f>
        <v>232.59599999999992</v>
      </c>
      <c r="AK126" s="13">
        <f t="shared" si="89"/>
        <v>56.843630236302218</v>
      </c>
      <c r="AL126" s="20">
        <f t="shared" si="58"/>
        <v>504.10735599489294</v>
      </c>
      <c r="AM126" s="59">
        <f t="shared" si="59"/>
        <v>797.4406893282262</v>
      </c>
      <c r="AN126" s="59">
        <f ca="1">AVERAGE(OFFSET($AM$3,0,0,'Données projet'!$E$10+1,1))-AVERAGE(OFFSET($H$3,0,0,'Données projet'!$E$10+1,1))</f>
        <v>417.99456559608217</v>
      </c>
      <c r="AO126" s="59">
        <f t="shared" si="90"/>
        <v>651.41353014863932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90.380557815045094</v>
      </c>
      <c r="AV126" s="21">
        <f>EXP(-LN(2)/25)*AV125+(1-EXP(-LN(2)/25))/(LN(2)/25)*Calculateur!AQ126*Calculateur!AS126*VLOOKUP('Données projet'!$B$10,Paramètres!$A$1:$I$89,3,0)*0.475*44/12</f>
        <v>3.5148847155598508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93.895442530604939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236.00000000000003</v>
      </c>
      <c r="BE126" s="13">
        <f>BD126*VLOOKUP('Données projet'!$B$11,Paramètres!$A$1:$I$89,3,0)*VLOOKUP('Données projet'!$B$11,Paramètres!$A$1:$I$89,5,0)</f>
        <v>206.16960000000006</v>
      </c>
      <c r="BF126" s="13">
        <f t="shared" si="91"/>
        <v>51.097652263007333</v>
      </c>
      <c r="BG126" s="20">
        <f t="shared" si="61"/>
        <v>448.07379769140448</v>
      </c>
      <c r="BH126" s="59">
        <f t="shared" si="62"/>
        <v>741.40713102473774</v>
      </c>
      <c r="BI126" s="59">
        <f ca="1">AVERAGE(OFFSET($BH$3,0,0,'Données projet'!$E$11+1,1))-AVERAGE(OFFSET($H$3,0,0,'Données projet'!$E$11+1,1))</f>
        <v>247.61330734992077</v>
      </c>
      <c r="BJ126" s="59">
        <f t="shared" si="92"/>
        <v>278.55937893537259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28.238771197448642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0</v>
      </c>
      <c r="BS126" s="22">
        <f t="shared" si="63"/>
        <v>28.238771197448642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59.644000000000148</v>
      </c>
      <c r="D127" s="11">
        <f t="shared" si="86"/>
        <v>17.07822989260459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592.24177460958037</v>
      </c>
      <c r="H127" s="66">
        <f t="shared" si="56"/>
        <v>426.95788372961988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636.99999999999977</v>
      </c>
      <c r="O127" s="13">
        <f>N127*VLOOKUP('Données projet'!$B$9,Paramètres!$A$1:$I$89,3,0)*VLOOKUP('Données projet'!$B$9,Paramètres!$A$1:$I$89,5,0)</f>
        <v>356.08299999999991</v>
      </c>
      <c r="P127" s="13">
        <f t="shared" si="87"/>
        <v>82.813805255716545</v>
      </c>
      <c r="Q127" s="20">
        <f t="shared" si="107"/>
        <v>764.41193582037283</v>
      </c>
      <c r="R127" s="59">
        <f t="shared" si="55"/>
        <v>1057.7452691537062</v>
      </c>
      <c r="S127" s="59">
        <f ca="1">AVERAGE(OFFSET($R$3,0,0,'Données projet'!$E$9+1,1))-AVERAGE(OFFSET($H$3,0,0,'Données projet'!$E$9+1,1))</f>
        <v>382.55387448074327</v>
      </c>
      <c r="T127" s="59">
        <f t="shared" si="88"/>
        <v>476.29465646955543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27.515398545027629</v>
      </c>
      <c r="AA127" s="21">
        <f>EXP(-LN(2)/25)*AA126+(1-EXP(-LN(2)/25))/(LN(2)/25)*Calculateur!V127*Calculateur!X127*VLOOKUP('Données projet'!$B$9,Paramètres!$A$1:$I$89,3,0)*0.475*44/12</f>
        <v>3.0288650505748169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30.544263595602445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425.99999999999983</v>
      </c>
      <c r="AJ127" s="13">
        <f>AI127*VLOOKUP('Données projet'!$B$10,Paramètres!$A$1:$I$89,3,0)*VLOOKUP('Données projet'!$B$10,Paramètres!$A$1:$I$89,5,0)</f>
        <v>232.59599999999992</v>
      </c>
      <c r="AK127" s="13">
        <f t="shared" si="89"/>
        <v>56.843630236302218</v>
      </c>
      <c r="AL127" s="20">
        <f t="shared" si="58"/>
        <v>504.10735599489294</v>
      </c>
      <c r="AM127" s="59">
        <f t="shared" si="59"/>
        <v>797.4406893282262</v>
      </c>
      <c r="AN127" s="59">
        <f ca="1">AVERAGE(OFFSET($AM$3,0,0,'Données projet'!$E$10+1,1))-AVERAGE(OFFSET($H$3,0,0,'Données projet'!$E$10+1,1))</f>
        <v>417.99456559608217</v>
      </c>
      <c r="AO127" s="59">
        <f t="shared" si="90"/>
        <v>651.41353014863932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88.608250202989012</v>
      </c>
      <c r="AV127" s="21">
        <f>EXP(-LN(2)/25)*AV126+(1-EXP(-LN(2)/25))/(LN(2)/25)*Calculateur!AQ127*Calculateur!AS127*VLOOKUP('Données projet'!$B$10,Paramètres!$A$1:$I$89,3,0)*0.475*44/12</f>
        <v>3.4187700081731127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92.027020211162124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236.00000000000003</v>
      </c>
      <c r="BE127" s="13">
        <f>BD127*VLOOKUP('Données projet'!$B$11,Paramètres!$A$1:$I$89,3,0)*VLOOKUP('Données projet'!$B$11,Paramètres!$A$1:$I$89,5,0)</f>
        <v>206.16960000000006</v>
      </c>
      <c r="BF127" s="13">
        <f t="shared" si="91"/>
        <v>51.097652263007333</v>
      </c>
      <c r="BG127" s="20">
        <f t="shared" si="61"/>
        <v>448.07379769140448</v>
      </c>
      <c r="BH127" s="59">
        <f t="shared" si="62"/>
        <v>741.40713102473774</v>
      </c>
      <c r="BI127" s="59">
        <f ca="1">AVERAGE(OFFSET($BH$3,0,0,'Données projet'!$E$11+1,1))-AVERAGE(OFFSET($H$3,0,0,'Données projet'!$E$11+1,1))</f>
        <v>247.61330734992077</v>
      </c>
      <c r="BJ127" s="59">
        <f t="shared" si="92"/>
        <v>278.55937893537259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27.685026118216381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0</v>
      </c>
      <c r="BS127" s="22">
        <f t="shared" si="63"/>
        <v>27.685026118216381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60.125000000000149</v>
      </c>
      <c r="D128" s="11">
        <f t="shared" si="86"/>
        <v>17.199869105363234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596.89372642736646</v>
      </c>
      <c r="H128" s="66">
        <f t="shared" si="56"/>
        <v>428.00748035850785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636.99999999999977</v>
      </c>
      <c r="O128" s="13">
        <f>N128*VLOOKUP('Données projet'!$B$9,Paramètres!$A$1:$I$89,3,0)*VLOOKUP('Données projet'!$B$9,Paramètres!$A$1:$I$89,5,0)</f>
        <v>356.08299999999991</v>
      </c>
      <c r="P128" s="13">
        <f t="shared" si="87"/>
        <v>82.813805255716545</v>
      </c>
      <c r="Q128" s="20">
        <f t="shared" si="107"/>
        <v>764.41193582037283</v>
      </c>
      <c r="R128" s="59">
        <f t="shared" si="55"/>
        <v>1057.7452691537062</v>
      </c>
      <c r="S128" s="59">
        <f ca="1">AVERAGE(OFFSET($R$3,0,0,'Données projet'!$E$9+1,1))-AVERAGE(OFFSET($H$3,0,0,'Données projet'!$E$9+1,1))</f>
        <v>382.55387448074327</v>
      </c>
      <c r="T128" s="59">
        <f t="shared" si="88"/>
        <v>476.29465646955543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26.975838362295594</v>
      </c>
      <c r="AA128" s="21">
        <f>EXP(-LN(2)/25)*AA127+(1-EXP(-LN(2)/25))/(LN(2)/25)*Calculateur!V128*Calculateur!X128*VLOOKUP('Données projet'!$B$9,Paramètres!$A$1:$I$89,3,0)*0.475*44/12</f>
        <v>2.9460405764857582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29.921878938781351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425.99999999999983</v>
      </c>
      <c r="AJ128" s="13">
        <f>AI128*VLOOKUP('Données projet'!$B$10,Paramètres!$A$1:$I$89,3,0)*VLOOKUP('Données projet'!$B$10,Paramètres!$A$1:$I$89,5,0)</f>
        <v>232.59599999999992</v>
      </c>
      <c r="AK128" s="13">
        <f t="shared" si="89"/>
        <v>56.843630236302218</v>
      </c>
      <c r="AL128" s="20">
        <f t="shared" si="58"/>
        <v>504.10735599489294</v>
      </c>
      <c r="AM128" s="59">
        <f t="shared" si="59"/>
        <v>797.4406893282262</v>
      </c>
      <c r="AN128" s="59">
        <f ca="1">AVERAGE(OFFSET($AM$3,0,0,'Données projet'!$E$10+1,1))-AVERAGE(OFFSET($H$3,0,0,'Données projet'!$E$10+1,1))</f>
        <v>417.99456559608217</v>
      </c>
      <c r="AO128" s="59">
        <f t="shared" si="90"/>
        <v>651.41353014863932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86.87069646220445</v>
      </c>
      <c r="AV128" s="21">
        <f>EXP(-LN(2)/25)*AV127+(1-EXP(-LN(2)/25))/(LN(2)/25)*Calculateur!AQ128*Calculateur!AS128*VLOOKUP('Données projet'!$B$10,Paramètres!$A$1:$I$89,3,0)*0.475*44/12</f>
        <v>3.325283562514318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90.195980024718764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236.00000000000003</v>
      </c>
      <c r="BE128" s="13">
        <f>BD128*VLOOKUP('Données projet'!$B$11,Paramètres!$A$1:$I$89,3,0)*VLOOKUP('Données projet'!$B$11,Paramètres!$A$1:$I$89,5,0)</f>
        <v>206.16960000000006</v>
      </c>
      <c r="BF128" s="13">
        <f t="shared" si="91"/>
        <v>51.097652263007333</v>
      </c>
      <c r="BG128" s="20">
        <f t="shared" si="61"/>
        <v>448.07379769140448</v>
      </c>
      <c r="BH128" s="59">
        <f t="shared" si="62"/>
        <v>741.40713102473774</v>
      </c>
      <c r="BI128" s="59">
        <f ca="1">AVERAGE(OFFSET($BH$3,0,0,'Données projet'!$E$11+1,1))-AVERAGE(OFFSET($H$3,0,0,'Données projet'!$E$11+1,1))</f>
        <v>247.61330734992077</v>
      </c>
      <c r="BJ128" s="59">
        <f t="shared" si="92"/>
        <v>278.55937893537259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27.142139642236717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0</v>
      </c>
      <c r="BS128" s="22">
        <f t="shared" si="63"/>
        <v>27.142139642236717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60.606000000000151</v>
      </c>
      <c r="D129" s="11">
        <f t="shared" si="86"/>
        <v>17.321395099131934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601.5448042740021</v>
      </c>
      <c r="H129" s="66">
        <f t="shared" si="56"/>
        <v>429.05687979765503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636.99999999999977</v>
      </c>
      <c r="O129" s="13">
        <f>N129*VLOOKUP('Données projet'!$B$9,Paramètres!$A$1:$I$89,3,0)*VLOOKUP('Données projet'!$B$9,Paramètres!$A$1:$I$89,5,0)</f>
        <v>356.08299999999991</v>
      </c>
      <c r="P129" s="13">
        <f t="shared" si="87"/>
        <v>82.813805255716545</v>
      </c>
      <c r="Q129" s="20">
        <f t="shared" si="107"/>
        <v>764.41193582037283</v>
      </c>
      <c r="R129" s="59">
        <f t="shared" si="55"/>
        <v>1057.7452691537062</v>
      </c>
      <c r="S129" s="59">
        <f ca="1">AVERAGE(OFFSET($R$3,0,0,'Données projet'!$E$9+1,1))-AVERAGE(OFFSET($H$3,0,0,'Données projet'!$E$9+1,1))</f>
        <v>382.55387448074327</v>
      </c>
      <c r="T129" s="59">
        <f t="shared" si="88"/>
        <v>476.29465646955543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26.446858625647717</v>
      </c>
      <c r="AA129" s="21">
        <f>EXP(-LN(2)/25)*AA128+(1-EXP(-LN(2)/25))/(LN(2)/25)*Calculateur!V129*Calculateur!X129*VLOOKUP('Données projet'!$B$9,Paramètres!$A$1:$I$89,3,0)*0.475*44/12</f>
        <v>2.8654809419962146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29.312339567643932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425.99999999999983</v>
      </c>
      <c r="AJ129" s="13">
        <f>AI129*VLOOKUP('Données projet'!$B$10,Paramètres!$A$1:$I$89,3,0)*VLOOKUP('Données projet'!$B$10,Paramètres!$A$1:$I$89,5,0)</f>
        <v>232.59599999999992</v>
      </c>
      <c r="AK129" s="13">
        <f t="shared" si="89"/>
        <v>56.843630236302218</v>
      </c>
      <c r="AL129" s="20">
        <f t="shared" si="58"/>
        <v>504.10735599489294</v>
      </c>
      <c r="AM129" s="59">
        <f t="shared" si="59"/>
        <v>797.4406893282262</v>
      </c>
      <c r="AN129" s="59">
        <f ca="1">AVERAGE(OFFSET($AM$3,0,0,'Données projet'!$E$10+1,1))-AVERAGE(OFFSET($H$3,0,0,'Données projet'!$E$10+1,1))</f>
        <v>417.99456559608217</v>
      </c>
      <c r="AO129" s="59">
        <f t="shared" si="90"/>
        <v>651.41353014863932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85.167215090473533</v>
      </c>
      <c r="AV129" s="21">
        <f>EXP(-LN(2)/25)*AV128+(1-EXP(-LN(2)/25))/(LN(2)/25)*Calculateur!AQ129*Calculateur!AS129*VLOOKUP('Données projet'!$B$10,Paramètres!$A$1:$I$89,3,0)*0.475*44/12</f>
        <v>3.2343535086283013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88.401568599101836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236.00000000000003</v>
      </c>
      <c r="BE129" s="13">
        <f>BD129*VLOOKUP('Données projet'!$B$11,Paramètres!$A$1:$I$89,3,0)*VLOOKUP('Données projet'!$B$11,Paramètres!$A$1:$I$89,5,0)</f>
        <v>206.16960000000006</v>
      </c>
      <c r="BF129" s="13">
        <f t="shared" si="91"/>
        <v>51.097652263007333</v>
      </c>
      <c r="BG129" s="20">
        <f t="shared" si="61"/>
        <v>448.07379769140448</v>
      </c>
      <c r="BH129" s="59">
        <f t="shared" si="62"/>
        <v>741.40713102473774</v>
      </c>
      <c r="BI129" s="59">
        <f ca="1">AVERAGE(OFFSET($BH$3,0,0,'Données projet'!$E$11+1,1))-AVERAGE(OFFSET($H$3,0,0,'Données projet'!$E$11+1,1))</f>
        <v>247.61330734992077</v>
      </c>
      <c r="BJ129" s="59">
        <f t="shared" si="92"/>
        <v>278.55937893537259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26.609898838922959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0</v>
      </c>
      <c r="BS129" s="22">
        <f t="shared" si="63"/>
        <v>26.609898838922959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61.087000000000153</v>
      </c>
      <c r="D130" s="11">
        <f t="shared" si="86"/>
        <v>17.442808876624763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606.19501588973617</v>
      </c>
      <c r="H130" s="66">
        <f t="shared" si="56"/>
        <v>430.10608379345501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636.99999999999977</v>
      </c>
      <c r="O130" s="13">
        <f>N130*VLOOKUP('Données projet'!$B$9,Paramètres!$A$1:$I$89,3,0)*VLOOKUP('Données projet'!$B$9,Paramètres!$A$1:$I$89,5,0)</f>
        <v>356.08299999999991</v>
      </c>
      <c r="P130" s="13">
        <f t="shared" si="87"/>
        <v>82.813805255716545</v>
      </c>
      <c r="Q130" s="20">
        <f t="shared" si="107"/>
        <v>764.41193582037283</v>
      </c>
      <c r="R130" s="59">
        <f t="shared" si="55"/>
        <v>1057.7452691537062</v>
      </c>
      <c r="S130" s="59">
        <f ca="1">AVERAGE(OFFSET($R$3,0,0,'Données projet'!$E$9+1,1))-AVERAGE(OFFSET($H$3,0,0,'Données projet'!$E$9+1,1))</f>
        <v>382.55387448074327</v>
      </c>
      <c r="T130" s="59">
        <f t="shared" si="88"/>
        <v>476.29465646955543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25.928251858989725</v>
      </c>
      <c r="AA130" s="21">
        <f>EXP(-LN(2)/25)*AA129+(1-EXP(-LN(2)/25))/(LN(2)/25)*Calculateur!V130*Calculateur!X130*VLOOKUP('Données projet'!$B$9,Paramètres!$A$1:$I$89,3,0)*0.475*44/12</f>
        <v>2.7871242149482347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28.715376073937961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425.99999999999983</v>
      </c>
      <c r="AJ130" s="13">
        <f>AI130*VLOOKUP('Données projet'!$B$10,Paramètres!$A$1:$I$89,3,0)*VLOOKUP('Données projet'!$B$10,Paramètres!$A$1:$I$89,5,0)</f>
        <v>232.59599999999992</v>
      </c>
      <c r="AK130" s="13">
        <f t="shared" si="89"/>
        <v>56.843630236302218</v>
      </c>
      <c r="AL130" s="20">
        <f t="shared" si="58"/>
        <v>504.10735599489294</v>
      </c>
      <c r="AM130" s="59">
        <f t="shared" si="59"/>
        <v>797.4406893282262</v>
      </c>
      <c r="AN130" s="59">
        <f ca="1">AVERAGE(OFFSET($AM$3,0,0,'Données projet'!$E$10+1,1))-AVERAGE(OFFSET($H$3,0,0,'Données projet'!$E$10+1,1))</f>
        <v>417.99456559608217</v>
      </c>
      <c r="AO130" s="59">
        <f t="shared" si="90"/>
        <v>651.41353014863932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83.49713794942123</v>
      </c>
      <c r="AV130" s="21">
        <f>EXP(-LN(2)/25)*AV129+(1-EXP(-LN(2)/25))/(LN(2)/25)*Calculateur!AQ130*Calculateur!AS130*VLOOKUP('Données projet'!$B$10,Paramètres!$A$1:$I$89,3,0)*0.475*44/12</f>
        <v>3.1459099418476018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86.643047891268836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236.00000000000003</v>
      </c>
      <c r="BE130" s="13">
        <f>BD130*VLOOKUP('Données projet'!$B$11,Paramètres!$A$1:$I$89,3,0)*VLOOKUP('Données projet'!$B$11,Paramètres!$A$1:$I$89,5,0)</f>
        <v>206.16960000000006</v>
      </c>
      <c r="BF130" s="13">
        <f t="shared" si="91"/>
        <v>51.097652263007333</v>
      </c>
      <c r="BG130" s="20">
        <f t="shared" si="61"/>
        <v>448.07379769140448</v>
      </c>
      <c r="BH130" s="59">
        <f t="shared" si="62"/>
        <v>741.40713102473774</v>
      </c>
      <c r="BI130" s="59">
        <f ca="1">AVERAGE(OFFSET($BH$3,0,0,'Données projet'!$E$11+1,1))-AVERAGE(OFFSET($H$3,0,0,'Données projet'!$E$11+1,1))</f>
        <v>247.61330734992077</v>
      </c>
      <c r="BJ130" s="59">
        <f t="shared" si="92"/>
        <v>278.55937893537259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26.088094953127349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0</v>
      </c>
      <c r="BS130" s="22">
        <f t="shared" si="63"/>
        <v>26.088094953127349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61.568000000000154</v>
      </c>
      <c r="D131" s="11">
        <f t="shared" si="86"/>
        <v>17.564111423853195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610.8443688858855</v>
      </c>
      <c r="H131" s="66">
        <f t="shared" si="56"/>
        <v>431.15509406321121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636.99999999999977</v>
      </c>
      <c r="O131" s="13">
        <f>N131*VLOOKUP('Données projet'!$B$9,Paramètres!$A$1:$I$89,3,0)*VLOOKUP('Données projet'!$B$9,Paramètres!$A$1:$I$89,5,0)</f>
        <v>356.08299999999991</v>
      </c>
      <c r="P131" s="13">
        <f t="shared" si="87"/>
        <v>82.813805255716545</v>
      </c>
      <c r="Q131" s="20">
        <f t="shared" ref="Q131:Q153" si="108">(O131+P131)*0.475*44/12</f>
        <v>764.41193582037283</v>
      </c>
      <c r="R131" s="59">
        <f t="shared" ref="R131:R194" si="109">Q131+(I131+J131)*44/12</f>
        <v>1057.7452691537062</v>
      </c>
      <c r="S131" s="59">
        <f ca="1">AVERAGE(OFFSET($R$3,0,0,'Données projet'!$E$9+1,1))-AVERAGE(OFFSET($H$3,0,0,'Données projet'!$E$9+1,1))</f>
        <v>382.55387448074327</v>
      </c>
      <c r="T131" s="59">
        <f t="shared" si="88"/>
        <v>476.29465646955543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25.419814654707</v>
      </c>
      <c r="AA131" s="21">
        <f>EXP(-LN(2)/25)*AA130+(1-EXP(-LN(2)/25))/(LN(2)/25)*Calculateur!V131*Calculateur!X131*VLOOKUP('Données projet'!$B$9,Paramètres!$A$1:$I$89,3,0)*0.475*44/12</f>
        <v>2.7109101567219827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28.130724811428983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425.99999999999983</v>
      </c>
      <c r="AJ131" s="13">
        <f>AI131*VLOOKUP('Données projet'!$B$10,Paramètres!$A$1:$I$89,3,0)*VLOOKUP('Données projet'!$B$10,Paramètres!$A$1:$I$89,5,0)</f>
        <v>232.59599999999992</v>
      </c>
      <c r="AK131" s="13">
        <f t="shared" si="89"/>
        <v>56.843630236302218</v>
      </c>
      <c r="AL131" s="20">
        <f t="shared" si="58"/>
        <v>504.10735599489294</v>
      </c>
      <c r="AM131" s="59">
        <f t="shared" si="59"/>
        <v>797.4406893282262</v>
      </c>
      <c r="AN131" s="59">
        <f ca="1">AVERAGE(OFFSET($AM$3,0,0,'Données projet'!$E$10+1,1))-AVERAGE(OFFSET($H$3,0,0,'Données projet'!$E$10+1,1))</f>
        <v>417.99456559608217</v>
      </c>
      <c r="AO131" s="59">
        <f t="shared" si="90"/>
        <v>651.41353014863932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81.859810002458488</v>
      </c>
      <c r="AV131" s="21">
        <f>EXP(-LN(2)/25)*AV130+(1-EXP(-LN(2)/25))/(LN(2)/25)*Calculateur!AQ131*Calculateur!AS131*VLOOKUP('Données projet'!$B$10,Paramètres!$A$1:$I$89,3,0)*0.475*44/12</f>
        <v>3.0598848690515652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84.919694871510046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236.00000000000003</v>
      </c>
      <c r="BE131" s="13">
        <f>BD131*VLOOKUP('Données projet'!$B$11,Paramètres!$A$1:$I$89,3,0)*VLOOKUP('Données projet'!$B$11,Paramètres!$A$1:$I$89,5,0)</f>
        <v>206.16960000000006</v>
      </c>
      <c r="BF131" s="13">
        <f t="shared" si="91"/>
        <v>51.097652263007333</v>
      </c>
      <c r="BG131" s="20">
        <f t="shared" si="61"/>
        <v>448.07379769140448</v>
      </c>
      <c r="BH131" s="59">
        <f t="shared" si="62"/>
        <v>741.40713102473774</v>
      </c>
      <c r="BI131" s="59">
        <f ca="1">AVERAGE(OFFSET($BH$3,0,0,'Données projet'!$E$11+1,1))-AVERAGE(OFFSET($H$3,0,0,'Données projet'!$E$11+1,1))</f>
        <v>247.61330734992077</v>
      </c>
      <c r="BJ131" s="59">
        <f t="shared" si="92"/>
        <v>278.55937893537259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25.576523323263249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0</v>
      </c>
      <c r="BS131" s="22">
        <f t="shared" si="63"/>
        <v>25.576523323263249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62.049000000000156</v>
      </c>
      <c r="D132" s="11">
        <f t="shared" si="86"/>
        <v>17.685303710532512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615.49287074797155</v>
      </c>
      <c r="H132" s="66">
        <f t="shared" ref="H132:H195" si="110">(B132+E132+F132)*44/12+(C132+D132)*0.475*44/12</f>
        <v>432.20391229584436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636.99999999999977</v>
      </c>
      <c r="O132" s="13">
        <f>N132*VLOOKUP('Données projet'!$B$9,Paramètres!$A$1:$I$89,3,0)*VLOOKUP('Données projet'!$B$9,Paramètres!$A$1:$I$89,5,0)</f>
        <v>356.08299999999991</v>
      </c>
      <c r="P132" s="13">
        <f t="shared" si="87"/>
        <v>82.813805255716545</v>
      </c>
      <c r="Q132" s="20">
        <f t="shared" si="108"/>
        <v>764.41193582037283</v>
      </c>
      <c r="R132" s="59">
        <f t="shared" si="109"/>
        <v>1057.7452691537062</v>
      </c>
      <c r="S132" s="59">
        <f ca="1">AVERAGE(OFFSET($R$3,0,0,'Données projet'!$E$9+1,1))-AVERAGE(OFFSET($H$3,0,0,'Données projet'!$E$9+1,1))</f>
        <v>382.55387448074327</v>
      </c>
      <c r="T132" s="59">
        <f t="shared" si="88"/>
        <v>476.29465646955543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24.921347593884189</v>
      </c>
      <c r="AA132" s="21">
        <f>EXP(-LN(2)/25)*AA131+(1-EXP(-LN(2)/25))/(LN(2)/25)*Calculateur!V132*Calculateur!X132*VLOOKUP('Données projet'!$B$9,Paramètres!$A$1:$I$89,3,0)*0.475*44/12</f>
        <v>2.6367801759258507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27.558127769810039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425.99999999999983</v>
      </c>
      <c r="AJ132" s="13">
        <f>AI132*VLOOKUP('Données projet'!$B$10,Paramètres!$A$1:$I$89,3,0)*VLOOKUP('Données projet'!$B$10,Paramètres!$A$1:$I$89,5,0)</f>
        <v>232.59599999999992</v>
      </c>
      <c r="AK132" s="13">
        <f t="shared" si="89"/>
        <v>56.843630236302218</v>
      </c>
      <c r="AL132" s="20">
        <f t="shared" ref="AL132:AL153" si="112">(AJ132+AK132)*0.475*44/12</f>
        <v>504.10735599489294</v>
      </c>
      <c r="AM132" s="59">
        <f t="shared" ref="AM132:AM195" si="113">AL132+(AD132+AE132)*44/12</f>
        <v>797.4406893282262</v>
      </c>
      <c r="AN132" s="59">
        <f ca="1">AVERAGE(OFFSET($AM$3,0,0,'Données projet'!$E$10+1,1))-AVERAGE(OFFSET($H$3,0,0,'Données projet'!$E$10+1,1))</f>
        <v>417.99456559608217</v>
      </c>
      <c r="AO132" s="59">
        <f t="shared" si="90"/>
        <v>651.41353014863932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80.254589057864251</v>
      </c>
      <c r="AV132" s="21">
        <f>EXP(-LN(2)/25)*AV131+(1-EXP(-LN(2)/25))/(LN(2)/25)*Calculateur!AQ132*Calculateur!AS132*VLOOKUP('Données projet'!$B$10,Paramètres!$A$1:$I$89,3,0)*0.475*44/12</f>
        <v>2.9762121563949981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83.230801214259245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236.00000000000003</v>
      </c>
      <c r="BE132" s="13">
        <f>BD132*VLOOKUP('Données projet'!$B$11,Paramètres!$A$1:$I$89,3,0)*VLOOKUP('Données projet'!$B$11,Paramètres!$A$1:$I$89,5,0)</f>
        <v>206.16960000000006</v>
      </c>
      <c r="BF132" s="13">
        <f t="shared" si="91"/>
        <v>51.097652263007333</v>
      </c>
      <c r="BG132" s="20">
        <f t="shared" ref="BG132:BG153" si="115">(BE132+BF132)*0.475*44/12</f>
        <v>448.07379769140448</v>
      </c>
      <c r="BH132" s="59">
        <f t="shared" ref="BH132:BH195" si="116">BG132+(AY132+AZ132)*44/12</f>
        <v>741.40713102473774</v>
      </c>
      <c r="BI132" s="59">
        <f ca="1">AVERAGE(OFFSET($BH$3,0,0,'Données projet'!$E$11+1,1))-AVERAGE(OFFSET($H$3,0,0,'Données projet'!$E$11+1,1))</f>
        <v>247.61330734992077</v>
      </c>
      <c r="BJ132" s="59">
        <f t="shared" si="92"/>
        <v>278.55937893537259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25.074983301032898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0</v>
      </c>
      <c r="BS132" s="22">
        <f t="shared" ref="BS132:BS153" si="117">SUM(BP132:BR132)</f>
        <v>25.074983301032898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62.530000000000157</v>
      </c>
      <c r="D133" s="11">
        <f t="shared" ref="D133:D196" si="140">IFERROR(EXP(-1.0587+0.8836*LN(C133)+0.284),0)</f>
        <v>17.806386690475353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620.14052883875831</v>
      </c>
      <c r="H133" s="66">
        <f t="shared" si="110"/>
        <v>433.25254015257815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636.99999999999977</v>
      </c>
      <c r="O133" s="13">
        <f>N133*VLOOKUP('Données projet'!$B$9,Paramètres!$A$1:$I$89,3,0)*VLOOKUP('Données projet'!$B$9,Paramètres!$A$1:$I$89,5,0)</f>
        <v>356.08299999999991</v>
      </c>
      <c r="P133" s="13">
        <f t="shared" ref="P133:P196" si="141">EXP(-1.0587+0.8836*LN(O133)+0.284)</f>
        <v>82.813805255716545</v>
      </c>
      <c r="Q133" s="20">
        <f t="shared" si="108"/>
        <v>764.41193582037283</v>
      </c>
      <c r="R133" s="59">
        <f t="shared" si="109"/>
        <v>1057.7452691537062</v>
      </c>
      <c r="S133" s="59">
        <f ca="1">AVERAGE(OFFSET($R$3,0,0,'Données projet'!$E$9+1,1))-AVERAGE(OFFSET($H$3,0,0,'Données projet'!$E$9+1,1))</f>
        <v>382.55387448074327</v>
      </c>
      <c r="T133" s="59">
        <f t="shared" ref="T133:T196" si="142">$T$3</f>
        <v>476.29465646955543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24.432655168089227</v>
      </c>
      <c r="AA133" s="21">
        <f>EXP(-LN(2)/25)*AA132+(1-EXP(-LN(2)/25))/(LN(2)/25)*Calculateur!V133*Calculateur!X133*VLOOKUP('Données projet'!$B$9,Paramètres!$A$1:$I$89,3,0)*0.475*44/12</f>
        <v>2.5646772833529154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26.997332451442141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425.99999999999983</v>
      </c>
      <c r="AJ133" s="13">
        <f>AI133*VLOOKUP('Données projet'!$B$10,Paramètres!$A$1:$I$89,3,0)*VLOOKUP('Données projet'!$B$10,Paramètres!$A$1:$I$89,5,0)</f>
        <v>232.59599999999992</v>
      </c>
      <c r="AK133" s="13">
        <f t="shared" ref="AK133:AK153" si="143">EXP(-1.0587+0.8836*LN(AJ133)+0.284)</f>
        <v>56.843630236302218</v>
      </c>
      <c r="AL133" s="20">
        <f t="shared" si="112"/>
        <v>504.10735599489294</v>
      </c>
      <c r="AM133" s="59">
        <f t="shared" si="113"/>
        <v>797.4406893282262</v>
      </c>
      <c r="AN133" s="59">
        <f ca="1">AVERAGE(OFFSET($AM$3,0,0,'Données projet'!$E$10+1,1))-AVERAGE(OFFSET($H$3,0,0,'Données projet'!$E$10+1,1))</f>
        <v>417.99456559608217</v>
      </c>
      <c r="AO133" s="59">
        <f t="shared" ref="AO133:AO196" si="144">$AO$3</f>
        <v>651.41353014863932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78.680845516905407</v>
      </c>
      <c r="AV133" s="21">
        <f>EXP(-LN(2)/25)*AV132+(1-EXP(-LN(2)/25))/(LN(2)/25)*Calculateur!AQ133*Calculateur!AS133*VLOOKUP('Données projet'!$B$10,Paramètres!$A$1:$I$89,3,0)*0.475*44/12</f>
        <v>2.894827478466182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81.57567299537159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236.00000000000003</v>
      </c>
      <c r="BE133" s="13">
        <f>BD133*VLOOKUP('Données projet'!$B$11,Paramètres!$A$1:$I$89,3,0)*VLOOKUP('Données projet'!$B$11,Paramètres!$A$1:$I$89,5,0)</f>
        <v>206.16960000000006</v>
      </c>
      <c r="BF133" s="13">
        <f t="shared" ref="BF133:BF153" si="145">EXP(-1.0587+0.8836*LN(BE133)+0.284)</f>
        <v>51.097652263007333</v>
      </c>
      <c r="BG133" s="20">
        <f t="shared" si="115"/>
        <v>448.07379769140448</v>
      </c>
      <c r="BH133" s="59">
        <f t="shared" si="116"/>
        <v>741.40713102473774</v>
      </c>
      <c r="BI133" s="59">
        <f ca="1">AVERAGE(OFFSET($BH$3,0,0,'Données projet'!$E$11+1,1))-AVERAGE(OFFSET($H$3,0,0,'Données projet'!$E$11+1,1))</f>
        <v>247.61330734992077</v>
      </c>
      <c r="BJ133" s="59">
        <f t="shared" ref="BJ133:BJ196" si="146">$BJ$3</f>
        <v>278.55937893537259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24.583278172729276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0</v>
      </c>
      <c r="BS133" s="22">
        <f t="shared" si="117"/>
        <v>24.583278172729276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63.011000000000159</v>
      </c>
      <c r="D134" s="11">
        <f t="shared" si="140"/>
        <v>17.927361301972791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624.78735040119477</v>
      </c>
      <c r="H134" s="66">
        <f t="shared" si="110"/>
        <v>434.30097926760288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636.99999999999977</v>
      </c>
      <c r="O134" s="13">
        <f>N134*VLOOKUP('Données projet'!$B$9,Paramètres!$A$1:$I$89,3,0)*VLOOKUP('Données projet'!$B$9,Paramètres!$A$1:$I$89,5,0)</f>
        <v>356.08299999999991</v>
      </c>
      <c r="P134" s="13">
        <f t="shared" si="141"/>
        <v>82.813805255716545</v>
      </c>
      <c r="Q134" s="20">
        <f t="shared" si="108"/>
        <v>764.41193582037283</v>
      </c>
      <c r="R134" s="59">
        <f t="shared" si="109"/>
        <v>1057.7452691537062</v>
      </c>
      <c r="S134" s="59">
        <f ca="1">AVERAGE(OFFSET($R$3,0,0,'Données projet'!$E$9+1,1))-AVERAGE(OFFSET($H$3,0,0,'Données projet'!$E$9+1,1))</f>
        <v>382.55387448074327</v>
      </c>
      <c r="T134" s="59">
        <f t="shared" si="142"/>
        <v>476.29465646955543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23.953545702691155</v>
      </c>
      <c r="AA134" s="21">
        <f>EXP(-LN(2)/25)*AA133+(1-EXP(-LN(2)/25))/(LN(2)/25)*Calculateur!V134*Calculateur!X134*VLOOKUP('Données projet'!$B$9,Paramètres!$A$1:$I$89,3,0)*0.475*44/12</f>
        <v>2.4945460481691133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26.448091750860268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425.99999999999983</v>
      </c>
      <c r="AJ134" s="13">
        <f>AI134*VLOOKUP('Données projet'!$B$10,Paramètres!$A$1:$I$89,3,0)*VLOOKUP('Données projet'!$B$10,Paramètres!$A$1:$I$89,5,0)</f>
        <v>232.59599999999992</v>
      </c>
      <c r="AK134" s="13">
        <f t="shared" si="143"/>
        <v>56.843630236302218</v>
      </c>
      <c r="AL134" s="20">
        <f t="shared" si="112"/>
        <v>504.10735599489294</v>
      </c>
      <c r="AM134" s="59">
        <f t="shared" si="113"/>
        <v>797.4406893282262</v>
      </c>
      <c r="AN134" s="59">
        <f ca="1">AVERAGE(OFFSET($AM$3,0,0,'Données projet'!$E$10+1,1))-AVERAGE(OFFSET($H$3,0,0,'Données projet'!$E$10+1,1))</f>
        <v>417.99456559608217</v>
      </c>
      <c r="AO134" s="59">
        <f t="shared" si="144"/>
        <v>651.41353014863932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77.137962126895985</v>
      </c>
      <c r="AV134" s="21">
        <f>EXP(-LN(2)/25)*AV133+(1-EXP(-LN(2)/25))/(LN(2)/25)*Calculateur!AQ134*Calculateur!AS134*VLOOKUP('Données projet'!$B$10,Paramètres!$A$1:$I$89,3,0)*0.475*44/12</f>
        <v>2.8156682688351635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79.953630395731153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236.00000000000003</v>
      </c>
      <c r="BE134" s="13">
        <f>BD134*VLOOKUP('Données projet'!$B$11,Paramètres!$A$1:$I$89,3,0)*VLOOKUP('Données projet'!$B$11,Paramètres!$A$1:$I$89,5,0)</f>
        <v>206.16960000000006</v>
      </c>
      <c r="BF134" s="13">
        <f t="shared" si="145"/>
        <v>51.097652263007333</v>
      </c>
      <c r="BG134" s="20">
        <f t="shared" si="115"/>
        <v>448.07379769140448</v>
      </c>
      <c r="BH134" s="59">
        <f t="shared" si="116"/>
        <v>741.40713102473774</v>
      </c>
      <c r="BI134" s="59">
        <f ca="1">AVERAGE(OFFSET($BH$3,0,0,'Données projet'!$E$11+1,1))-AVERAGE(OFFSET($H$3,0,0,'Données projet'!$E$11+1,1))</f>
        <v>247.61330734992077</v>
      </c>
      <c r="BJ134" s="59">
        <f t="shared" si="146"/>
        <v>278.55937893537259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24.101215082081175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0</v>
      </c>
      <c r="BS134" s="22">
        <f t="shared" si="117"/>
        <v>24.101215082081175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63.492000000000161</v>
      </c>
      <c r="D135" s="11">
        <f t="shared" si="140"/>
        <v>18.048228468163416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629.43334256126263</v>
      </c>
      <c r="H135" s="66">
        <f t="shared" si="110"/>
        <v>435.34923124871818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636.99999999999977</v>
      </c>
      <c r="O135" s="13">
        <f>N135*VLOOKUP('Données projet'!$B$9,Paramètres!$A$1:$I$89,3,0)*VLOOKUP('Données projet'!$B$9,Paramètres!$A$1:$I$89,5,0)</f>
        <v>356.08299999999991</v>
      </c>
      <c r="P135" s="13">
        <f t="shared" si="141"/>
        <v>82.813805255716545</v>
      </c>
      <c r="Q135" s="20">
        <f t="shared" si="108"/>
        <v>764.41193582037283</v>
      </c>
      <c r="R135" s="59">
        <f t="shared" si="109"/>
        <v>1057.7452691537062</v>
      </c>
      <c r="S135" s="59">
        <f ca="1">AVERAGE(OFFSET($R$3,0,0,'Données projet'!$E$9+1,1))-AVERAGE(OFFSET($H$3,0,0,'Données projet'!$E$9+1,1))</f>
        <v>382.55387448074327</v>
      </c>
      <c r="T135" s="59">
        <f t="shared" si="142"/>
        <v>476.29465646955543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23.483831281681621</v>
      </c>
      <c r="AA135" s="21">
        <f>EXP(-LN(2)/25)*AA134+(1-EXP(-LN(2)/25))/(LN(2)/25)*Calculateur!V135*Calculateur!X135*VLOOKUP('Données projet'!$B$9,Paramètres!$A$1:$I$89,3,0)*0.475*44/12</f>
        <v>2.4263325552994535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25.910163836981074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425.99999999999983</v>
      </c>
      <c r="AJ135" s="13">
        <f>AI135*VLOOKUP('Données projet'!$B$10,Paramètres!$A$1:$I$89,3,0)*VLOOKUP('Données projet'!$B$10,Paramètres!$A$1:$I$89,5,0)</f>
        <v>232.59599999999992</v>
      </c>
      <c r="AK135" s="13">
        <f t="shared" si="143"/>
        <v>56.843630236302218</v>
      </c>
      <c r="AL135" s="20">
        <f t="shared" si="112"/>
        <v>504.10735599489294</v>
      </c>
      <c r="AM135" s="59">
        <f t="shared" si="113"/>
        <v>797.4406893282262</v>
      </c>
      <c r="AN135" s="59">
        <f ca="1">AVERAGE(OFFSET($AM$3,0,0,'Données projet'!$E$10+1,1))-AVERAGE(OFFSET($H$3,0,0,'Données projet'!$E$10+1,1))</f>
        <v>417.99456559608217</v>
      </c>
      <c r="AO135" s="59">
        <f t="shared" si="144"/>
        <v>651.41353014863932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75.625333739098693</v>
      </c>
      <c r="AV135" s="21">
        <f>EXP(-LN(2)/25)*AV134+(1-EXP(-LN(2)/25))/(LN(2)/25)*Calculateur!AQ135*Calculateur!AS135*VLOOKUP('Données projet'!$B$10,Paramètres!$A$1:$I$89,3,0)*0.475*44/12</f>
        <v>2.7386736719543072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78.364007411052995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236.00000000000003</v>
      </c>
      <c r="BE135" s="13">
        <f>BD135*VLOOKUP('Données projet'!$B$11,Paramètres!$A$1:$I$89,3,0)*VLOOKUP('Données projet'!$B$11,Paramètres!$A$1:$I$89,5,0)</f>
        <v>206.16960000000006</v>
      </c>
      <c r="BF135" s="13">
        <f t="shared" si="145"/>
        <v>51.097652263007333</v>
      </c>
      <c r="BG135" s="20">
        <f t="shared" si="115"/>
        <v>448.07379769140448</v>
      </c>
      <c r="BH135" s="59">
        <f t="shared" si="116"/>
        <v>741.40713102473774</v>
      </c>
      <c r="BI135" s="59">
        <f ca="1">AVERAGE(OFFSET($BH$3,0,0,'Données projet'!$E$11+1,1))-AVERAGE(OFFSET($H$3,0,0,'Données projet'!$E$11+1,1))</f>
        <v>247.61330734992077</v>
      </c>
      <c r="BJ135" s="59">
        <f t="shared" si="146"/>
        <v>278.55937893537259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23.62860495461123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0</v>
      </c>
      <c r="BS135" s="22">
        <f t="shared" si="117"/>
        <v>23.62860495461123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63.973000000000162</v>
      </c>
      <c r="D136" s="11">
        <f t="shared" si="140"/>
        <v>18.168989097390945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634.07851233073836</v>
      </c>
      <c r="H136" s="66">
        <f t="shared" si="110"/>
        <v>436.39729767795615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636.99999999999977</v>
      </c>
      <c r="O136" s="13">
        <f>N136*VLOOKUP('Données projet'!$B$9,Paramètres!$A$1:$I$89,3,0)*VLOOKUP('Données projet'!$B$9,Paramètres!$A$1:$I$89,5,0)</f>
        <v>356.08299999999991</v>
      </c>
      <c r="P136" s="13">
        <f t="shared" si="141"/>
        <v>82.813805255716545</v>
      </c>
      <c r="Q136" s="20">
        <f t="shared" si="108"/>
        <v>764.41193582037283</v>
      </c>
      <c r="R136" s="59">
        <f t="shared" si="109"/>
        <v>1057.7452691537062</v>
      </c>
      <c r="S136" s="59">
        <f ca="1">AVERAGE(OFFSET($R$3,0,0,'Données projet'!$E$9+1,1))-AVERAGE(OFFSET($H$3,0,0,'Données projet'!$E$9+1,1))</f>
        <v>382.55387448074327</v>
      </c>
      <c r="T136" s="59">
        <f t="shared" si="142"/>
        <v>476.29465646955543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23.023327673970577</v>
      </c>
      <c r="AA136" s="21">
        <f>EXP(-LN(2)/25)*AA135+(1-EXP(-LN(2)/25))/(LN(2)/25)*Calculateur!V136*Calculateur!X136*VLOOKUP('Données projet'!$B$9,Paramètres!$A$1:$I$89,3,0)*0.475*44/12</f>
        <v>2.3599843639795064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25.383312037950084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425.99999999999983</v>
      </c>
      <c r="AJ136" s="13">
        <f>AI136*VLOOKUP('Données projet'!$B$10,Paramètres!$A$1:$I$89,3,0)*VLOOKUP('Données projet'!$B$10,Paramètres!$A$1:$I$89,5,0)</f>
        <v>232.59599999999992</v>
      </c>
      <c r="AK136" s="13">
        <f t="shared" si="143"/>
        <v>56.843630236302218</v>
      </c>
      <c r="AL136" s="20">
        <f t="shared" si="112"/>
        <v>504.10735599489294</v>
      </c>
      <c r="AM136" s="59">
        <f t="shared" si="113"/>
        <v>797.4406893282262</v>
      </c>
      <c r="AN136" s="59">
        <f ca="1">AVERAGE(OFFSET($AM$3,0,0,'Données projet'!$E$10+1,1))-AVERAGE(OFFSET($H$3,0,0,'Données projet'!$E$10+1,1))</f>
        <v>417.99456559608217</v>
      </c>
      <c r="AO136" s="59">
        <f t="shared" si="144"/>
        <v>651.41353014863932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74.142367071373897</v>
      </c>
      <c r="AV136" s="21">
        <f>EXP(-LN(2)/25)*AV135+(1-EXP(-LN(2)/25))/(LN(2)/25)*Calculateur!AQ136*Calculateur!AS136*VLOOKUP('Données projet'!$B$10,Paramètres!$A$1:$I$89,3,0)*0.475*44/12</f>
        <v>2.6637844963741277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76.806151567748032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236.00000000000003</v>
      </c>
      <c r="BE136" s="13">
        <f>BD136*VLOOKUP('Données projet'!$B$11,Paramètres!$A$1:$I$89,3,0)*VLOOKUP('Données projet'!$B$11,Paramètres!$A$1:$I$89,5,0)</f>
        <v>206.16960000000006</v>
      </c>
      <c r="BF136" s="13">
        <f t="shared" si="145"/>
        <v>51.097652263007333</v>
      </c>
      <c r="BG136" s="20">
        <f t="shared" si="115"/>
        <v>448.07379769140448</v>
      </c>
      <c r="BH136" s="59">
        <f t="shared" si="116"/>
        <v>741.40713102473774</v>
      </c>
      <c r="BI136" s="59">
        <f ca="1">AVERAGE(OFFSET($BH$3,0,0,'Données projet'!$E$11+1,1))-AVERAGE(OFFSET($H$3,0,0,'Données projet'!$E$11+1,1))</f>
        <v>247.61330734992077</v>
      </c>
      <c r="BJ136" s="59">
        <f t="shared" si="146"/>
        <v>278.55937893537259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23.165262423477255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0</v>
      </c>
      <c r="BS136" s="22">
        <f t="shared" si="117"/>
        <v>23.165262423477255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64.454000000000164</v>
      </c>
      <c r="D137" s="11">
        <f t="shared" si="140"/>
        <v>18.289644083550719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638.72286660986651</v>
      </c>
      <c r="H137" s="66">
        <f t="shared" si="110"/>
        <v>437.4451801121844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636.99999999999977</v>
      </c>
      <c r="O137" s="13">
        <f>N137*VLOOKUP('Données projet'!$B$9,Paramètres!$A$1:$I$89,3,0)*VLOOKUP('Données projet'!$B$9,Paramètres!$A$1:$I$89,5,0)</f>
        <v>356.08299999999991</v>
      </c>
      <c r="P137" s="13">
        <f t="shared" si="141"/>
        <v>82.813805255716545</v>
      </c>
      <c r="Q137" s="20">
        <f t="shared" si="108"/>
        <v>764.41193582037283</v>
      </c>
      <c r="R137" s="59">
        <f t="shared" si="109"/>
        <v>1057.7452691537062</v>
      </c>
      <c r="S137" s="59">
        <f ca="1">AVERAGE(OFFSET($R$3,0,0,'Données projet'!$E$9+1,1))-AVERAGE(OFFSET($H$3,0,0,'Données projet'!$E$9+1,1))</f>
        <v>382.55387448074327</v>
      </c>
      <c r="T137" s="59">
        <f t="shared" si="142"/>
        <v>476.29465646955543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22.571854261127278</v>
      </c>
      <c r="AA137" s="21">
        <f>EXP(-LN(2)/25)*AA136+(1-EXP(-LN(2)/25))/(LN(2)/25)*Calculateur!V137*Calculateur!X137*VLOOKUP('Données projet'!$B$9,Paramètres!$A$1:$I$89,3,0)*0.475*44/12</f>
        <v>2.2954504674403031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24.867304728567582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425.99999999999983</v>
      </c>
      <c r="AJ137" s="13">
        <f>AI137*VLOOKUP('Données projet'!$B$10,Paramètres!$A$1:$I$89,3,0)*VLOOKUP('Données projet'!$B$10,Paramètres!$A$1:$I$89,5,0)</f>
        <v>232.59599999999992</v>
      </c>
      <c r="AK137" s="13">
        <f t="shared" si="143"/>
        <v>56.843630236302218</v>
      </c>
      <c r="AL137" s="20">
        <f t="shared" si="112"/>
        <v>504.10735599489294</v>
      </c>
      <c r="AM137" s="59">
        <f t="shared" si="113"/>
        <v>797.4406893282262</v>
      </c>
      <c r="AN137" s="59">
        <f ca="1">AVERAGE(OFFSET($AM$3,0,0,'Données projet'!$E$10+1,1))-AVERAGE(OFFSET($H$3,0,0,'Données projet'!$E$10+1,1))</f>
        <v>417.99456559608217</v>
      </c>
      <c r="AO137" s="59">
        <f t="shared" si="144"/>
        <v>651.41353014863932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72.688480475482834</v>
      </c>
      <c r="AV137" s="21">
        <f>EXP(-LN(2)/25)*AV136+(1-EXP(-LN(2)/25))/(LN(2)/25)*Calculateur!AQ137*Calculateur!AS137*VLOOKUP('Données projet'!$B$10,Paramètres!$A$1:$I$89,3,0)*0.475*44/12</f>
        <v>2.5909431692384386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75.279423644721277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236.00000000000003</v>
      </c>
      <c r="BE137" s="13">
        <f>BD137*VLOOKUP('Données projet'!$B$11,Paramètres!$A$1:$I$89,3,0)*VLOOKUP('Données projet'!$B$11,Paramètres!$A$1:$I$89,5,0)</f>
        <v>206.16960000000006</v>
      </c>
      <c r="BF137" s="13">
        <f t="shared" si="145"/>
        <v>51.097652263007333</v>
      </c>
      <c r="BG137" s="20">
        <f t="shared" si="115"/>
        <v>448.07379769140448</v>
      </c>
      <c r="BH137" s="59">
        <f t="shared" si="116"/>
        <v>741.40713102473774</v>
      </c>
      <c r="BI137" s="59">
        <f ca="1">AVERAGE(OFFSET($BH$3,0,0,'Données projet'!$E$11+1,1))-AVERAGE(OFFSET($H$3,0,0,'Données projet'!$E$11+1,1))</f>
        <v>247.61330734992077</v>
      </c>
      <c r="BJ137" s="59">
        <f t="shared" si="146"/>
        <v>278.55937893537259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22.711005756767779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0</v>
      </c>
      <c r="BS137" s="22">
        <f t="shared" si="117"/>
        <v>22.711005756767779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64.935000000000159</v>
      </c>
      <c r="D138" s="11">
        <f t="shared" si="140"/>
        <v>18.41019430642563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643.36641218995339</v>
      </c>
      <c r="H138" s="66">
        <f t="shared" si="110"/>
        <v>438.49288008369155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636.99999999999977</v>
      </c>
      <c r="O138" s="13">
        <f>N138*VLOOKUP('Données projet'!$B$9,Paramètres!$A$1:$I$89,3,0)*VLOOKUP('Données projet'!$B$9,Paramètres!$A$1:$I$89,5,0)</f>
        <v>356.08299999999991</v>
      </c>
      <c r="P138" s="13">
        <f t="shared" si="141"/>
        <v>82.813805255716545</v>
      </c>
      <c r="Q138" s="20">
        <f t="shared" si="108"/>
        <v>764.41193582037283</v>
      </c>
      <c r="R138" s="59">
        <f t="shared" si="109"/>
        <v>1057.7452691537062</v>
      </c>
      <c r="S138" s="59">
        <f ca="1">AVERAGE(OFFSET($R$3,0,0,'Données projet'!$E$9+1,1))-AVERAGE(OFFSET($H$3,0,0,'Données projet'!$E$9+1,1))</f>
        <v>382.55387448074327</v>
      </c>
      <c r="T138" s="59">
        <f t="shared" si="142"/>
        <v>476.29465646955543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22.129233966538248</v>
      </c>
      <c r="AA138" s="21">
        <f>EXP(-LN(2)/25)*AA137+(1-EXP(-LN(2)/25))/(LN(2)/25)*Calculateur!V138*Calculateur!X138*VLOOKUP('Données projet'!$B$9,Paramètres!$A$1:$I$89,3,0)*0.475*44/12</f>
        <v>2.2326812536956542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24.361915220233904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425.99999999999983</v>
      </c>
      <c r="AJ138" s="13">
        <f>AI138*VLOOKUP('Données projet'!$B$10,Paramètres!$A$1:$I$89,3,0)*VLOOKUP('Données projet'!$B$10,Paramètres!$A$1:$I$89,5,0)</f>
        <v>232.59599999999992</v>
      </c>
      <c r="AK138" s="13">
        <f t="shared" si="143"/>
        <v>56.843630236302218</v>
      </c>
      <c r="AL138" s="20">
        <f t="shared" si="112"/>
        <v>504.10735599489294</v>
      </c>
      <c r="AM138" s="59">
        <f t="shared" si="113"/>
        <v>797.4406893282262</v>
      </c>
      <c r="AN138" s="59">
        <f ca="1">AVERAGE(OFFSET($AM$3,0,0,'Données projet'!$E$10+1,1))-AVERAGE(OFFSET($H$3,0,0,'Données projet'!$E$10+1,1))</f>
        <v>417.99456559608217</v>
      </c>
      <c r="AO138" s="59">
        <f t="shared" si="144"/>
        <v>651.41353014863932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71.263103708953935</v>
      </c>
      <c r="AV138" s="21">
        <f>EXP(-LN(2)/25)*AV137+(1-EXP(-LN(2)/25))/(LN(2)/25)*Calculateur!AQ138*Calculateur!AS138*VLOOKUP('Données projet'!$B$10,Paramètres!$A$1:$I$89,3,0)*0.475*44/12</f>
        <v>2.5200936920238339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73.78319740097777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236.00000000000003</v>
      </c>
      <c r="BE138" s="13">
        <f>BD138*VLOOKUP('Données projet'!$B$11,Paramètres!$A$1:$I$89,3,0)*VLOOKUP('Données projet'!$B$11,Paramètres!$A$1:$I$89,5,0)</f>
        <v>206.16960000000006</v>
      </c>
      <c r="BF138" s="13">
        <f t="shared" si="145"/>
        <v>51.097652263007333</v>
      </c>
      <c r="BG138" s="20">
        <f t="shared" si="115"/>
        <v>448.07379769140448</v>
      </c>
      <c r="BH138" s="59">
        <f t="shared" si="116"/>
        <v>741.40713102473774</v>
      </c>
      <c r="BI138" s="59">
        <f ca="1">AVERAGE(OFFSET($BH$3,0,0,'Données projet'!$E$11+1,1))-AVERAGE(OFFSET($H$3,0,0,'Données projet'!$E$11+1,1))</f>
        <v>247.61330734992077</v>
      </c>
      <c r="BJ138" s="59">
        <f t="shared" si="146"/>
        <v>278.55937893537259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22.265656786223268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0</v>
      </c>
      <c r="BS138" s="22">
        <f t="shared" si="117"/>
        <v>22.265656786223268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65.416000000000153</v>
      </c>
      <c r="D139" s="11">
        <f t="shared" si="140"/>
        <v>18.530640632011767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648.00915575588147</v>
      </c>
      <c r="H139" s="66">
        <f t="shared" si="110"/>
        <v>439.54039910075409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636.99999999999977</v>
      </c>
      <c r="O139" s="13">
        <f>N139*VLOOKUP('Données projet'!$B$9,Paramètres!$A$1:$I$89,3,0)*VLOOKUP('Données projet'!$B$9,Paramètres!$A$1:$I$89,5,0)</f>
        <v>356.08299999999991</v>
      </c>
      <c r="P139" s="13">
        <f t="shared" si="141"/>
        <v>82.813805255716545</v>
      </c>
      <c r="Q139" s="20">
        <f t="shared" si="108"/>
        <v>764.41193582037283</v>
      </c>
      <c r="R139" s="59">
        <f t="shared" si="109"/>
        <v>1057.7452691537062</v>
      </c>
      <c r="S139" s="59">
        <f ca="1">AVERAGE(OFFSET($R$3,0,0,'Données projet'!$E$9+1,1))-AVERAGE(OFFSET($H$3,0,0,'Données projet'!$E$9+1,1))</f>
        <v>382.55387448074327</v>
      </c>
      <c r="T139" s="59">
        <f t="shared" si="142"/>
        <v>476.29465646955543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21.695293185954384</v>
      </c>
      <c r="AA139" s="21">
        <f>EXP(-LN(2)/25)*AA138+(1-EXP(-LN(2)/25))/(LN(2)/25)*Calculateur!V139*Calculateur!X139*VLOOKUP('Données projet'!$B$9,Paramètres!$A$1:$I$89,3,0)*0.475*44/12</f>
        <v>2.1716284674017423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23.866921653356126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425.99999999999983</v>
      </c>
      <c r="AJ139" s="13">
        <f>AI139*VLOOKUP('Données projet'!$B$10,Paramètres!$A$1:$I$89,3,0)*VLOOKUP('Données projet'!$B$10,Paramètres!$A$1:$I$89,5,0)</f>
        <v>232.59599999999992</v>
      </c>
      <c r="AK139" s="13">
        <f t="shared" si="143"/>
        <v>56.843630236302218</v>
      </c>
      <c r="AL139" s="20">
        <f t="shared" si="112"/>
        <v>504.10735599489294</v>
      </c>
      <c r="AM139" s="59">
        <f t="shared" si="113"/>
        <v>797.4406893282262</v>
      </c>
      <c r="AN139" s="59">
        <f ca="1">AVERAGE(OFFSET($AM$3,0,0,'Données projet'!$E$10+1,1))-AVERAGE(OFFSET($H$3,0,0,'Données projet'!$E$10+1,1))</f>
        <v>417.99456559608217</v>
      </c>
      <c r="AO139" s="59">
        <f t="shared" si="144"/>
        <v>651.41353014863932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69.865677711422677</v>
      </c>
      <c r="AV139" s="21">
        <f>EXP(-LN(2)/25)*AV138+(1-EXP(-LN(2)/25))/(LN(2)/25)*Calculateur!AQ139*Calculateur!AS139*VLOOKUP('Données projet'!$B$10,Paramètres!$A$1:$I$89,3,0)*0.475*44/12</f>
        <v>2.4511815974894748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72.316859308912157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236.00000000000003</v>
      </c>
      <c r="BE139" s="13">
        <f>BD139*VLOOKUP('Données projet'!$B$11,Paramètres!$A$1:$I$89,3,0)*VLOOKUP('Données projet'!$B$11,Paramètres!$A$1:$I$89,5,0)</f>
        <v>206.16960000000006</v>
      </c>
      <c r="BF139" s="13">
        <f t="shared" si="145"/>
        <v>51.097652263007333</v>
      </c>
      <c r="BG139" s="20">
        <f t="shared" si="115"/>
        <v>448.07379769140448</v>
      </c>
      <c r="BH139" s="59">
        <f t="shared" si="116"/>
        <v>741.40713102473774</v>
      </c>
      <c r="BI139" s="59">
        <f ca="1">AVERAGE(OFFSET($BH$3,0,0,'Données projet'!$E$11+1,1))-AVERAGE(OFFSET($H$3,0,0,'Données projet'!$E$11+1,1))</f>
        <v>247.61330734992077</v>
      </c>
      <c r="BJ139" s="59">
        <f t="shared" si="146"/>
        <v>278.55937893537259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21.829040837355084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0</v>
      </c>
      <c r="BS139" s="22">
        <f t="shared" si="117"/>
        <v>21.829040837355084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65.897000000000148</v>
      </c>
      <c r="D140" s="11">
        <f t="shared" si="140"/>
        <v>18.65098391283415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652.65110388854555</v>
      </c>
      <c r="H140" s="66">
        <f t="shared" si="110"/>
        <v>440.58773864818636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636.99999999999977</v>
      </c>
      <c r="O140" s="13">
        <f>N140*VLOOKUP('Données projet'!$B$9,Paramètres!$A$1:$I$89,3,0)*VLOOKUP('Données projet'!$B$9,Paramètres!$A$1:$I$89,5,0)</f>
        <v>356.08299999999991</v>
      </c>
      <c r="P140" s="13">
        <f t="shared" si="141"/>
        <v>82.813805255716545</v>
      </c>
      <c r="Q140" s="20">
        <f t="shared" si="108"/>
        <v>764.41193582037283</v>
      </c>
      <c r="R140" s="59">
        <f t="shared" si="109"/>
        <v>1057.7452691537062</v>
      </c>
      <c r="S140" s="59">
        <f ca="1">AVERAGE(OFFSET($R$3,0,0,'Données projet'!$E$9+1,1))-AVERAGE(OFFSET($H$3,0,0,'Données projet'!$E$9+1,1))</f>
        <v>382.55387448074327</v>
      </c>
      <c r="T140" s="59">
        <f t="shared" si="142"/>
        <v>476.29465646955543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21.26986171940003</v>
      </c>
      <c r="AA140" s="21">
        <f>EXP(-LN(2)/25)*AA139+(1-EXP(-LN(2)/25))/(LN(2)/25)*Calculateur!V140*Calculateur!X140*VLOOKUP('Données projet'!$B$9,Paramètres!$A$1:$I$89,3,0)*0.475*44/12</f>
        <v>2.1122451727596641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23.382106892159694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425.99999999999983</v>
      </c>
      <c r="AJ140" s="13">
        <f>AI140*VLOOKUP('Données projet'!$B$10,Paramètres!$A$1:$I$89,3,0)*VLOOKUP('Données projet'!$B$10,Paramètres!$A$1:$I$89,5,0)</f>
        <v>232.59599999999992</v>
      </c>
      <c r="AK140" s="13">
        <f t="shared" si="143"/>
        <v>56.843630236302218</v>
      </c>
      <c r="AL140" s="20">
        <f t="shared" si="112"/>
        <v>504.10735599489294</v>
      </c>
      <c r="AM140" s="59">
        <f t="shared" si="113"/>
        <v>797.4406893282262</v>
      </c>
      <c r="AN140" s="59">
        <f ca="1">AVERAGE(OFFSET($AM$3,0,0,'Données projet'!$E$10+1,1))-AVERAGE(OFFSET($H$3,0,0,'Données projet'!$E$10+1,1))</f>
        <v>417.99456559608217</v>
      </c>
      <c r="AO140" s="59">
        <f t="shared" si="144"/>
        <v>651.41353014863932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68.495654385357312</v>
      </c>
      <c r="AV140" s="21">
        <f>EXP(-LN(2)/25)*AV139+(1-EXP(-LN(2)/25))/(LN(2)/25)*Calculateur!AQ140*Calculateur!AS140*VLOOKUP('Données projet'!$B$10,Paramètres!$A$1:$I$89,3,0)*0.475*44/12</f>
        <v>2.384153907804087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70.879808293161403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236.00000000000003</v>
      </c>
      <c r="BE140" s="13">
        <f>BD140*VLOOKUP('Données projet'!$B$11,Paramètres!$A$1:$I$89,3,0)*VLOOKUP('Données projet'!$B$11,Paramètres!$A$1:$I$89,5,0)</f>
        <v>206.16960000000006</v>
      </c>
      <c r="BF140" s="13">
        <f t="shared" si="145"/>
        <v>51.097652263007333</v>
      </c>
      <c r="BG140" s="20">
        <f t="shared" si="115"/>
        <v>448.07379769140448</v>
      </c>
      <c r="BH140" s="59">
        <f t="shared" si="116"/>
        <v>741.40713102473774</v>
      </c>
      <c r="BI140" s="59">
        <f ca="1">AVERAGE(OFFSET($BH$3,0,0,'Données projet'!$E$11+1,1))-AVERAGE(OFFSET($H$3,0,0,'Données projet'!$E$11+1,1))</f>
        <v>247.61330734992077</v>
      </c>
      <c r="BJ140" s="59">
        <f t="shared" si="146"/>
        <v>278.55937893537259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21.400986660934773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0</v>
      </c>
      <c r="BS140" s="22">
        <f t="shared" si="117"/>
        <v>21.400986660934773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66.378000000000142</v>
      </c>
      <c r="D141" s="11">
        <f t="shared" si="140"/>
        <v>18.771224988253135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657.2922630672183</v>
      </c>
      <c r="H141" s="66">
        <f t="shared" si="110"/>
        <v>441.63490018787445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636.99999999999977</v>
      </c>
      <c r="O141" s="13">
        <f>N141*VLOOKUP('Données projet'!$B$9,Paramètres!$A$1:$I$89,3,0)*VLOOKUP('Données projet'!$B$9,Paramètres!$A$1:$I$89,5,0)</f>
        <v>356.08299999999991</v>
      </c>
      <c r="P141" s="13">
        <f t="shared" si="141"/>
        <v>82.813805255716545</v>
      </c>
      <c r="Q141" s="20">
        <f t="shared" si="108"/>
        <v>764.41193582037283</v>
      </c>
      <c r="R141" s="59">
        <f t="shared" si="109"/>
        <v>1057.7452691537062</v>
      </c>
      <c r="S141" s="59">
        <f ca="1">AVERAGE(OFFSET($R$3,0,0,'Données projet'!$E$9+1,1))-AVERAGE(OFFSET($H$3,0,0,'Données projet'!$E$9+1,1))</f>
        <v>382.55387448074327</v>
      </c>
      <c r="T141" s="59">
        <f t="shared" si="142"/>
        <v>476.29465646955543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20.852772704417234</v>
      </c>
      <c r="AA141" s="21">
        <f>EXP(-LN(2)/25)*AA140+(1-EXP(-LN(2)/25))/(LN(2)/25)*Calculateur!V141*Calculateur!X141*VLOOKUP('Données projet'!$B$9,Paramètres!$A$1:$I$89,3,0)*0.475*44/12</f>
        <v>2.0544857174324052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22.90725842184964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425.99999999999983</v>
      </c>
      <c r="AJ141" s="13">
        <f>AI141*VLOOKUP('Données projet'!$B$10,Paramètres!$A$1:$I$89,3,0)*VLOOKUP('Données projet'!$B$10,Paramètres!$A$1:$I$89,5,0)</f>
        <v>232.59599999999992</v>
      </c>
      <c r="AK141" s="13">
        <f t="shared" si="143"/>
        <v>56.843630236302218</v>
      </c>
      <c r="AL141" s="20">
        <f t="shared" si="112"/>
        <v>504.10735599489294</v>
      </c>
      <c r="AM141" s="59">
        <f t="shared" si="113"/>
        <v>797.4406893282262</v>
      </c>
      <c r="AN141" s="59">
        <f ca="1">AVERAGE(OFFSET($AM$3,0,0,'Données projet'!$E$10+1,1))-AVERAGE(OFFSET($H$3,0,0,'Données projet'!$E$10+1,1))</f>
        <v>417.99456559608217</v>
      </c>
      <c r="AO141" s="59">
        <f t="shared" si="144"/>
        <v>651.41353014863932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67.152496381084376</v>
      </c>
      <c r="AV141" s="21">
        <f>EXP(-LN(2)/25)*AV140+(1-EXP(-LN(2)/25))/(LN(2)/25)*Calculateur!AQ141*Calculateur!AS141*VLOOKUP('Données projet'!$B$10,Paramètres!$A$1:$I$89,3,0)*0.475*44/12</f>
        <v>2.3189590938179792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69.471455474902356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236.00000000000003</v>
      </c>
      <c r="BE141" s="13">
        <f>BD141*VLOOKUP('Données projet'!$B$11,Paramètres!$A$1:$I$89,3,0)*VLOOKUP('Données projet'!$B$11,Paramètres!$A$1:$I$89,5,0)</f>
        <v>206.16960000000006</v>
      </c>
      <c r="BF141" s="13">
        <f t="shared" si="145"/>
        <v>51.097652263007333</v>
      </c>
      <c r="BG141" s="20">
        <f t="shared" si="115"/>
        <v>448.07379769140448</v>
      </c>
      <c r="BH141" s="59">
        <f t="shared" si="116"/>
        <v>741.40713102473774</v>
      </c>
      <c r="BI141" s="59">
        <f ca="1">AVERAGE(OFFSET($BH$3,0,0,'Données projet'!$E$11+1,1))-AVERAGE(OFFSET($H$3,0,0,'Données projet'!$E$11+1,1))</f>
        <v>247.61330734992077</v>
      </c>
      <c r="BJ141" s="59">
        <f t="shared" si="146"/>
        <v>278.55937893537259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20.981326365826799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0</v>
      </c>
      <c r="BS141" s="22">
        <f t="shared" si="117"/>
        <v>20.981326365826799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66.859000000000137</v>
      </c>
      <c r="D142" s="11">
        <f t="shared" si="140"/>
        <v>18.891364684761506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661.9326396718443</v>
      </c>
      <c r="H142" s="66">
        <f t="shared" si="110"/>
        <v>442.68188515929319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636.99999999999977</v>
      </c>
      <c r="O142" s="13">
        <f>N142*VLOOKUP('Données projet'!$B$9,Paramètres!$A$1:$I$89,3,0)*VLOOKUP('Données projet'!$B$9,Paramètres!$A$1:$I$89,5,0)</f>
        <v>356.08299999999991</v>
      </c>
      <c r="P142" s="13">
        <f t="shared" si="141"/>
        <v>82.813805255716545</v>
      </c>
      <c r="Q142" s="20">
        <f t="shared" si="108"/>
        <v>764.41193582037283</v>
      </c>
      <c r="R142" s="59">
        <f t="shared" si="109"/>
        <v>1057.7452691537062</v>
      </c>
      <c r="S142" s="59">
        <f ca="1">AVERAGE(OFFSET($R$3,0,0,'Données projet'!$E$9+1,1))-AVERAGE(OFFSET($H$3,0,0,'Données projet'!$E$9+1,1))</f>
        <v>382.55387448074327</v>
      </c>
      <c r="T142" s="59">
        <f t="shared" si="142"/>
        <v>476.29465646955543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20.44386255061907</v>
      </c>
      <c r="AA142" s="21">
        <f>EXP(-LN(2)/25)*AA141+(1-EXP(-LN(2)/25))/(LN(2)/25)*Calculateur!V142*Calculateur!X142*VLOOKUP('Données projet'!$B$9,Paramètres!$A$1:$I$89,3,0)*0.475*44/12</f>
        <v>1.9983056974485078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22.442168248067578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425.99999999999983</v>
      </c>
      <c r="AJ142" s="13">
        <f>AI142*VLOOKUP('Données projet'!$B$10,Paramètres!$A$1:$I$89,3,0)*VLOOKUP('Données projet'!$B$10,Paramètres!$A$1:$I$89,5,0)</f>
        <v>232.59599999999992</v>
      </c>
      <c r="AK142" s="13">
        <f t="shared" si="143"/>
        <v>56.843630236302218</v>
      </c>
      <c r="AL142" s="20">
        <f t="shared" si="112"/>
        <v>504.10735599489294</v>
      </c>
      <c r="AM142" s="59">
        <f t="shared" si="113"/>
        <v>797.4406893282262</v>
      </c>
      <c r="AN142" s="59">
        <f ca="1">AVERAGE(OFFSET($AM$3,0,0,'Données projet'!$E$10+1,1))-AVERAGE(OFFSET($H$3,0,0,'Données projet'!$E$10+1,1))</f>
        <v>417.99456559608217</v>
      </c>
      <c r="AO142" s="59">
        <f t="shared" si="144"/>
        <v>651.41353014863932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65.835676886029745</v>
      </c>
      <c r="AV142" s="21">
        <f>EXP(-LN(2)/25)*AV141+(1-EXP(-LN(2)/25))/(LN(2)/25)*Calculateur!AQ142*Calculateur!AS142*VLOOKUP('Données projet'!$B$10,Paramètres!$A$1:$I$89,3,0)*0.475*44/12</f>
        <v>2.2555470354487679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68.091223921478516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236.00000000000003</v>
      </c>
      <c r="BE142" s="13">
        <f>BD142*VLOOKUP('Données projet'!$B$11,Paramètres!$A$1:$I$89,3,0)*VLOOKUP('Données projet'!$B$11,Paramètres!$A$1:$I$89,5,0)</f>
        <v>206.16960000000006</v>
      </c>
      <c r="BF142" s="13">
        <f t="shared" si="145"/>
        <v>51.097652263007333</v>
      </c>
      <c r="BG142" s="20">
        <f t="shared" si="115"/>
        <v>448.07379769140448</v>
      </c>
      <c r="BH142" s="59">
        <f t="shared" si="116"/>
        <v>741.40713102473774</v>
      </c>
      <c r="BI142" s="59">
        <f ca="1">AVERAGE(OFFSET($BH$3,0,0,'Données projet'!$E$11+1,1))-AVERAGE(OFFSET($H$3,0,0,'Données projet'!$E$11+1,1))</f>
        <v>247.61330734992077</v>
      </c>
      <c r="BJ142" s="59">
        <f t="shared" si="146"/>
        <v>278.55937893537259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20.569895353138385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0</v>
      </c>
      <c r="BS142" s="22">
        <f t="shared" si="117"/>
        <v>20.569895353138385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67.340000000000131</v>
      </c>
      <c r="D143" s="11">
        <f t="shared" si="140"/>
        <v>19.011403816272956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666.57223998526604</v>
      </c>
      <c r="H143" s="66">
        <f t="shared" si="110"/>
        <v>443.72869498000898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636.99999999999977</v>
      </c>
      <c r="O143" s="13">
        <f>N143*VLOOKUP('Données projet'!$B$9,Paramètres!$A$1:$I$89,3,0)*VLOOKUP('Données projet'!$B$9,Paramètres!$A$1:$I$89,5,0)</f>
        <v>356.08299999999991</v>
      </c>
      <c r="P143" s="13">
        <f t="shared" si="141"/>
        <v>82.813805255716545</v>
      </c>
      <c r="Q143" s="20">
        <f t="shared" si="108"/>
        <v>764.41193582037283</v>
      </c>
      <c r="R143" s="59">
        <f t="shared" si="109"/>
        <v>1057.7452691537062</v>
      </c>
      <c r="S143" s="59">
        <f ca="1">AVERAGE(OFFSET($R$3,0,0,'Données projet'!$E$9+1,1))-AVERAGE(OFFSET($H$3,0,0,'Données projet'!$E$9+1,1))</f>
        <v>382.55387448074327</v>
      </c>
      <c r="T143" s="59">
        <f t="shared" si="142"/>
        <v>476.29465646955543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20.042970875526322</v>
      </c>
      <c r="AA143" s="21">
        <f>EXP(-LN(2)/25)*AA142+(1-EXP(-LN(2)/25))/(LN(2)/25)*Calculateur!V143*Calculateur!X143*VLOOKUP('Données projet'!$B$9,Paramètres!$A$1:$I$89,3,0)*0.475*44/12</f>
        <v>1.943661923065449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21.986632798591771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425.99999999999983</v>
      </c>
      <c r="AJ143" s="13">
        <f>AI143*VLOOKUP('Données projet'!$B$10,Paramètres!$A$1:$I$89,3,0)*VLOOKUP('Données projet'!$B$10,Paramètres!$A$1:$I$89,5,0)</f>
        <v>232.59599999999992</v>
      </c>
      <c r="AK143" s="13">
        <f t="shared" si="143"/>
        <v>56.843630236302218</v>
      </c>
      <c r="AL143" s="20">
        <f t="shared" si="112"/>
        <v>504.10735599489294</v>
      </c>
      <c r="AM143" s="59">
        <f t="shared" si="113"/>
        <v>797.4406893282262</v>
      </c>
      <c r="AN143" s="59">
        <f ca="1">AVERAGE(OFFSET($AM$3,0,0,'Données projet'!$E$10+1,1))-AVERAGE(OFFSET($H$3,0,0,'Données projet'!$E$10+1,1))</f>
        <v>417.99456559608217</v>
      </c>
      <c r="AO143" s="59">
        <f t="shared" si="144"/>
        <v>651.41353014863932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64.544679418092542</v>
      </c>
      <c r="AV143" s="21">
        <f>EXP(-LN(2)/25)*AV142+(1-EXP(-LN(2)/25))/(LN(2)/25)*Calculateur!AQ143*Calculateur!AS143*VLOOKUP('Données projet'!$B$10,Paramètres!$A$1:$I$89,3,0)*0.475*44/12</f>
        <v>2.1938689831503577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66.738548401242895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236.00000000000003</v>
      </c>
      <c r="BE143" s="13">
        <f>BD143*VLOOKUP('Données projet'!$B$11,Paramètres!$A$1:$I$89,3,0)*VLOOKUP('Données projet'!$B$11,Paramètres!$A$1:$I$89,5,0)</f>
        <v>206.16960000000006</v>
      </c>
      <c r="BF143" s="13">
        <f t="shared" si="145"/>
        <v>51.097652263007333</v>
      </c>
      <c r="BG143" s="20">
        <f t="shared" si="115"/>
        <v>448.07379769140448</v>
      </c>
      <c r="BH143" s="59">
        <f t="shared" si="116"/>
        <v>741.40713102473774</v>
      </c>
      <c r="BI143" s="59">
        <f ca="1">AVERAGE(OFFSET($BH$3,0,0,'Données projet'!$E$11+1,1))-AVERAGE(OFFSET($H$3,0,0,'Données projet'!$E$11+1,1))</f>
        <v>247.61330734992077</v>
      </c>
      <c r="BJ143" s="59">
        <f t="shared" si="146"/>
        <v>278.55937893537259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20.166532251660652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0</v>
      </c>
      <c r="BS143" s="22">
        <f t="shared" si="117"/>
        <v>20.166532251660652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67.821000000000126</v>
      </c>
      <c r="D144" s="11">
        <f t="shared" si="140"/>
        <v>19.13134318440186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671.21107019538374</v>
      </c>
      <c r="H144" s="66">
        <f t="shared" si="110"/>
        <v>444.7753310461668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636.99999999999977</v>
      </c>
      <c r="O144" s="13">
        <f>N144*VLOOKUP('Données projet'!$B$9,Paramètres!$A$1:$I$89,3,0)*VLOOKUP('Données projet'!$B$9,Paramètres!$A$1:$I$89,5,0)</f>
        <v>356.08299999999991</v>
      </c>
      <c r="P144" s="13">
        <f t="shared" si="141"/>
        <v>82.813805255716545</v>
      </c>
      <c r="Q144" s="20">
        <f t="shared" si="108"/>
        <v>764.41193582037283</v>
      </c>
      <c r="R144" s="59">
        <f t="shared" si="109"/>
        <v>1057.7452691537062</v>
      </c>
      <c r="S144" s="59">
        <f ca="1">AVERAGE(OFFSET($R$3,0,0,'Données projet'!$E$9+1,1))-AVERAGE(OFFSET($H$3,0,0,'Données projet'!$E$9+1,1))</f>
        <v>382.55387448074327</v>
      </c>
      <c r="T144" s="59">
        <f t="shared" si="142"/>
        <v>476.29465646955543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19.649940441662366</v>
      </c>
      <c r="AA144" s="21">
        <f>EXP(-LN(2)/25)*AA143+(1-EXP(-LN(2)/25))/(LN(2)/25)*Calculateur!V144*Calculateur!X144*VLOOKUP('Données projet'!$B$9,Paramètres!$A$1:$I$89,3,0)*0.475*44/12</f>
        <v>1.890512385566486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21.540452827228851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425.99999999999983</v>
      </c>
      <c r="AJ144" s="13">
        <f>AI144*VLOOKUP('Données projet'!$B$10,Paramètres!$A$1:$I$89,3,0)*VLOOKUP('Données projet'!$B$10,Paramètres!$A$1:$I$89,5,0)</f>
        <v>232.59599999999992</v>
      </c>
      <c r="AK144" s="13">
        <f t="shared" si="143"/>
        <v>56.843630236302218</v>
      </c>
      <c r="AL144" s="20">
        <f t="shared" si="112"/>
        <v>504.10735599489294</v>
      </c>
      <c r="AM144" s="59">
        <f t="shared" si="113"/>
        <v>797.4406893282262</v>
      </c>
      <c r="AN144" s="59">
        <f ca="1">AVERAGE(OFFSET($AM$3,0,0,'Données projet'!$E$10+1,1))-AVERAGE(OFFSET($H$3,0,0,'Données projet'!$E$10+1,1))</f>
        <v>417.99456559608217</v>
      </c>
      <c r="AO144" s="59">
        <f t="shared" si="144"/>
        <v>651.41353014863932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63.278997623070886</v>
      </c>
      <c r="AV144" s="21">
        <f>EXP(-LN(2)/25)*AV143+(1-EXP(-LN(2)/25))/(LN(2)/25)*Calculateur!AQ144*Calculateur!AS144*VLOOKUP('Données projet'!$B$10,Paramètres!$A$1:$I$89,3,0)*0.475*44/12</f>
        <v>2.1338775204355556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65.41287514350644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236.00000000000003</v>
      </c>
      <c r="BE144" s="13">
        <f>BD144*VLOOKUP('Données projet'!$B$11,Paramètres!$A$1:$I$89,3,0)*VLOOKUP('Données projet'!$B$11,Paramètres!$A$1:$I$89,5,0)</f>
        <v>206.16960000000006</v>
      </c>
      <c r="BF144" s="13">
        <f t="shared" si="145"/>
        <v>51.097652263007333</v>
      </c>
      <c r="BG144" s="20">
        <f t="shared" si="115"/>
        <v>448.07379769140448</v>
      </c>
      <c r="BH144" s="59">
        <f t="shared" si="116"/>
        <v>741.40713102473774</v>
      </c>
      <c r="BI144" s="59">
        <f ca="1">AVERAGE(OFFSET($BH$3,0,0,'Données projet'!$E$11+1,1))-AVERAGE(OFFSET($H$3,0,0,'Données projet'!$E$11+1,1))</f>
        <v>247.61330734992077</v>
      </c>
      <c r="BJ144" s="59">
        <f t="shared" si="146"/>
        <v>278.55937893537259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19.771078854575698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0</v>
      </c>
      <c r="BS144" s="22">
        <f t="shared" si="117"/>
        <v>19.771078854575698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68.30200000000012</v>
      </c>
      <c r="D145" s="11">
        <f t="shared" si="140"/>
        <v>19.251183578735148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675.84913639725471</v>
      </c>
      <c r="H145" s="66">
        <f t="shared" si="110"/>
        <v>445.82179473296389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636.99999999999977</v>
      </c>
      <c r="O145" s="13">
        <f>N145*VLOOKUP('Données projet'!$B$9,Paramètres!$A$1:$I$89,3,0)*VLOOKUP('Données projet'!$B$9,Paramètres!$A$1:$I$89,5,0)</f>
        <v>356.08299999999991</v>
      </c>
      <c r="P145" s="13">
        <f t="shared" si="141"/>
        <v>82.813805255716545</v>
      </c>
      <c r="Q145" s="20">
        <f t="shared" si="108"/>
        <v>764.41193582037283</v>
      </c>
      <c r="R145" s="59">
        <f t="shared" si="109"/>
        <v>1057.7452691537062</v>
      </c>
      <c r="S145" s="59">
        <f ca="1">AVERAGE(OFFSET($R$3,0,0,'Données projet'!$E$9+1,1))-AVERAGE(OFFSET($H$3,0,0,'Données projet'!$E$9+1,1))</f>
        <v>382.55387448074327</v>
      </c>
      <c r="T145" s="59">
        <f t="shared" si="142"/>
        <v>476.29465646955543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19.26461709488159</v>
      </c>
      <c r="AA145" s="21">
        <f>EXP(-LN(2)/25)*AA144+(1-EXP(-LN(2)/25))/(LN(2)/25)*Calculateur!V145*Calculateur!X145*VLOOKUP('Données projet'!$B$9,Paramètres!$A$1:$I$89,3,0)*0.475*44/12</f>
        <v>1.8388162249654449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21.103433319847035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425.99999999999983</v>
      </c>
      <c r="AJ145" s="13">
        <f>AI145*VLOOKUP('Données projet'!$B$10,Paramètres!$A$1:$I$89,3,0)*VLOOKUP('Données projet'!$B$10,Paramètres!$A$1:$I$89,5,0)</f>
        <v>232.59599999999992</v>
      </c>
      <c r="AK145" s="13">
        <f t="shared" si="143"/>
        <v>56.843630236302218</v>
      </c>
      <c r="AL145" s="20">
        <f t="shared" si="112"/>
        <v>504.10735599489294</v>
      </c>
      <c r="AM145" s="59">
        <f t="shared" si="113"/>
        <v>797.4406893282262</v>
      </c>
      <c r="AN145" s="59">
        <f ca="1">AVERAGE(OFFSET($AM$3,0,0,'Données projet'!$E$10+1,1))-AVERAGE(OFFSET($H$3,0,0,'Données projet'!$E$10+1,1))</f>
        <v>417.99456559608217</v>
      </c>
      <c r="AO145" s="59">
        <f t="shared" si="144"/>
        <v>651.41353014863932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62.038135076059937</v>
      </c>
      <c r="AV145" s="21">
        <f>EXP(-LN(2)/25)*AV144+(1-EXP(-LN(2)/25))/(LN(2)/25)*Calculateur!AQ145*Calculateur!AS145*VLOOKUP('Données projet'!$B$10,Paramètres!$A$1:$I$89,3,0)*0.475*44/12</f>
        <v>2.0755265274235035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64.113661603483436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236.00000000000003</v>
      </c>
      <c r="BE145" s="13">
        <f>BD145*VLOOKUP('Données projet'!$B$11,Paramètres!$A$1:$I$89,3,0)*VLOOKUP('Données projet'!$B$11,Paramètres!$A$1:$I$89,5,0)</f>
        <v>206.16960000000006</v>
      </c>
      <c r="BF145" s="13">
        <f t="shared" si="145"/>
        <v>51.097652263007333</v>
      </c>
      <c r="BG145" s="20">
        <f t="shared" si="115"/>
        <v>448.07379769140448</v>
      </c>
      <c r="BH145" s="59">
        <f t="shared" si="116"/>
        <v>741.40713102473774</v>
      </c>
      <c r="BI145" s="59">
        <f ca="1">AVERAGE(OFFSET($BH$3,0,0,'Données projet'!$E$11+1,1))-AVERAGE(OFFSET($H$3,0,0,'Données projet'!$E$11+1,1))</f>
        <v>247.61330734992077</v>
      </c>
      <c r="BJ145" s="59">
        <f t="shared" si="146"/>
        <v>278.55937893537259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19.383380057404825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0</v>
      </c>
      <c r="BS145" s="22">
        <f t="shared" si="117"/>
        <v>19.383380057404825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68.783000000000115</v>
      </c>
      <c r="D146" s="11">
        <f t="shared" si="140"/>
        <v>19.370925777096051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680.48644459512832</v>
      </c>
      <c r="H146" s="66">
        <f t="shared" si="110"/>
        <v>446.86808739510911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636.99999999999977</v>
      </c>
      <c r="O146" s="13">
        <f>N146*VLOOKUP('Données projet'!$B$9,Paramètres!$A$1:$I$89,3,0)*VLOOKUP('Données projet'!$B$9,Paramètres!$A$1:$I$89,5,0)</f>
        <v>356.08299999999991</v>
      </c>
      <c r="P146" s="13">
        <f t="shared" si="141"/>
        <v>82.813805255716545</v>
      </c>
      <c r="Q146" s="20">
        <f t="shared" si="108"/>
        <v>764.41193582037283</v>
      </c>
      <c r="R146" s="59">
        <f t="shared" si="109"/>
        <v>1057.7452691537062</v>
      </c>
      <c r="S146" s="59">
        <f ca="1">AVERAGE(OFFSET($R$3,0,0,'Données projet'!$E$9+1,1))-AVERAGE(OFFSET($H$3,0,0,'Données projet'!$E$9+1,1))</f>
        <v>382.55387448074327</v>
      </c>
      <c r="T146" s="59">
        <f t="shared" si="142"/>
        <v>476.29465646955543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18.886849703907149</v>
      </c>
      <c r="AA146" s="21">
        <f>EXP(-LN(2)/25)*AA145+(1-EXP(-LN(2)/25))/(LN(2)/25)*Calculateur!V146*Calculateur!X146*VLOOKUP('Données projet'!$B$9,Paramètres!$A$1:$I$89,3,0)*0.475*44/12</f>
        <v>1.7885336985946223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20.675383402501772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425.99999999999983</v>
      </c>
      <c r="AJ146" s="13">
        <f>AI146*VLOOKUP('Données projet'!$B$10,Paramètres!$A$1:$I$89,3,0)*VLOOKUP('Données projet'!$B$10,Paramètres!$A$1:$I$89,5,0)</f>
        <v>232.59599999999992</v>
      </c>
      <c r="AK146" s="13">
        <f t="shared" si="143"/>
        <v>56.843630236302218</v>
      </c>
      <c r="AL146" s="20">
        <f t="shared" si="112"/>
        <v>504.10735599489294</v>
      </c>
      <c r="AM146" s="59">
        <f t="shared" si="113"/>
        <v>797.4406893282262</v>
      </c>
      <c r="AN146" s="59">
        <f ca="1">AVERAGE(OFFSET($AM$3,0,0,'Données projet'!$E$10+1,1))-AVERAGE(OFFSET($H$3,0,0,'Données projet'!$E$10+1,1))</f>
        <v>417.99456559608217</v>
      </c>
      <c r="AO146" s="59">
        <f t="shared" si="144"/>
        <v>651.41353014863932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60.821605086744455</v>
      </c>
      <c r="AV146" s="21">
        <f>EXP(-LN(2)/25)*AV145+(1-EXP(-LN(2)/25))/(LN(2)/25)*Calculateur!AQ146*Calculateur!AS146*VLOOKUP('Données projet'!$B$10,Paramètres!$A$1:$I$89,3,0)*0.475*44/12</f>
        <v>2.0187711453839112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62.840376232128364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236.00000000000003</v>
      </c>
      <c r="BE146" s="13">
        <f>BD146*VLOOKUP('Données projet'!$B$11,Paramètres!$A$1:$I$89,3,0)*VLOOKUP('Données projet'!$B$11,Paramètres!$A$1:$I$89,5,0)</f>
        <v>206.16960000000006</v>
      </c>
      <c r="BF146" s="13">
        <f t="shared" si="145"/>
        <v>51.097652263007333</v>
      </c>
      <c r="BG146" s="20">
        <f t="shared" si="115"/>
        <v>448.07379769140448</v>
      </c>
      <c r="BH146" s="59">
        <f t="shared" si="116"/>
        <v>741.40713102473774</v>
      </c>
      <c r="BI146" s="59">
        <f ca="1">AVERAGE(OFFSET($BH$3,0,0,'Données projet'!$E$11+1,1))-AVERAGE(OFFSET($H$3,0,0,'Données projet'!$E$11+1,1))</f>
        <v>247.61330734992077</v>
      </c>
      <c r="BJ146" s="59">
        <f t="shared" si="146"/>
        <v>278.55937893537259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19.003283797173555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0</v>
      </c>
      <c r="BS146" s="22">
        <f t="shared" si="117"/>
        <v>19.003283797173555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69.264000000000109</v>
      </c>
      <c r="D147" s="11">
        <f t="shared" si="140"/>
        <v>19.49057054580048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685.12300070442564</v>
      </c>
      <c r="H147" s="66">
        <f t="shared" si="110"/>
        <v>447.91421036726933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636.99999999999977</v>
      </c>
      <c r="O147" s="13">
        <f>N147*VLOOKUP('Données projet'!$B$9,Paramètres!$A$1:$I$89,3,0)*VLOOKUP('Données projet'!$B$9,Paramètres!$A$1:$I$89,5,0)</f>
        <v>356.08299999999991</v>
      </c>
      <c r="P147" s="13">
        <f t="shared" si="141"/>
        <v>82.813805255716545</v>
      </c>
      <c r="Q147" s="20">
        <f t="shared" si="108"/>
        <v>764.41193582037283</v>
      </c>
      <c r="R147" s="59">
        <f t="shared" si="109"/>
        <v>1057.7452691537062</v>
      </c>
      <c r="S147" s="59">
        <f ca="1">AVERAGE(OFFSET($R$3,0,0,'Données projet'!$E$9+1,1))-AVERAGE(OFFSET($H$3,0,0,'Données projet'!$E$9+1,1))</f>
        <v>382.55387448074327</v>
      </c>
      <c r="T147" s="59">
        <f t="shared" si="142"/>
        <v>476.29465646955543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18.516490101054359</v>
      </c>
      <c r="AA147" s="21">
        <f>EXP(-LN(2)/25)*AA146+(1-EXP(-LN(2)/25))/(LN(2)/25)*Calculateur!V147*Calculateur!X147*VLOOKUP('Données projet'!$B$9,Paramètres!$A$1:$I$89,3,0)*0.475*44/12</f>
        <v>1.7396261505516528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20.256116251606013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425.99999999999983</v>
      </c>
      <c r="AJ147" s="13">
        <f>AI147*VLOOKUP('Données projet'!$B$10,Paramètres!$A$1:$I$89,3,0)*VLOOKUP('Données projet'!$B$10,Paramètres!$A$1:$I$89,5,0)</f>
        <v>232.59599999999992</v>
      </c>
      <c r="AK147" s="13">
        <f t="shared" si="143"/>
        <v>56.843630236302218</v>
      </c>
      <c r="AL147" s="20">
        <f t="shared" si="112"/>
        <v>504.10735599489294</v>
      </c>
      <c r="AM147" s="59">
        <f t="shared" si="113"/>
        <v>797.4406893282262</v>
      </c>
      <c r="AN147" s="59">
        <f ca="1">AVERAGE(OFFSET($AM$3,0,0,'Données projet'!$E$10+1,1))-AVERAGE(OFFSET($H$3,0,0,'Données projet'!$E$10+1,1))</f>
        <v>417.99456559608217</v>
      </c>
      <c r="AO147" s="59">
        <f t="shared" si="144"/>
        <v>651.41353014863932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59.628930508509427</v>
      </c>
      <c r="AV147" s="21">
        <f>EXP(-LN(2)/25)*AV146+(1-EXP(-LN(2)/25))/(LN(2)/25)*Calculateur!AQ147*Calculateur!AS147*VLOOKUP('Données projet'!$B$10,Paramètres!$A$1:$I$89,3,0)*0.475*44/12</f>
        <v>1.9635677422508275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61.592498250760258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236.00000000000003</v>
      </c>
      <c r="BE147" s="13">
        <f>BD147*VLOOKUP('Données projet'!$B$11,Paramètres!$A$1:$I$89,3,0)*VLOOKUP('Données projet'!$B$11,Paramètres!$A$1:$I$89,5,0)</f>
        <v>206.16960000000006</v>
      </c>
      <c r="BF147" s="13">
        <f t="shared" si="145"/>
        <v>51.097652263007333</v>
      </c>
      <c r="BG147" s="20">
        <f t="shared" si="115"/>
        <v>448.07379769140448</v>
      </c>
      <c r="BH147" s="59">
        <f t="shared" si="116"/>
        <v>741.40713102473774</v>
      </c>
      <c r="BI147" s="59">
        <f ca="1">AVERAGE(OFFSET($BH$3,0,0,'Données projet'!$E$11+1,1))-AVERAGE(OFFSET($H$3,0,0,'Données projet'!$E$11+1,1))</f>
        <v>247.61330734992077</v>
      </c>
      <c r="BJ147" s="59">
        <f t="shared" si="146"/>
        <v>278.55937893537259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18.630640992769596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0</v>
      </c>
      <c r="BS147" s="22">
        <f t="shared" si="117"/>
        <v>18.630640992769596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69.745000000000104</v>
      </c>
      <c r="D148" s="11">
        <f t="shared" si="140"/>
        <v>19.610118639905842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689.75881055366006</v>
      </c>
      <c r="H148" s="66">
        <f t="shared" si="110"/>
        <v>448.96016496450284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636.99999999999977</v>
      </c>
      <c r="O148" s="13">
        <f>N148*VLOOKUP('Données projet'!$B$9,Paramètres!$A$1:$I$89,3,0)*VLOOKUP('Données projet'!$B$9,Paramètres!$A$1:$I$89,5,0)</f>
        <v>356.08299999999991</v>
      </c>
      <c r="P148" s="13">
        <f t="shared" si="141"/>
        <v>82.813805255716545</v>
      </c>
      <c r="Q148" s="20">
        <f t="shared" si="108"/>
        <v>764.41193582037283</v>
      </c>
      <c r="R148" s="59">
        <f t="shared" si="109"/>
        <v>1057.7452691537062</v>
      </c>
      <c r="S148" s="59">
        <f ca="1">AVERAGE(OFFSET($R$3,0,0,'Données projet'!$E$9+1,1))-AVERAGE(OFFSET($H$3,0,0,'Données projet'!$E$9+1,1))</f>
        <v>382.55387448074327</v>
      </c>
      <c r="T148" s="59">
        <f t="shared" si="142"/>
        <v>476.29465646955543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18.153393024116461</v>
      </c>
      <c r="AA148" s="21">
        <f>EXP(-LN(2)/25)*AA147+(1-EXP(-LN(2)/25))/(LN(2)/25)*Calculateur!V148*Calculateur!X148*VLOOKUP('Données projet'!$B$9,Paramètres!$A$1:$I$89,3,0)*0.475*44/12</f>
        <v>1.6920559819818546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19.845449006098317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425.99999999999983</v>
      </c>
      <c r="AJ148" s="13">
        <f>AI148*VLOOKUP('Données projet'!$B$10,Paramètres!$A$1:$I$89,3,0)*VLOOKUP('Données projet'!$B$10,Paramètres!$A$1:$I$89,5,0)</f>
        <v>232.59599999999992</v>
      </c>
      <c r="AK148" s="13">
        <f t="shared" si="143"/>
        <v>56.843630236302218</v>
      </c>
      <c r="AL148" s="20">
        <f t="shared" si="112"/>
        <v>504.10735599489294</v>
      </c>
      <c r="AM148" s="59">
        <f t="shared" si="113"/>
        <v>797.4406893282262</v>
      </c>
      <c r="AN148" s="59">
        <f ca="1">AVERAGE(OFFSET($AM$3,0,0,'Données projet'!$E$10+1,1))-AVERAGE(OFFSET($H$3,0,0,'Données projet'!$E$10+1,1))</f>
        <v>417.99456559608217</v>
      </c>
      <c r="AO148" s="59">
        <f t="shared" si="144"/>
        <v>651.41353014863932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58.459643551293922</v>
      </c>
      <c r="AV148" s="21">
        <f>EXP(-LN(2)/25)*AV147+(1-EXP(-LN(2)/25))/(LN(2)/25)*Calculateur!AQ148*Calculateur!AS148*VLOOKUP('Données projet'!$B$10,Paramètres!$A$1:$I$89,3,0)*0.475*44/12</f>
        <v>1.909873879079439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60.369517430373364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236.00000000000003</v>
      </c>
      <c r="BE148" s="13">
        <f>BD148*VLOOKUP('Données projet'!$B$11,Paramètres!$A$1:$I$89,3,0)*VLOOKUP('Données projet'!$B$11,Paramètres!$A$1:$I$89,5,0)</f>
        <v>206.16960000000006</v>
      </c>
      <c r="BF148" s="13">
        <f t="shared" si="145"/>
        <v>51.097652263007333</v>
      </c>
      <c r="BG148" s="20">
        <f t="shared" si="115"/>
        <v>448.07379769140448</v>
      </c>
      <c r="BH148" s="59">
        <f t="shared" si="116"/>
        <v>741.40713102473774</v>
      </c>
      <c r="BI148" s="59">
        <f ca="1">AVERAGE(OFFSET($BH$3,0,0,'Données projet'!$E$11+1,1))-AVERAGE(OFFSET($H$3,0,0,'Données projet'!$E$11+1,1))</f>
        <v>247.61330734992077</v>
      </c>
      <c r="BJ148" s="59">
        <f t="shared" si="146"/>
        <v>278.55937893537259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18.265305486470332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0</v>
      </c>
      <c r="BS148" s="22">
        <f t="shared" si="117"/>
        <v>18.265305486470332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70.226000000000099</v>
      </c>
      <c r="D149" s="11">
        <f t="shared" si="140"/>
        <v>19.729570803453061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694.39387988630506</v>
      </c>
      <c r="H149" s="66">
        <f t="shared" si="110"/>
        <v>450.00595248268087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636.99999999999977</v>
      </c>
      <c r="O149" s="13">
        <f>N149*VLOOKUP('Données projet'!$B$9,Paramètres!$A$1:$I$89,3,0)*VLOOKUP('Données projet'!$B$9,Paramètres!$A$1:$I$89,5,0)</f>
        <v>356.08299999999991</v>
      </c>
      <c r="P149" s="13">
        <f t="shared" si="141"/>
        <v>82.813805255716545</v>
      </c>
      <c r="Q149" s="20">
        <f t="shared" si="108"/>
        <v>764.41193582037283</v>
      </c>
      <c r="R149" s="59">
        <f t="shared" si="109"/>
        <v>1057.7452691537062</v>
      </c>
      <c r="S149" s="59">
        <f ca="1">AVERAGE(OFFSET($R$3,0,0,'Données projet'!$E$9+1,1))-AVERAGE(OFFSET($H$3,0,0,'Données projet'!$E$9+1,1))</f>
        <v>382.55387448074327</v>
      </c>
      <c r="T149" s="59">
        <f t="shared" si="142"/>
        <v>476.29465646955543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17.797416059389967</v>
      </c>
      <c r="AA149" s="21">
        <f>EXP(-LN(2)/25)*AA148+(1-EXP(-LN(2)/25))/(LN(2)/25)*Calculateur!V149*Calculateur!X149*VLOOKUP('Données projet'!$B$9,Paramètres!$A$1:$I$89,3,0)*0.475*44/12</f>
        <v>1.6457866221732038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19.443202681563172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425.99999999999983</v>
      </c>
      <c r="AJ149" s="13">
        <f>AI149*VLOOKUP('Données projet'!$B$10,Paramètres!$A$1:$I$89,3,0)*VLOOKUP('Données projet'!$B$10,Paramètres!$A$1:$I$89,5,0)</f>
        <v>232.59599999999992</v>
      </c>
      <c r="AK149" s="13">
        <f t="shared" si="143"/>
        <v>56.843630236302218</v>
      </c>
      <c r="AL149" s="20">
        <f t="shared" si="112"/>
        <v>504.10735599489294</v>
      </c>
      <c r="AM149" s="59">
        <f t="shared" si="113"/>
        <v>797.4406893282262</v>
      </c>
      <c r="AN149" s="59">
        <f ca="1">AVERAGE(OFFSET($AM$3,0,0,'Données projet'!$E$10+1,1))-AVERAGE(OFFSET($H$3,0,0,'Données projet'!$E$10+1,1))</f>
        <v>417.99456559608217</v>
      </c>
      <c r="AO149" s="59">
        <f t="shared" si="144"/>
        <v>651.41353014863932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57.313285598114796</v>
      </c>
      <c r="AV149" s="21">
        <f>EXP(-LN(2)/25)*AV148+(1-EXP(-LN(2)/25))/(LN(2)/25)*Calculateur!AQ149*Calculateur!AS149*VLOOKUP('Données projet'!$B$10,Paramètres!$A$1:$I$89,3,0)*0.475*44/12</f>
        <v>1.8576482774201095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59.170933875534907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236.00000000000003</v>
      </c>
      <c r="BE149" s="13">
        <f>BD149*VLOOKUP('Données projet'!$B$11,Paramètres!$A$1:$I$89,3,0)*VLOOKUP('Données projet'!$B$11,Paramètres!$A$1:$I$89,5,0)</f>
        <v>206.16960000000006</v>
      </c>
      <c r="BF149" s="13">
        <f t="shared" si="145"/>
        <v>51.097652263007333</v>
      </c>
      <c r="BG149" s="20">
        <f t="shared" si="115"/>
        <v>448.07379769140448</v>
      </c>
      <c r="BH149" s="59">
        <f t="shared" si="116"/>
        <v>741.40713102473774</v>
      </c>
      <c r="BI149" s="59">
        <f ca="1">AVERAGE(OFFSET($BH$3,0,0,'Données projet'!$E$11+1,1))-AVERAGE(OFFSET($H$3,0,0,'Données projet'!$E$11+1,1))</f>
        <v>247.61330734992077</v>
      </c>
      <c r="BJ149" s="59">
        <f t="shared" si="146"/>
        <v>278.55937893537259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17.907133986616941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0</v>
      </c>
      <c r="BS149" s="22">
        <f t="shared" si="117"/>
        <v>17.907133986616941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70.707000000000093</v>
      </c>
      <c r="D150" s="11">
        <f t="shared" si="140"/>
        <v>19.848927769701536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699.02821436260911</v>
      </c>
      <c r="H150" s="66">
        <f t="shared" si="110"/>
        <v>451.05157419889701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636.99999999999977</v>
      </c>
      <c r="O150" s="13">
        <f>N150*VLOOKUP('Données projet'!$B$9,Paramètres!$A$1:$I$89,3,0)*VLOOKUP('Données projet'!$B$9,Paramètres!$A$1:$I$89,5,0)</f>
        <v>356.08299999999991</v>
      </c>
      <c r="P150" s="13">
        <f t="shared" si="141"/>
        <v>82.813805255716545</v>
      </c>
      <c r="Q150" s="20">
        <f t="shared" si="108"/>
        <v>764.41193582037283</v>
      </c>
      <c r="R150" s="59">
        <f t="shared" si="109"/>
        <v>1057.7452691537062</v>
      </c>
      <c r="S150" s="59">
        <f ca="1">AVERAGE(OFFSET($R$3,0,0,'Données projet'!$E$9+1,1))-AVERAGE(OFFSET($H$3,0,0,'Données projet'!$E$9+1,1))</f>
        <v>382.55387448074327</v>
      </c>
      <c r="T150" s="59">
        <f t="shared" si="142"/>
        <v>476.29465646955543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17.448419585817248</v>
      </c>
      <c r="AA150" s="21">
        <f>EXP(-LN(2)/25)*AA149+(1-EXP(-LN(2)/25))/(LN(2)/25)*Calculateur!V150*Calculateur!X150*VLOOKUP('Données projet'!$B$9,Paramètres!$A$1:$I$89,3,0)*0.475*44/12</f>
        <v>1.6007825004417207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19.049202086258969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425.99999999999983</v>
      </c>
      <c r="AJ150" s="13">
        <f>AI150*VLOOKUP('Données projet'!$B$10,Paramètres!$A$1:$I$89,3,0)*VLOOKUP('Données projet'!$B$10,Paramètres!$A$1:$I$89,5,0)</f>
        <v>232.59599999999992</v>
      </c>
      <c r="AK150" s="13">
        <f t="shared" si="143"/>
        <v>56.843630236302218</v>
      </c>
      <c r="AL150" s="20">
        <f t="shared" si="112"/>
        <v>504.10735599489294</v>
      </c>
      <c r="AM150" s="59">
        <f t="shared" si="113"/>
        <v>797.4406893282262</v>
      </c>
      <c r="AN150" s="59">
        <f ca="1">AVERAGE(OFFSET($AM$3,0,0,'Données projet'!$E$10+1,1))-AVERAGE(OFFSET($H$3,0,0,'Données projet'!$E$10+1,1))</f>
        <v>417.99456559608217</v>
      </c>
      <c r="AO150" s="59">
        <f t="shared" si="144"/>
        <v>651.41353014863932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56.189407025188196</v>
      </c>
      <c r="AV150" s="21">
        <f>EXP(-LN(2)/25)*AV149+(1-EXP(-LN(2)/25))/(LN(2)/25)*Calculateur!AQ150*Calculateur!AS150*VLOOKUP('Données projet'!$B$10,Paramètres!$A$1:$I$89,3,0)*0.475*44/12</f>
        <v>1.8068507875845794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57.996257812772775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236.00000000000003</v>
      </c>
      <c r="BE150" s="13">
        <f>BD150*VLOOKUP('Données projet'!$B$11,Paramètres!$A$1:$I$89,3,0)*VLOOKUP('Données projet'!$B$11,Paramètres!$A$1:$I$89,5,0)</f>
        <v>206.16960000000006</v>
      </c>
      <c r="BF150" s="13">
        <f t="shared" si="145"/>
        <v>51.097652263007333</v>
      </c>
      <c r="BG150" s="20">
        <f t="shared" si="115"/>
        <v>448.07379769140448</v>
      </c>
      <c r="BH150" s="59">
        <f t="shared" si="116"/>
        <v>741.40713102473774</v>
      </c>
      <c r="BI150" s="59">
        <f ca="1">AVERAGE(OFFSET($BH$3,0,0,'Données projet'!$E$11+1,1))-AVERAGE(OFFSET($H$3,0,0,'Données projet'!$E$11+1,1))</f>
        <v>247.61330734992077</v>
      </c>
      <c r="BJ150" s="59">
        <f t="shared" si="146"/>
        <v>278.55937893537259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17.555986011412628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0</v>
      </c>
      <c r="BS150" s="22">
        <f t="shared" si="117"/>
        <v>17.555986011412628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71.188000000000088</v>
      </c>
      <c r="D151" s="11">
        <f t="shared" si="140"/>
        <v>19.968190261357677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703.66181956135824</v>
      </c>
      <c r="H151" s="66">
        <f t="shared" si="110"/>
        <v>452.09703137186477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636.99999999999977</v>
      </c>
      <c r="O151" s="13">
        <f>N151*VLOOKUP('Données projet'!$B$9,Paramètres!$A$1:$I$89,3,0)*VLOOKUP('Données projet'!$B$9,Paramètres!$A$1:$I$89,5,0)</f>
        <v>356.08299999999991</v>
      </c>
      <c r="P151" s="13">
        <f t="shared" si="141"/>
        <v>82.813805255716545</v>
      </c>
      <c r="Q151" s="20">
        <f t="shared" si="108"/>
        <v>764.41193582037283</v>
      </c>
      <c r="R151" s="59">
        <f t="shared" si="109"/>
        <v>1057.7452691537062</v>
      </c>
      <c r="S151" s="59">
        <f ca="1">AVERAGE(OFFSET($R$3,0,0,'Données projet'!$E$9+1,1))-AVERAGE(OFFSET($H$3,0,0,'Données projet'!$E$9+1,1))</f>
        <v>382.55387448074327</v>
      </c>
      <c r="T151" s="59">
        <f t="shared" si="142"/>
        <v>476.29465646955543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17.106266720224461</v>
      </c>
      <c r="AA151" s="21">
        <f>EXP(-LN(2)/25)*AA150+(1-EXP(-LN(2)/25))/(LN(2)/25)*Calculateur!V151*Calculateur!X151*VLOOKUP('Données projet'!$B$9,Paramètres!$A$1:$I$89,3,0)*0.475*44/12</f>
        <v>1.5570090187856487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18.66327573901011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425.99999999999983</v>
      </c>
      <c r="AJ151" s="13">
        <f>AI151*VLOOKUP('Données projet'!$B$10,Paramètres!$A$1:$I$89,3,0)*VLOOKUP('Données projet'!$B$10,Paramètres!$A$1:$I$89,5,0)</f>
        <v>232.59599999999992</v>
      </c>
      <c r="AK151" s="13">
        <f t="shared" si="143"/>
        <v>56.843630236302218</v>
      </c>
      <c r="AL151" s="20">
        <f t="shared" si="112"/>
        <v>504.10735599489294</v>
      </c>
      <c r="AM151" s="59">
        <f t="shared" si="113"/>
        <v>797.4406893282262</v>
      </c>
      <c r="AN151" s="59">
        <f ca="1">AVERAGE(OFFSET($AM$3,0,0,'Données projet'!$E$10+1,1))-AVERAGE(OFFSET($H$3,0,0,'Données projet'!$E$10+1,1))</f>
        <v>417.99456559608217</v>
      </c>
      <c r="AO151" s="59">
        <f t="shared" si="144"/>
        <v>651.41353014863932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55.087567025578444</v>
      </c>
      <c r="AV151" s="21">
        <f>EXP(-LN(2)/25)*AV150+(1-EXP(-LN(2)/25))/(LN(2)/25)*Calculateur!AQ151*Calculateur!AS151*VLOOKUP('Données projet'!$B$10,Paramètres!$A$1:$I$89,3,0)*0.475*44/12</f>
        <v>1.7574423577799259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56.845009383358374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236.00000000000003</v>
      </c>
      <c r="BE151" s="13">
        <f>BD151*VLOOKUP('Données projet'!$B$11,Paramètres!$A$1:$I$89,3,0)*VLOOKUP('Données projet'!$B$11,Paramètres!$A$1:$I$89,5,0)</f>
        <v>206.16960000000006</v>
      </c>
      <c r="BF151" s="13">
        <f t="shared" si="145"/>
        <v>51.097652263007333</v>
      </c>
      <c r="BG151" s="20">
        <f t="shared" si="115"/>
        <v>448.07379769140448</v>
      </c>
      <c r="BH151" s="59">
        <f t="shared" si="116"/>
        <v>741.40713102473774</v>
      </c>
      <c r="BI151" s="59">
        <f ca="1">AVERAGE(OFFSET($BH$3,0,0,'Données projet'!$E$11+1,1))-AVERAGE(OFFSET($H$3,0,0,'Données projet'!$E$11+1,1))</f>
        <v>247.61330734992077</v>
      </c>
      <c r="BJ151" s="59">
        <f t="shared" si="146"/>
        <v>278.55937893537259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17.211723833822958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0</v>
      </c>
      <c r="BS151" s="22">
        <f t="shared" si="117"/>
        <v>17.211723833822958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71.669000000000082</v>
      </c>
      <c r="D152" s="11">
        <f t="shared" si="140"/>
        <v>20.087358990796993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708.29470098159163</v>
      </c>
      <c r="H152" s="66">
        <f t="shared" si="110"/>
        <v>453.14232524230488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636.99999999999977</v>
      </c>
      <c r="O152" s="13">
        <f>N152*VLOOKUP('Données projet'!$B$9,Paramètres!$A$1:$I$89,3,0)*VLOOKUP('Données projet'!$B$9,Paramètres!$A$1:$I$89,5,0)</f>
        <v>356.08299999999991</v>
      </c>
      <c r="P152" s="13">
        <f t="shared" si="141"/>
        <v>82.813805255716545</v>
      </c>
      <c r="Q152" s="20">
        <f t="shared" si="108"/>
        <v>764.41193582037283</v>
      </c>
      <c r="R152" s="59">
        <f t="shared" si="109"/>
        <v>1057.7452691537062</v>
      </c>
      <c r="S152" s="59">
        <f ca="1">AVERAGE(OFFSET($R$3,0,0,'Données projet'!$E$9+1,1))-AVERAGE(OFFSET($H$3,0,0,'Données projet'!$E$9+1,1))</f>
        <v>382.55387448074327</v>
      </c>
      <c r="T152" s="59">
        <f t="shared" si="142"/>
        <v>476.29465646955543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16.770823263633307</v>
      </c>
      <c r="AA152" s="21">
        <f>EXP(-LN(2)/25)*AA151+(1-EXP(-LN(2)/25))/(LN(2)/25)*Calculateur!V152*Calculateur!X152*VLOOKUP('Données projet'!$B$9,Paramètres!$A$1:$I$89,3,0)*0.475*44/12</f>
        <v>1.5144325252874093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18.285255788920715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425.99999999999983</v>
      </c>
      <c r="AJ152" s="13">
        <f>AI152*VLOOKUP('Données projet'!$B$10,Paramètres!$A$1:$I$89,3,0)*VLOOKUP('Données projet'!$B$10,Paramètres!$A$1:$I$89,5,0)</f>
        <v>232.59599999999992</v>
      </c>
      <c r="AK152" s="13">
        <f t="shared" si="143"/>
        <v>56.843630236302218</v>
      </c>
      <c r="AL152" s="20">
        <f t="shared" si="112"/>
        <v>504.10735599489294</v>
      </c>
      <c r="AM152" s="59">
        <f t="shared" si="113"/>
        <v>797.4406893282262</v>
      </c>
      <c r="AN152" s="59">
        <f ca="1">AVERAGE(OFFSET($AM$3,0,0,'Données projet'!$E$10+1,1))-AVERAGE(OFFSET($H$3,0,0,'Données projet'!$E$10+1,1))</f>
        <v>417.99456559608217</v>
      </c>
      <c r="AO152" s="59">
        <f t="shared" si="144"/>
        <v>651.41353014863932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54.007333436305004</v>
      </c>
      <c r="AV152" s="21">
        <f>EXP(-LN(2)/25)*AV151+(1-EXP(-LN(2)/25))/(LN(2)/25)*Calculateur!AQ152*Calculateur!AS152*VLOOKUP('Données projet'!$B$10,Paramètres!$A$1:$I$89,3,0)*0.475*44/12</f>
        <v>1.7093850040865568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55.71671844039156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236.00000000000003</v>
      </c>
      <c r="BE152" s="13">
        <f>BD152*VLOOKUP('Données projet'!$B$11,Paramètres!$A$1:$I$89,3,0)*VLOOKUP('Données projet'!$B$11,Paramètres!$A$1:$I$89,5,0)</f>
        <v>206.16960000000006</v>
      </c>
      <c r="BF152" s="13">
        <f t="shared" si="145"/>
        <v>51.097652263007333</v>
      </c>
      <c r="BG152" s="20">
        <f t="shared" si="115"/>
        <v>448.07379769140448</v>
      </c>
      <c r="BH152" s="59">
        <f t="shared" si="116"/>
        <v>741.40713102473774</v>
      </c>
      <c r="BI152" s="59">
        <f ca="1">AVERAGE(OFFSET($BH$3,0,0,'Données projet'!$E$11+1,1))-AVERAGE(OFFSET($H$3,0,0,'Données projet'!$E$11+1,1))</f>
        <v>247.61330734992077</v>
      </c>
      <c r="BJ152" s="59">
        <f t="shared" si="146"/>
        <v>278.55937893537259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16.874212427556625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0</v>
      </c>
      <c r="BS152" s="22">
        <f t="shared" si="117"/>
        <v>16.874212427556625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72.150000000000077</v>
      </c>
      <c r="D153" s="11">
        <f t="shared" si="140"/>
        <v>20.206434660280181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712.92686404426877</v>
      </c>
      <c r="H153" s="66">
        <f t="shared" si="110"/>
        <v>454.18745703332144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636.99999999999977</v>
      </c>
      <c r="O153" s="13">
        <f>N153*VLOOKUP('Données projet'!$B$9,Paramètres!$A$1:$I$89,3,0)*VLOOKUP('Données projet'!$B$9,Paramètres!$A$1:$I$89,5,0)</f>
        <v>356.08299999999991</v>
      </c>
      <c r="P153" s="13">
        <f t="shared" si="141"/>
        <v>82.813805255716545</v>
      </c>
      <c r="Q153" s="20">
        <f t="shared" si="108"/>
        <v>764.41193582037283</v>
      </c>
      <c r="R153" s="59">
        <f t="shared" si="109"/>
        <v>1057.7452691537062</v>
      </c>
      <c r="S153" s="59">
        <f ca="1">AVERAGE(OFFSET($R$3,0,0,'Données projet'!$E$9+1,1))-AVERAGE(OFFSET($H$3,0,0,'Données projet'!$E$9+1,1))</f>
        <v>382.55387448074327</v>
      </c>
      <c r="T153" s="59">
        <f t="shared" si="142"/>
        <v>476.29465646955543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16.4419576486256</v>
      </c>
      <c r="AA153" s="21">
        <f>EXP(-LN(2)/25)*AA152+(1-EXP(-LN(2)/25))/(LN(2)/25)*Calculateur!V153*Calculateur!X153*VLOOKUP('Données projet'!$B$9,Paramètres!$A$1:$I$89,3,0)*0.475*44/12</f>
        <v>1.47302028824288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17.914977936868478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425.99999999999983</v>
      </c>
      <c r="AJ153" s="13">
        <f>AI153*VLOOKUP('Données projet'!$B$10,Paramètres!$A$1:$I$89,3,0)*VLOOKUP('Données projet'!$B$10,Paramètres!$A$1:$I$89,5,0)</f>
        <v>232.59599999999992</v>
      </c>
      <c r="AK153" s="13">
        <f t="shared" si="143"/>
        <v>56.843630236302218</v>
      </c>
      <c r="AL153" s="20">
        <f t="shared" si="112"/>
        <v>504.10735599489294</v>
      </c>
      <c r="AM153" s="59">
        <f t="shared" si="113"/>
        <v>797.4406893282262</v>
      </c>
      <c r="AN153" s="59">
        <f ca="1">AVERAGE(OFFSET($AM$3,0,0,'Données projet'!$E$10+1,1))-AVERAGE(OFFSET($H$3,0,0,'Données projet'!$E$10+1,1))</f>
        <v>417.99456559608217</v>
      </c>
      <c r="AO153" s="59">
        <f t="shared" si="144"/>
        <v>651.41353014863932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52.948282568839787</v>
      </c>
      <c r="AV153" s="21">
        <f>EXP(-LN(2)/25)*AV152+(1-EXP(-LN(2)/25))/(LN(2)/25)*Calculateur!AQ153*Calculateur!AS153*VLOOKUP('Données projet'!$B$10,Paramètres!$A$1:$I$89,3,0)*0.475*44/12</f>
        <v>1.6626417812571594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54.610924350096944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236.00000000000003</v>
      </c>
      <c r="BE153" s="13">
        <f>BD153*VLOOKUP('Données projet'!$B$11,Paramètres!$A$1:$I$89,3,0)*VLOOKUP('Données projet'!$B$11,Paramètres!$A$1:$I$89,5,0)</f>
        <v>206.16960000000006</v>
      </c>
      <c r="BF153" s="13">
        <f t="shared" si="145"/>
        <v>51.097652263007333</v>
      </c>
      <c r="BG153" s="20">
        <f t="shared" si="115"/>
        <v>448.07379769140448</v>
      </c>
      <c r="BH153" s="59">
        <f t="shared" si="116"/>
        <v>741.40713102473774</v>
      </c>
      <c r="BI153" s="59">
        <f ca="1">AVERAGE(OFFSET($BH$3,0,0,'Données projet'!$E$11+1,1))-AVERAGE(OFFSET($H$3,0,0,'Données projet'!$E$11+1,1))</f>
        <v>247.61330734992077</v>
      </c>
      <c r="BJ153" s="59">
        <f t="shared" si="146"/>
        <v>278.55937893537259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16.543319414105543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0</v>
      </c>
      <c r="BS153" s="22">
        <f t="shared" si="117"/>
        <v>16.543319414105543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72.631000000000071</v>
      </c>
      <c r="D154" s="11">
        <f t="shared" si="140"/>
        <v>20.325417962163076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717.558314093891</v>
      </c>
      <c r="H154" s="66">
        <f t="shared" si="110"/>
        <v>455.23242795076749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636.99999999999977</v>
      </c>
      <c r="O154" s="13">
        <f>N154*VLOOKUP('Données projet'!$B$9,Paramètres!$A$1:$I$89,3,0)*VLOOKUP('Données projet'!$B$9,Paramètres!$A$1:$I$89,5,0)</f>
        <v>356.08299999999991</v>
      </c>
      <c r="P154" s="13">
        <f t="shared" si="141"/>
        <v>82.813805255716545</v>
      </c>
      <c r="Q154" s="20">
        <f t="shared" ref="Q154:Q203" si="162">(O154+P154)*0.475*44/12</f>
        <v>764.41193582037283</v>
      </c>
      <c r="R154" s="59">
        <f t="shared" si="109"/>
        <v>1057.7452691537062</v>
      </c>
      <c r="S154" s="59">
        <f ca="1">AVERAGE(OFFSET($R$3,0,0,'Données projet'!$E$9+1,1))-AVERAGE(OFFSET($H$3,0,0,'Données projet'!$E$9+1,1))</f>
        <v>382.55387448074327</v>
      </c>
      <c r="T154" s="59">
        <f t="shared" si="142"/>
        <v>476.29465646955543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16.119540887739976</v>
      </c>
      <c r="AA154" s="21">
        <f>EXP(-LN(2)/25)*AA153+(1-EXP(-LN(2)/25))/(LN(2)/25)*Calculateur!V154*Calculateur!X154*VLOOKUP('Données projet'!$B$9,Paramètres!$A$1:$I$89,3,0)*0.475*44/12</f>
        <v>1.4327404709981082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17.552281358738085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425.99999999999983</v>
      </c>
      <c r="AJ154" s="13">
        <f>AI154*VLOOKUP('Données projet'!$B$10,Paramètres!$A$1:$I$89,3,0)*VLOOKUP('Données projet'!$B$10,Paramètres!$A$1:$I$89,5,0)</f>
        <v>232.59599999999992</v>
      </c>
      <c r="AK154" s="13">
        <f t="shared" ref="AK154:AK203" si="164">EXP(-1.0587+0.8836*LN(AJ154)+0.284)</f>
        <v>56.843630236302218</v>
      </c>
      <c r="AL154" s="20">
        <f t="shared" ref="AL154:AL203" si="165">(AJ154+AK154)*0.475*44/12</f>
        <v>504.10735599489294</v>
      </c>
      <c r="AM154" s="59">
        <f t="shared" si="113"/>
        <v>797.4406893282262</v>
      </c>
      <c r="AN154" s="59">
        <f ca="1">AVERAGE(OFFSET($AM$3,0,0,'Données projet'!$E$10+1,1))-AVERAGE(OFFSET($H$3,0,0,'Données projet'!$E$10+1,1))</f>
        <v>417.99456559608217</v>
      </c>
      <c r="AO154" s="59">
        <f t="shared" si="144"/>
        <v>651.41353014863932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51.909999042928312</v>
      </c>
      <c r="AV154" s="21">
        <f>EXP(-LN(2)/25)*AV153+(1-EXP(-LN(2)/25))/(LN(2)/25)*Calculateur!AQ154*Calculateur!AS154*VLOOKUP('Données projet'!$B$10,Paramètres!$A$1:$I$89,3,0)*0.475*44/12</f>
        <v>1.6171767543141511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53.527175797242464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236.00000000000003</v>
      </c>
      <c r="BE154" s="13">
        <f>BD154*VLOOKUP('Données projet'!$B$11,Paramètres!$A$1:$I$89,3,0)*VLOOKUP('Données projet'!$B$11,Paramètres!$A$1:$I$89,5,0)</f>
        <v>206.16960000000006</v>
      </c>
      <c r="BF154" s="13">
        <f t="shared" ref="BF154:BF203" si="167">EXP(-1.0587+0.8836*LN(BE154)+0.284)</f>
        <v>51.097652263007333</v>
      </c>
      <c r="BG154" s="20">
        <f t="shared" ref="BG154:BG203" si="168">(BE154+BF154)*0.475*44/12</f>
        <v>448.07379769140448</v>
      </c>
      <c r="BH154" s="59">
        <f t="shared" si="116"/>
        <v>741.40713102473774</v>
      </c>
      <c r="BI154" s="59">
        <f ca="1">AVERAGE(OFFSET($BH$3,0,0,'Données projet'!$E$11+1,1))-AVERAGE(OFFSET($H$3,0,0,'Données projet'!$E$11+1,1))</f>
        <v>247.61330734992077</v>
      </c>
      <c r="BJ154" s="59">
        <f t="shared" si="146"/>
        <v>278.55937893537259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16.21891501082343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0</v>
      </c>
      <c r="BS154" s="22">
        <f t="shared" ref="BS154:BS203" si="169">SUM(BP154:BR154)</f>
        <v>16.21891501082343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73.112000000000066</v>
      </c>
      <c r="D155" s="11">
        <f t="shared" si="140"/>
        <v>20.444309579101091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722.18905640007915</v>
      </c>
      <c r="H155" s="66">
        <f t="shared" si="110"/>
        <v>456.27723918360118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636.99999999999977</v>
      </c>
      <c r="O155" s="13">
        <f>N155*VLOOKUP('Données projet'!$B$9,Paramètres!$A$1:$I$89,3,0)*VLOOKUP('Données projet'!$B$9,Paramètres!$A$1:$I$89,5,0)</f>
        <v>356.08299999999991</v>
      </c>
      <c r="P155" s="13">
        <f t="shared" si="141"/>
        <v>82.813805255716545</v>
      </c>
      <c r="Q155" s="20">
        <f t="shared" si="162"/>
        <v>764.41193582037283</v>
      </c>
      <c r="R155" s="59">
        <f t="shared" si="109"/>
        <v>1057.7452691537062</v>
      </c>
      <c r="S155" s="59">
        <f ca="1">AVERAGE(OFFSET($R$3,0,0,'Données projet'!$E$9+1,1))-AVERAGE(OFFSET($H$3,0,0,'Données projet'!$E$9+1,1))</f>
        <v>382.55387448074327</v>
      </c>
      <c r="T155" s="59">
        <f t="shared" si="142"/>
        <v>476.29465646955543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15.803446522880513</v>
      </c>
      <c r="AA155" s="21">
        <f>EXP(-LN(2)/25)*AA154+(1-EXP(-LN(2)/25))/(LN(2)/25)*Calculateur!V155*Calculateur!X155*VLOOKUP('Données projet'!$B$9,Paramètres!$A$1:$I$89,3,0)*0.475*44/12</f>
        <v>1.3935621074741182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17.197008630354631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425.99999999999983</v>
      </c>
      <c r="AJ155" s="13">
        <f>AI155*VLOOKUP('Données projet'!$B$10,Paramètres!$A$1:$I$89,3,0)*VLOOKUP('Données projet'!$B$10,Paramètres!$A$1:$I$89,5,0)</f>
        <v>232.59599999999992</v>
      </c>
      <c r="AK155" s="13">
        <f t="shared" si="164"/>
        <v>56.843630236302218</v>
      </c>
      <c r="AL155" s="20">
        <f t="shared" si="165"/>
        <v>504.10735599489294</v>
      </c>
      <c r="AM155" s="59">
        <f t="shared" si="113"/>
        <v>797.4406893282262</v>
      </c>
      <c r="AN155" s="59">
        <f ca="1">AVERAGE(OFFSET($AM$3,0,0,'Données projet'!$E$10+1,1))-AVERAGE(OFFSET($H$3,0,0,'Données projet'!$E$10+1,1))</f>
        <v>417.99456559608217</v>
      </c>
      <c r="AO155" s="59">
        <f t="shared" si="144"/>
        <v>651.41353014863932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50.892075623669541</v>
      </c>
      <c r="AV155" s="21">
        <f>EXP(-LN(2)/25)*AV154+(1-EXP(-LN(2)/25))/(LN(2)/25)*Calculateur!AQ155*Calculateur!AS155*VLOOKUP('Données projet'!$B$10,Paramètres!$A$1:$I$89,3,0)*0.475*44/12</f>
        <v>1.5729549709238013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52.465030594593344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236.00000000000003</v>
      </c>
      <c r="BE155" s="13">
        <f>BD155*VLOOKUP('Données projet'!$B$11,Paramètres!$A$1:$I$89,3,0)*VLOOKUP('Données projet'!$B$11,Paramètres!$A$1:$I$89,5,0)</f>
        <v>206.16960000000006</v>
      </c>
      <c r="BF155" s="13">
        <f t="shared" si="167"/>
        <v>51.097652263007333</v>
      </c>
      <c r="BG155" s="20">
        <f t="shared" si="168"/>
        <v>448.07379769140448</v>
      </c>
      <c r="BH155" s="59">
        <f t="shared" si="116"/>
        <v>741.40713102473774</v>
      </c>
      <c r="BI155" s="59">
        <f ca="1">AVERAGE(OFFSET($BH$3,0,0,'Données projet'!$E$11+1,1))-AVERAGE(OFFSET($H$3,0,0,'Données projet'!$E$11+1,1))</f>
        <v>247.61330734992077</v>
      </c>
      <c r="BJ155" s="59">
        <f t="shared" si="146"/>
        <v>278.55937893537259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15.900871980022529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0</v>
      </c>
      <c r="BS155" s="22">
        <f t="shared" si="169"/>
        <v>15.900871980022529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73.59300000000006</v>
      </c>
      <c r="D156" s="11">
        <f t="shared" si="140"/>
        <v>20.563110184247964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726.81909615910752</v>
      </c>
      <c r="H156" s="66">
        <f t="shared" si="110"/>
        <v>457.32189190423196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636.99999999999977</v>
      </c>
      <c r="O156" s="13">
        <f>N156*VLOOKUP('Données projet'!$B$9,Paramètres!$A$1:$I$89,3,0)*VLOOKUP('Données projet'!$B$9,Paramètres!$A$1:$I$89,5,0)</f>
        <v>356.08299999999991</v>
      </c>
      <c r="P156" s="13">
        <f t="shared" si="141"/>
        <v>82.813805255716545</v>
      </c>
      <c r="Q156" s="20">
        <f t="shared" si="162"/>
        <v>764.41193582037283</v>
      </c>
      <c r="R156" s="59">
        <f t="shared" si="109"/>
        <v>1057.7452691537062</v>
      </c>
      <c r="S156" s="59">
        <f ca="1">AVERAGE(OFFSET($R$3,0,0,'Données projet'!$E$9+1,1))-AVERAGE(OFFSET($H$3,0,0,'Données projet'!$E$9+1,1))</f>
        <v>382.55387448074327</v>
      </c>
      <c r="T156" s="59">
        <f t="shared" si="142"/>
        <v>476.29465646955543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15.493550575717418</v>
      </c>
      <c r="AA156" s="21">
        <f>EXP(-LN(2)/25)*AA155+(1-EXP(-LN(2)/25))/(LN(2)/25)*Calculateur!V156*Calculateur!X156*VLOOKUP('Données projet'!$B$9,Paramètres!$A$1:$I$89,3,0)*0.475*44/12</f>
        <v>1.3554550783609922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16.849005654078411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425.99999999999983</v>
      </c>
      <c r="AJ156" s="13">
        <f>AI156*VLOOKUP('Données projet'!$B$10,Paramètres!$A$1:$I$89,3,0)*VLOOKUP('Données projet'!$B$10,Paramètres!$A$1:$I$89,5,0)</f>
        <v>232.59599999999992</v>
      </c>
      <c r="AK156" s="13">
        <f t="shared" si="164"/>
        <v>56.843630236302218</v>
      </c>
      <c r="AL156" s="20">
        <f t="shared" si="165"/>
        <v>504.10735599489294</v>
      </c>
      <c r="AM156" s="59">
        <f t="shared" si="113"/>
        <v>797.4406893282262</v>
      </c>
      <c r="AN156" s="59">
        <f ca="1">AVERAGE(OFFSET($AM$3,0,0,'Données projet'!$E$10+1,1))-AVERAGE(OFFSET($H$3,0,0,'Données projet'!$E$10+1,1))</f>
        <v>417.99456559608217</v>
      </c>
      <c r="AO156" s="59">
        <f t="shared" si="144"/>
        <v>651.41353014863932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49.894113061790456</v>
      </c>
      <c r="AV156" s="21">
        <f>EXP(-LN(2)/25)*AV155+(1-EXP(-LN(2)/25))/(LN(2)/25)*Calculateur!AQ156*Calculateur!AS156*VLOOKUP('Données projet'!$B$10,Paramètres!$A$1:$I$89,3,0)*0.475*44/12</f>
        <v>1.529942434525783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51.424055496316242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236.00000000000003</v>
      </c>
      <c r="BE156" s="13">
        <f>BD156*VLOOKUP('Données projet'!$B$11,Paramètres!$A$1:$I$89,3,0)*VLOOKUP('Données projet'!$B$11,Paramètres!$A$1:$I$89,5,0)</f>
        <v>206.16960000000006</v>
      </c>
      <c r="BF156" s="13">
        <f t="shared" si="167"/>
        <v>51.097652263007333</v>
      </c>
      <c r="BG156" s="20">
        <f t="shared" si="168"/>
        <v>448.07379769140448</v>
      </c>
      <c r="BH156" s="59">
        <f t="shared" si="116"/>
        <v>741.40713102473774</v>
      </c>
      <c r="BI156" s="59">
        <f ca="1">AVERAGE(OFFSET($BH$3,0,0,'Données projet'!$E$11+1,1))-AVERAGE(OFFSET($H$3,0,0,'Données projet'!$E$11+1,1))</f>
        <v>247.61330734992077</v>
      </c>
      <c r="BJ156" s="59">
        <f t="shared" si="146"/>
        <v>278.55937893537259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15.58906557906854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0</v>
      </c>
      <c r="BS156" s="22">
        <f t="shared" si="169"/>
        <v>15.58906557906854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74.074000000000055</v>
      </c>
      <c r="D157" s="11">
        <f t="shared" si="140"/>
        <v>20.681820441449297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731.44843849539848</v>
      </c>
      <c r="H157" s="66">
        <f t="shared" si="110"/>
        <v>458.36638726885758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636.99999999999977</v>
      </c>
      <c r="O157" s="13">
        <f>N157*VLOOKUP('Données projet'!$B$9,Paramètres!$A$1:$I$89,3,0)*VLOOKUP('Données projet'!$B$9,Paramètres!$A$1:$I$89,5,0)</f>
        <v>356.08299999999991</v>
      </c>
      <c r="P157" s="13">
        <f t="shared" si="141"/>
        <v>82.813805255716545</v>
      </c>
      <c r="Q157" s="20">
        <f t="shared" si="162"/>
        <v>764.41193582037283</v>
      </c>
      <c r="R157" s="59">
        <f t="shared" si="109"/>
        <v>1057.7452691537062</v>
      </c>
      <c r="S157" s="59">
        <f ca="1">AVERAGE(OFFSET($R$3,0,0,'Données projet'!$E$9+1,1))-AVERAGE(OFFSET($H$3,0,0,'Données projet'!$E$9+1,1))</f>
        <v>382.55387448074327</v>
      </c>
      <c r="T157" s="59">
        <f t="shared" si="142"/>
        <v>476.29465646955543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15.189731499060327</v>
      </c>
      <c r="AA157" s="21">
        <f>EXP(-LN(2)/25)*AA156+(1-EXP(-LN(2)/25))/(LN(2)/25)*Calculateur!V157*Calculateur!X157*VLOOKUP('Données projet'!$B$9,Paramètres!$A$1:$I$89,3,0)*0.475*44/12</f>
        <v>1.3183900879629262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16.508121587023254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425.99999999999983</v>
      </c>
      <c r="AJ157" s="13">
        <f>AI157*VLOOKUP('Données projet'!$B$10,Paramètres!$A$1:$I$89,3,0)*VLOOKUP('Données projet'!$B$10,Paramètres!$A$1:$I$89,5,0)</f>
        <v>232.59599999999992</v>
      </c>
      <c r="AK157" s="13">
        <f t="shared" si="164"/>
        <v>56.843630236302218</v>
      </c>
      <c r="AL157" s="20">
        <f t="shared" si="165"/>
        <v>504.10735599489294</v>
      </c>
      <c r="AM157" s="59">
        <f t="shared" si="113"/>
        <v>797.4406893282262</v>
      </c>
      <c r="AN157" s="59">
        <f ca="1">AVERAGE(OFFSET($AM$3,0,0,'Données projet'!$E$10+1,1))-AVERAGE(OFFSET($H$3,0,0,'Données projet'!$E$10+1,1))</f>
        <v>417.99456559608217</v>
      </c>
      <c r="AO157" s="59">
        <f t="shared" si="144"/>
        <v>651.41353014863932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48.915719937052764</v>
      </c>
      <c r="AV157" s="21">
        <f>EXP(-LN(2)/25)*AV156+(1-EXP(-LN(2)/25))/(LN(2)/25)*Calculateur!AQ157*Calculateur!AS157*VLOOKUP('Données projet'!$B$10,Paramètres!$A$1:$I$89,3,0)*0.475*44/12</f>
        <v>1.4881060781974995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50.40382601525026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236.00000000000003</v>
      </c>
      <c r="BE157" s="13">
        <f>BD157*VLOOKUP('Données projet'!$B$11,Paramètres!$A$1:$I$89,3,0)*VLOOKUP('Données projet'!$B$11,Paramètres!$A$1:$I$89,5,0)</f>
        <v>206.16960000000006</v>
      </c>
      <c r="BF157" s="13">
        <f t="shared" si="167"/>
        <v>51.097652263007333</v>
      </c>
      <c r="BG157" s="20">
        <f t="shared" si="168"/>
        <v>448.07379769140448</v>
      </c>
      <c r="BH157" s="59">
        <f t="shared" si="116"/>
        <v>741.40713102473774</v>
      </c>
      <c r="BI157" s="59">
        <f ca="1">AVERAGE(OFFSET($BH$3,0,0,'Données projet'!$E$11+1,1))-AVERAGE(OFFSET($H$3,0,0,'Données projet'!$E$11+1,1))</f>
        <v>247.61330734992077</v>
      </c>
      <c r="BJ157" s="59">
        <f t="shared" si="146"/>
        <v>278.55937893537259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15.283373511454133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0</v>
      </c>
      <c r="BS157" s="22">
        <f t="shared" si="169"/>
        <v>15.283373511454133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74.555000000000049</v>
      </c>
      <c r="D158" s="11">
        <f t="shared" si="140"/>
        <v>20.800441005430773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736.07708846297476</v>
      </c>
      <c r="H158" s="66">
        <f t="shared" si="110"/>
        <v>459.41072641779198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636.99999999999977</v>
      </c>
      <c r="O158" s="13">
        <f>N158*VLOOKUP('Données projet'!$B$9,Paramètres!$A$1:$I$89,3,0)*VLOOKUP('Données projet'!$B$9,Paramètres!$A$1:$I$89,5,0)</f>
        <v>356.08299999999991</v>
      </c>
      <c r="P158" s="13">
        <f t="shared" si="141"/>
        <v>82.813805255716545</v>
      </c>
      <c r="Q158" s="20">
        <f t="shared" si="162"/>
        <v>764.41193582037283</v>
      </c>
      <c r="R158" s="59">
        <f t="shared" si="109"/>
        <v>1057.7452691537062</v>
      </c>
      <c r="S158" s="59">
        <f ca="1">AVERAGE(OFFSET($R$3,0,0,'Données projet'!$E$9+1,1))-AVERAGE(OFFSET($H$3,0,0,'Données projet'!$E$9+1,1))</f>
        <v>382.55387448074327</v>
      </c>
      <c r="T158" s="59">
        <f t="shared" si="142"/>
        <v>476.29465646955543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14.891870129185143</v>
      </c>
      <c r="AA158" s="21">
        <f>EXP(-LN(2)/25)*AA157+(1-EXP(-LN(2)/25))/(LN(2)/25)*Calculateur!V158*Calculateur!X158*VLOOKUP('Données projet'!$B$9,Paramètres!$A$1:$I$89,3,0)*0.475*44/12</f>
        <v>1.2823386416764586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16.1742087708616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425.99999999999983</v>
      </c>
      <c r="AJ158" s="13">
        <f>AI158*VLOOKUP('Données projet'!$B$10,Paramètres!$A$1:$I$89,3,0)*VLOOKUP('Données projet'!$B$10,Paramètres!$A$1:$I$89,5,0)</f>
        <v>232.59599999999992</v>
      </c>
      <c r="AK158" s="13">
        <f t="shared" si="164"/>
        <v>56.843630236302218</v>
      </c>
      <c r="AL158" s="20">
        <f t="shared" si="165"/>
        <v>504.10735599489294</v>
      </c>
      <c r="AM158" s="59">
        <f t="shared" si="113"/>
        <v>797.4406893282262</v>
      </c>
      <c r="AN158" s="59">
        <f ca="1">AVERAGE(OFFSET($AM$3,0,0,'Données projet'!$E$10+1,1))-AVERAGE(OFFSET($H$3,0,0,'Données projet'!$E$10+1,1))</f>
        <v>417.99456559608217</v>
      </c>
      <c r="AO158" s="59">
        <f t="shared" si="144"/>
        <v>651.41353014863932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47.956512504730298</v>
      </c>
      <c r="AV158" s="21">
        <f>EXP(-LN(2)/25)*AV157+(1-EXP(-LN(2)/25))/(LN(2)/25)*Calculateur!AQ158*Calculateur!AS158*VLOOKUP('Données projet'!$B$10,Paramètres!$A$1:$I$89,3,0)*0.475*44/12</f>
        <v>1.4474137392330912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49.40392624396339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236.00000000000003</v>
      </c>
      <c r="BE158" s="13">
        <f>BD158*VLOOKUP('Données projet'!$B$11,Paramètres!$A$1:$I$89,3,0)*VLOOKUP('Données projet'!$B$11,Paramètres!$A$1:$I$89,5,0)</f>
        <v>206.16960000000006</v>
      </c>
      <c r="BF158" s="13">
        <f t="shared" si="167"/>
        <v>51.097652263007333</v>
      </c>
      <c r="BG158" s="20">
        <f t="shared" si="168"/>
        <v>448.07379769140448</v>
      </c>
      <c r="BH158" s="59">
        <f t="shared" si="116"/>
        <v>741.40713102473774</v>
      </c>
      <c r="BI158" s="59">
        <f ca="1">AVERAGE(OFFSET($BH$3,0,0,'Données projet'!$E$11+1,1))-AVERAGE(OFFSET($H$3,0,0,'Données projet'!$E$11+1,1))</f>
        <v>247.61330734992077</v>
      </c>
      <c r="BJ158" s="59">
        <f t="shared" si="146"/>
        <v>278.55937893537259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14.983675878831894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0</v>
      </c>
      <c r="BS158" s="22">
        <f t="shared" si="169"/>
        <v>14.983675878831894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75.036000000000044</v>
      </c>
      <c r="D159" s="11">
        <f t="shared" si="140"/>
        <v>20.918972521981534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740.70505104687538</v>
      </c>
      <c r="H159" s="66">
        <f t="shared" si="110"/>
        <v>460.45491047578457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636.99999999999977</v>
      </c>
      <c r="O159" s="13">
        <f>N159*VLOOKUP('Données projet'!$B$9,Paramètres!$A$1:$I$89,3,0)*VLOOKUP('Données projet'!$B$9,Paramètres!$A$1:$I$89,5,0)</f>
        <v>356.08299999999991</v>
      </c>
      <c r="P159" s="13">
        <f t="shared" si="141"/>
        <v>82.813805255716545</v>
      </c>
      <c r="Q159" s="20">
        <f t="shared" si="162"/>
        <v>764.41193582037283</v>
      </c>
      <c r="R159" s="59">
        <f t="shared" si="109"/>
        <v>1057.7452691537062</v>
      </c>
      <c r="S159" s="59">
        <f ca="1">AVERAGE(OFFSET($R$3,0,0,'Données projet'!$E$9+1,1))-AVERAGE(OFFSET($H$3,0,0,'Données projet'!$E$9+1,1))</f>
        <v>382.55387448074327</v>
      </c>
      <c r="T159" s="59">
        <f t="shared" si="142"/>
        <v>476.29465646955543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14.599849639095716</v>
      </c>
      <c r="AA159" s="21">
        <f>EXP(-LN(2)/25)*AA158+(1-EXP(-LN(2)/25))/(LN(2)/25)*Calculateur!V159*Calculateur!X159*VLOOKUP('Données projet'!$B$9,Paramètres!$A$1:$I$89,3,0)*0.475*44/12</f>
        <v>1.2472730240845575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15.847122663180274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425.99999999999983</v>
      </c>
      <c r="AJ159" s="13">
        <f>AI159*VLOOKUP('Données projet'!$B$10,Paramètres!$A$1:$I$89,3,0)*VLOOKUP('Données projet'!$B$10,Paramètres!$A$1:$I$89,5,0)</f>
        <v>232.59599999999992</v>
      </c>
      <c r="AK159" s="13">
        <f t="shared" si="164"/>
        <v>56.843630236302218</v>
      </c>
      <c r="AL159" s="20">
        <f t="shared" si="165"/>
        <v>504.10735599489294</v>
      </c>
      <c r="AM159" s="59">
        <f t="shared" si="113"/>
        <v>797.4406893282262</v>
      </c>
      <c r="AN159" s="59">
        <f ca="1">AVERAGE(OFFSET($AM$3,0,0,'Données projet'!$E$10+1,1))-AVERAGE(OFFSET($H$3,0,0,'Données projet'!$E$10+1,1))</f>
        <v>417.99456559608217</v>
      </c>
      <c r="AO159" s="59">
        <f t="shared" si="144"/>
        <v>651.41353014863932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47.016114545096912</v>
      </c>
      <c r="AV159" s="21">
        <f>EXP(-LN(2)/25)*AV158+(1-EXP(-LN(2)/25))/(LN(2)/25)*Calculateur!AQ159*Calculateur!AS159*VLOOKUP('Données projet'!$B$10,Paramètres!$A$1:$I$89,3,0)*0.475*44/12</f>
        <v>1.407834134417582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48.423948679514496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236.00000000000003</v>
      </c>
      <c r="BE159" s="13">
        <f>BD159*VLOOKUP('Données projet'!$B$11,Paramètres!$A$1:$I$89,3,0)*VLOOKUP('Données projet'!$B$11,Paramètres!$A$1:$I$89,5,0)</f>
        <v>206.16960000000006</v>
      </c>
      <c r="BF159" s="13">
        <f t="shared" si="167"/>
        <v>51.097652263007333</v>
      </c>
      <c r="BG159" s="20">
        <f t="shared" si="168"/>
        <v>448.07379769140448</v>
      </c>
      <c r="BH159" s="59">
        <f t="shared" si="116"/>
        <v>741.40713102473774</v>
      </c>
      <c r="BI159" s="59">
        <f ca="1">AVERAGE(OFFSET($BH$3,0,0,'Données projet'!$E$11+1,1))-AVERAGE(OFFSET($H$3,0,0,'Données projet'!$E$11+1,1))</f>
        <v>247.61330734992077</v>
      </c>
      <c r="BJ159" s="59">
        <f t="shared" si="146"/>
        <v>278.55937893537259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14.689855133987871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0</v>
      </c>
      <c r="BS159" s="22">
        <f t="shared" si="169"/>
        <v>14.689855133987871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75.517000000000039</v>
      </c>
      <c r="D160" s="11">
        <f t="shared" si="140"/>
        <v>21.037415628132592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745.33233116453266</v>
      </c>
      <c r="H160" s="66">
        <f t="shared" si="110"/>
        <v>461.49894055233096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636.99999999999977</v>
      </c>
      <c r="O160" s="13">
        <f>N160*VLOOKUP('Données projet'!$B$9,Paramètres!$A$1:$I$89,3,0)*VLOOKUP('Données projet'!$B$9,Paramètres!$A$1:$I$89,5,0)</f>
        <v>356.08299999999991</v>
      </c>
      <c r="P160" s="13">
        <f t="shared" si="141"/>
        <v>82.813805255716545</v>
      </c>
      <c r="Q160" s="20">
        <f t="shared" si="162"/>
        <v>764.41193582037283</v>
      </c>
      <c r="R160" s="59">
        <f t="shared" si="109"/>
        <v>1057.7452691537062</v>
      </c>
      <c r="S160" s="59">
        <f ca="1">AVERAGE(OFFSET($R$3,0,0,'Données projet'!$E$9+1,1))-AVERAGE(OFFSET($H$3,0,0,'Données projet'!$E$9+1,1))</f>
        <v>382.55387448074327</v>
      </c>
      <c r="T160" s="59">
        <f t="shared" si="142"/>
        <v>476.29465646955543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14.313555492702029</v>
      </c>
      <c r="AA160" s="21">
        <f>EXP(-LN(2)/25)*AA159+(1-EXP(-LN(2)/25))/(LN(2)/25)*Calculateur!V160*Calculateur!X160*VLOOKUP('Données projet'!$B$9,Paramètres!$A$1:$I$89,3,0)*0.475*44/12</f>
        <v>1.2131662776497276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15.526721770351758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425.99999999999983</v>
      </c>
      <c r="AJ160" s="13">
        <f>AI160*VLOOKUP('Données projet'!$B$10,Paramètres!$A$1:$I$89,3,0)*VLOOKUP('Données projet'!$B$10,Paramètres!$A$1:$I$89,5,0)</f>
        <v>232.59599999999992</v>
      </c>
      <c r="AK160" s="13">
        <f t="shared" si="164"/>
        <v>56.843630236302218</v>
      </c>
      <c r="AL160" s="20">
        <f t="shared" si="165"/>
        <v>504.10735599489294</v>
      </c>
      <c r="AM160" s="59">
        <f t="shared" si="113"/>
        <v>797.4406893282262</v>
      </c>
      <c r="AN160" s="59">
        <f ca="1">AVERAGE(OFFSET($AM$3,0,0,'Données projet'!$E$10+1,1))-AVERAGE(OFFSET($H$3,0,0,'Données projet'!$E$10+1,1))</f>
        <v>417.99456559608217</v>
      </c>
      <c r="AO160" s="59">
        <f t="shared" si="144"/>
        <v>651.41353014863932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46.094157215865813</v>
      </c>
      <c r="AV160" s="21">
        <f>EXP(-LN(2)/25)*AV159+(1-EXP(-LN(2)/25))/(LN(2)/25)*Calculateur!AQ160*Calculateur!AS160*VLOOKUP('Données projet'!$B$10,Paramètres!$A$1:$I$89,3,0)*0.475*44/12</f>
        <v>1.3693368359771538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47.463494051842964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236.00000000000003</v>
      </c>
      <c r="BE160" s="13">
        <f>BD160*VLOOKUP('Données projet'!$B$11,Paramètres!$A$1:$I$89,3,0)*VLOOKUP('Données projet'!$B$11,Paramètres!$A$1:$I$89,5,0)</f>
        <v>206.16960000000006</v>
      </c>
      <c r="BF160" s="13">
        <f t="shared" si="167"/>
        <v>51.097652263007333</v>
      </c>
      <c r="BG160" s="20">
        <f t="shared" si="168"/>
        <v>448.07379769140448</v>
      </c>
      <c r="BH160" s="59">
        <f t="shared" si="116"/>
        <v>741.40713102473774</v>
      </c>
      <c r="BI160" s="59">
        <f ca="1">AVERAGE(OFFSET($BH$3,0,0,'Données projet'!$E$11+1,1))-AVERAGE(OFFSET($H$3,0,0,'Données projet'!$E$11+1,1))</f>
        <v>247.61330734992077</v>
      </c>
      <c r="BJ160" s="59">
        <f t="shared" si="146"/>
        <v>278.55937893537259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14.401796034737281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0</v>
      </c>
      <c r="BS160" s="22">
        <f t="shared" si="169"/>
        <v>14.401796034737281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75.998000000000033</v>
      </c>
      <c r="D161" s="11">
        <f t="shared" si="140"/>
        <v>21.155770952330599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749.95893366711368</v>
      </c>
      <c r="H161" s="66">
        <f t="shared" si="110"/>
        <v>462.5428177419758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636.99999999999977</v>
      </c>
      <c r="O161" s="13">
        <f>N161*VLOOKUP('Données projet'!$B$9,Paramètres!$A$1:$I$89,3,0)*VLOOKUP('Données projet'!$B$9,Paramètres!$A$1:$I$89,5,0)</f>
        <v>356.08299999999991</v>
      </c>
      <c r="P161" s="13">
        <f t="shared" si="141"/>
        <v>82.813805255716545</v>
      </c>
      <c r="Q161" s="20">
        <f t="shared" si="162"/>
        <v>764.41193582037283</v>
      </c>
      <c r="R161" s="59">
        <f t="shared" si="109"/>
        <v>1057.7452691537062</v>
      </c>
      <c r="S161" s="59">
        <f ca="1">AVERAGE(OFFSET($R$3,0,0,'Données projet'!$E$9+1,1))-AVERAGE(OFFSET($H$3,0,0,'Données projet'!$E$9+1,1))</f>
        <v>382.55387448074327</v>
      </c>
      <c r="T161" s="59">
        <f t="shared" si="142"/>
        <v>476.29465646955543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14.032875399896938</v>
      </c>
      <c r="AA161" s="21">
        <f>EXP(-LN(2)/25)*AA160+(1-EXP(-LN(2)/25))/(LN(2)/25)*Calculateur!V161*Calculateur!X161*VLOOKUP('Données projet'!$B$9,Paramètres!$A$1:$I$89,3,0)*0.475*44/12</f>
        <v>1.1799921819897541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15.212867581886691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425.99999999999983</v>
      </c>
      <c r="AJ161" s="13">
        <f>AI161*VLOOKUP('Données projet'!$B$10,Paramètres!$A$1:$I$89,3,0)*VLOOKUP('Données projet'!$B$10,Paramètres!$A$1:$I$89,5,0)</f>
        <v>232.59599999999992</v>
      </c>
      <c r="AK161" s="13">
        <f t="shared" si="164"/>
        <v>56.843630236302218</v>
      </c>
      <c r="AL161" s="20">
        <f t="shared" si="165"/>
        <v>504.10735599489294</v>
      </c>
      <c r="AM161" s="59">
        <f t="shared" si="113"/>
        <v>797.4406893282262</v>
      </c>
      <c r="AN161" s="59">
        <f ca="1">AVERAGE(OFFSET($AM$3,0,0,'Données projet'!$E$10+1,1))-AVERAGE(OFFSET($H$3,0,0,'Données projet'!$E$10+1,1))</f>
        <v>417.99456559608217</v>
      </c>
      <c r="AO161" s="59">
        <f t="shared" si="144"/>
        <v>651.41353014863932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45.190278907522497</v>
      </c>
      <c r="AV161" s="21">
        <f>EXP(-LN(2)/25)*AV160+(1-EXP(-LN(2)/25))/(LN(2)/25)*Calculateur!AQ161*Calculateur!AS161*VLOOKUP('Données projet'!$B$10,Paramètres!$A$1:$I$89,3,0)*0.475*44/12</f>
        <v>1.3318922481870641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46.522171155709565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236.00000000000003</v>
      </c>
      <c r="BE161" s="13">
        <f>BD161*VLOOKUP('Données projet'!$B$11,Paramètres!$A$1:$I$89,3,0)*VLOOKUP('Données projet'!$B$11,Paramètres!$A$1:$I$89,5,0)</f>
        <v>206.16960000000006</v>
      </c>
      <c r="BF161" s="13">
        <f t="shared" si="167"/>
        <v>51.097652263007333</v>
      </c>
      <c r="BG161" s="20">
        <f t="shared" si="168"/>
        <v>448.07379769140448</v>
      </c>
      <c r="BH161" s="59">
        <f t="shared" si="116"/>
        <v>741.40713102473774</v>
      </c>
      <c r="BI161" s="59">
        <f ca="1">AVERAGE(OFFSET($BH$3,0,0,'Données projet'!$E$11+1,1))-AVERAGE(OFFSET($H$3,0,0,'Données projet'!$E$11+1,1))</f>
        <v>247.61330734992077</v>
      </c>
      <c r="BJ161" s="59">
        <f t="shared" si="146"/>
        <v>278.55937893537259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14.119385598724293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0</v>
      </c>
      <c r="BS161" s="22">
        <f t="shared" si="169"/>
        <v>14.119385598724293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76.479000000000028</v>
      </c>
      <c r="D162" s="11">
        <f t="shared" si="140"/>
        <v>21.274039114607188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754.58486334082772</v>
      </c>
      <c r="H162" s="66">
        <f t="shared" si="110"/>
        <v>463.58654312460754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636.99999999999977</v>
      </c>
      <c r="O162" s="13">
        <f>N162*VLOOKUP('Données projet'!$B$9,Paramètres!$A$1:$I$89,3,0)*VLOOKUP('Données projet'!$B$9,Paramètres!$A$1:$I$89,5,0)</f>
        <v>356.08299999999991</v>
      </c>
      <c r="P162" s="13">
        <f t="shared" si="141"/>
        <v>82.813805255716545</v>
      </c>
      <c r="Q162" s="20">
        <f t="shared" si="162"/>
        <v>764.41193582037283</v>
      </c>
      <c r="R162" s="59">
        <f t="shared" si="109"/>
        <v>1057.7452691537062</v>
      </c>
      <c r="S162" s="59">
        <f ca="1">AVERAGE(OFFSET($R$3,0,0,'Données projet'!$E$9+1,1))-AVERAGE(OFFSET($H$3,0,0,'Données projet'!$E$9+1,1))</f>
        <v>382.55387448074327</v>
      </c>
      <c r="T162" s="59">
        <f t="shared" si="142"/>
        <v>476.29465646955543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13.757699272513801</v>
      </c>
      <c r="AA162" s="21">
        <f>EXP(-LN(2)/25)*AA161+(1-EXP(-LN(2)/25))/(LN(2)/25)*Calculateur!V162*Calculateur!X162*VLOOKUP('Données projet'!$B$9,Paramètres!$A$1:$I$89,3,0)*0.475*44/12</f>
        <v>1.1477252337201522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14.905424506233953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425.99999999999983</v>
      </c>
      <c r="AJ162" s="13">
        <f>AI162*VLOOKUP('Données projet'!$B$10,Paramètres!$A$1:$I$89,3,0)*VLOOKUP('Données projet'!$B$10,Paramètres!$A$1:$I$89,5,0)</f>
        <v>232.59599999999992</v>
      </c>
      <c r="AK162" s="13">
        <f t="shared" si="164"/>
        <v>56.843630236302218</v>
      </c>
      <c r="AL162" s="20">
        <f t="shared" si="165"/>
        <v>504.10735599489294</v>
      </c>
      <c r="AM162" s="59">
        <f t="shared" si="113"/>
        <v>797.4406893282262</v>
      </c>
      <c r="AN162" s="59">
        <f ca="1">AVERAGE(OFFSET($AM$3,0,0,'Données projet'!$E$10+1,1))-AVERAGE(OFFSET($H$3,0,0,'Données projet'!$E$10+1,1))</f>
        <v>417.99456559608217</v>
      </c>
      <c r="AO162" s="59">
        <f t="shared" si="144"/>
        <v>651.41353014863932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44.304125101494463</v>
      </c>
      <c r="AV162" s="21">
        <f>EXP(-LN(2)/25)*AV161+(1-EXP(-LN(2)/25))/(LN(2)/25)*Calculateur!AQ162*Calculateur!AS162*VLOOKUP('Données projet'!$B$10,Paramètres!$A$1:$I$89,3,0)*0.475*44/12</f>
        <v>1.2954715846192195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45.599596686113685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236.00000000000003</v>
      </c>
      <c r="BE162" s="13">
        <f>BD162*VLOOKUP('Données projet'!$B$11,Paramètres!$A$1:$I$89,3,0)*VLOOKUP('Données projet'!$B$11,Paramètres!$A$1:$I$89,5,0)</f>
        <v>206.16960000000006</v>
      </c>
      <c r="BF162" s="13">
        <f t="shared" si="167"/>
        <v>51.097652263007333</v>
      </c>
      <c r="BG162" s="20">
        <f t="shared" si="168"/>
        <v>448.07379769140448</v>
      </c>
      <c r="BH162" s="59">
        <f t="shared" si="116"/>
        <v>741.40713102473774</v>
      </c>
      <c r="BI162" s="59">
        <f ca="1">AVERAGE(OFFSET($BH$3,0,0,'Données projet'!$E$11+1,1))-AVERAGE(OFFSET($H$3,0,0,'Données projet'!$E$11+1,1))</f>
        <v>247.61330734992077</v>
      </c>
      <c r="BJ162" s="59">
        <f t="shared" si="146"/>
        <v>278.55937893537259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13.842513059108162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0</v>
      </c>
      <c r="BS162" s="22">
        <f t="shared" si="169"/>
        <v>13.842513059108162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76.960000000000022</v>
      </c>
      <c r="D163" s="11">
        <f t="shared" si="140"/>
        <v>21.392220726743776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759.21012490819783</v>
      </c>
      <c r="H163" s="66">
        <f t="shared" si="110"/>
        <v>464.63011776574541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636.99999999999977</v>
      </c>
      <c r="O163" s="13">
        <f>N163*VLOOKUP('Données projet'!$B$9,Paramètres!$A$1:$I$89,3,0)*VLOOKUP('Données projet'!$B$9,Paramètres!$A$1:$I$89,5,0)</f>
        <v>356.08299999999991</v>
      </c>
      <c r="P163" s="13">
        <f t="shared" si="141"/>
        <v>82.813805255716545</v>
      </c>
      <c r="Q163" s="20">
        <f t="shared" si="162"/>
        <v>764.41193582037283</v>
      </c>
      <c r="R163" s="59">
        <f t="shared" si="109"/>
        <v>1057.7452691537062</v>
      </c>
      <c r="S163" s="59">
        <f ca="1">AVERAGE(OFFSET($R$3,0,0,'Données projet'!$E$9+1,1))-AVERAGE(OFFSET($H$3,0,0,'Données projet'!$E$9+1,1))</f>
        <v>382.55387448074327</v>
      </c>
      <c r="T163" s="59">
        <f t="shared" si="142"/>
        <v>476.29465646955543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13.487919181147783</v>
      </c>
      <c r="AA163" s="21">
        <f>EXP(-LN(2)/25)*AA162+(1-EXP(-LN(2)/25))/(LN(2)/25)*Calculateur!V163*Calculateur!X163*VLOOKUP('Données projet'!$B$9,Paramètres!$A$1:$I$89,3,0)*0.475*44/12</f>
        <v>1.1163406268478278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14.604259807995611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425.99999999999983</v>
      </c>
      <c r="AJ163" s="13">
        <f>AI163*VLOOKUP('Données projet'!$B$10,Paramètres!$A$1:$I$89,3,0)*VLOOKUP('Données projet'!$B$10,Paramètres!$A$1:$I$89,5,0)</f>
        <v>232.59599999999992</v>
      </c>
      <c r="AK163" s="13">
        <f t="shared" si="164"/>
        <v>56.843630236302218</v>
      </c>
      <c r="AL163" s="20">
        <f t="shared" si="165"/>
        <v>504.10735599489294</v>
      </c>
      <c r="AM163" s="59">
        <f t="shared" si="113"/>
        <v>797.4406893282262</v>
      </c>
      <c r="AN163" s="59">
        <f ca="1">AVERAGE(OFFSET($AM$3,0,0,'Données projet'!$E$10+1,1))-AVERAGE(OFFSET($H$3,0,0,'Données projet'!$E$10+1,1))</f>
        <v>417.99456559608217</v>
      </c>
      <c r="AO163" s="59">
        <f t="shared" si="144"/>
        <v>651.41353014863932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43.435348231102182</v>
      </c>
      <c r="AV163" s="21">
        <f>EXP(-LN(2)/25)*AV162+(1-EXP(-LN(2)/25))/(LN(2)/25)*Calculateur!AQ163*Calculateur!AS163*VLOOKUP('Données projet'!$B$10,Paramètres!$A$1:$I$89,3,0)*0.475*44/12</f>
        <v>1.2600468460119172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44.6953950771141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236.00000000000003</v>
      </c>
      <c r="BE163" s="13">
        <f>BD163*VLOOKUP('Données projet'!$B$11,Paramètres!$A$1:$I$89,3,0)*VLOOKUP('Données projet'!$B$11,Paramètres!$A$1:$I$89,5,0)</f>
        <v>206.16960000000006</v>
      </c>
      <c r="BF163" s="13">
        <f t="shared" si="167"/>
        <v>51.097652263007333</v>
      </c>
      <c r="BG163" s="20">
        <f t="shared" si="168"/>
        <v>448.07379769140448</v>
      </c>
      <c r="BH163" s="59">
        <f t="shared" si="116"/>
        <v>741.40713102473774</v>
      </c>
      <c r="BI163" s="59">
        <f ca="1">AVERAGE(OFFSET($BH$3,0,0,'Données projet'!$E$11+1,1))-AVERAGE(OFFSET($H$3,0,0,'Données projet'!$E$11+1,1))</f>
        <v>247.61330734992077</v>
      </c>
      <c r="BJ163" s="59">
        <f t="shared" si="146"/>
        <v>278.55937893537259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13.57106982111833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0</v>
      </c>
      <c r="BS163" s="22">
        <f t="shared" si="169"/>
        <v>13.57106982111833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77.441000000000017</v>
      </c>
      <c r="D164" s="11">
        <f t="shared" si="140"/>
        <v>21.51031639243222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763.83472302930147</v>
      </c>
      <c r="H164" s="66">
        <f t="shared" si="110"/>
        <v>465.67354271681944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636.99999999999977</v>
      </c>
      <c r="O164" s="13">
        <f>N164*VLOOKUP('Données projet'!$B$9,Paramètres!$A$1:$I$89,3,0)*VLOOKUP('Données projet'!$B$9,Paramètres!$A$1:$I$89,5,0)</f>
        <v>356.08299999999991</v>
      </c>
      <c r="P164" s="13">
        <f t="shared" si="141"/>
        <v>82.813805255716545</v>
      </c>
      <c r="Q164" s="20">
        <f t="shared" si="162"/>
        <v>764.41193582037283</v>
      </c>
      <c r="R164" s="59">
        <f t="shared" si="109"/>
        <v>1057.7452691537062</v>
      </c>
      <c r="S164" s="59">
        <f ca="1">AVERAGE(OFFSET($R$3,0,0,'Données projet'!$E$9+1,1))-AVERAGE(OFFSET($H$3,0,0,'Données projet'!$E$9+1,1))</f>
        <v>382.55387448074327</v>
      </c>
      <c r="T164" s="59">
        <f t="shared" si="142"/>
        <v>476.29465646955543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13.223429312823844</v>
      </c>
      <c r="AA164" s="21">
        <f>EXP(-LN(2)/25)*AA163+(1-EXP(-LN(2)/25))/(LN(2)/25)*Calculateur!V164*Calculateur!X164*VLOOKUP('Données projet'!$B$9,Paramètres!$A$1:$I$89,3,0)*0.475*44/12</f>
        <v>1.0858142337008718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14.309243546524716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425.99999999999983</v>
      </c>
      <c r="AJ164" s="13">
        <f>AI164*VLOOKUP('Données projet'!$B$10,Paramètres!$A$1:$I$89,3,0)*VLOOKUP('Données projet'!$B$10,Paramètres!$A$1:$I$89,5,0)</f>
        <v>232.59599999999992</v>
      </c>
      <c r="AK164" s="13">
        <f t="shared" si="164"/>
        <v>56.843630236302218</v>
      </c>
      <c r="AL164" s="20">
        <f t="shared" si="165"/>
        <v>504.10735599489294</v>
      </c>
      <c r="AM164" s="59">
        <f t="shared" si="113"/>
        <v>797.4406893282262</v>
      </c>
      <c r="AN164" s="59">
        <f ca="1">AVERAGE(OFFSET($AM$3,0,0,'Données projet'!$E$10+1,1))-AVERAGE(OFFSET($H$3,0,0,'Données projet'!$E$10+1,1))</f>
        <v>417.99456559608217</v>
      </c>
      <c r="AO164" s="59">
        <f t="shared" si="144"/>
        <v>651.41353014863932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42.583607545236731</v>
      </c>
      <c r="AV164" s="21">
        <f>EXP(-LN(2)/25)*AV163+(1-EXP(-LN(2)/25))/(LN(2)/25)*Calculateur!AQ164*Calculateur!AS164*VLOOKUP('Données projet'!$B$10,Paramètres!$A$1:$I$89,3,0)*0.475*44/12</f>
        <v>1.2255907987447376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43.809198343981471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236.00000000000003</v>
      </c>
      <c r="BE164" s="13">
        <f>BD164*VLOOKUP('Données projet'!$B$11,Paramètres!$A$1:$I$89,3,0)*VLOOKUP('Données projet'!$B$11,Paramètres!$A$1:$I$89,5,0)</f>
        <v>206.16960000000006</v>
      </c>
      <c r="BF164" s="13">
        <f t="shared" si="167"/>
        <v>51.097652263007333</v>
      </c>
      <c r="BG164" s="20">
        <f t="shared" si="168"/>
        <v>448.07379769140448</v>
      </c>
      <c r="BH164" s="59">
        <f t="shared" si="116"/>
        <v>741.40713102473774</v>
      </c>
      <c r="BI164" s="59">
        <f ca="1">AVERAGE(OFFSET($BH$3,0,0,'Données projet'!$E$11+1,1))-AVERAGE(OFFSET($H$3,0,0,'Données projet'!$E$11+1,1))</f>
        <v>247.61330734992077</v>
      </c>
      <c r="BJ164" s="59">
        <f t="shared" si="146"/>
        <v>278.55937893537259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13.304949419461453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0</v>
      </c>
      <c r="BS164" s="22">
        <f t="shared" si="169"/>
        <v>13.304949419461453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77.922000000000011</v>
      </c>
      <c r="D165" s="11">
        <f t="shared" si="140"/>
        <v>21.628326707431373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768.45866230297918</v>
      </c>
      <c r="H165" s="66">
        <f t="shared" si="110"/>
        <v>466.71681901544298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636.99999999999977</v>
      </c>
      <c r="O165" s="13">
        <f>N165*VLOOKUP('Données projet'!$B$9,Paramètres!$A$1:$I$89,3,0)*VLOOKUP('Données projet'!$B$9,Paramètres!$A$1:$I$89,5,0)</f>
        <v>356.08299999999991</v>
      </c>
      <c r="P165" s="13">
        <f t="shared" si="141"/>
        <v>82.813805255716545</v>
      </c>
      <c r="Q165" s="20">
        <f t="shared" si="162"/>
        <v>764.41193582037283</v>
      </c>
      <c r="R165" s="59">
        <f t="shared" si="109"/>
        <v>1057.7452691537062</v>
      </c>
      <c r="S165" s="59">
        <f ca="1">AVERAGE(OFFSET($R$3,0,0,'Données projet'!$E$9+1,1))-AVERAGE(OFFSET($H$3,0,0,'Données projet'!$E$9+1,1))</f>
        <v>382.55387448074327</v>
      </c>
      <c r="T165" s="59">
        <f t="shared" si="142"/>
        <v>476.29465646955543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12.964125929494848</v>
      </c>
      <c r="AA165" s="21">
        <f>EXP(-LN(2)/25)*AA164+(1-EXP(-LN(2)/25))/(LN(2)/25)*Calculateur!V165*Calculateur!X165*VLOOKUP('Données projet'!$B$9,Paramètres!$A$1:$I$89,3,0)*0.475*44/12</f>
        <v>1.0561225863798327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14.02024851587468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425.99999999999983</v>
      </c>
      <c r="AJ165" s="13">
        <f>AI165*VLOOKUP('Données projet'!$B$10,Paramètres!$A$1:$I$89,3,0)*VLOOKUP('Données projet'!$B$10,Paramètres!$A$1:$I$89,5,0)</f>
        <v>232.59599999999992</v>
      </c>
      <c r="AK165" s="13">
        <f t="shared" si="164"/>
        <v>56.843630236302218</v>
      </c>
      <c r="AL165" s="20">
        <f t="shared" si="165"/>
        <v>504.10735599489294</v>
      </c>
      <c r="AM165" s="59">
        <f t="shared" si="113"/>
        <v>797.4406893282262</v>
      </c>
      <c r="AN165" s="59">
        <f ca="1">AVERAGE(OFFSET($AM$3,0,0,'Données projet'!$E$10+1,1))-AVERAGE(OFFSET($H$3,0,0,'Données projet'!$E$10+1,1))</f>
        <v>417.99456559608217</v>
      </c>
      <c r="AO165" s="59">
        <f t="shared" si="144"/>
        <v>651.41353014863932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41.748568974710579</v>
      </c>
      <c r="AV165" s="21">
        <f>EXP(-LN(2)/25)*AV164+(1-EXP(-LN(2)/25))/(LN(2)/25)*Calculateur!AQ165*Calculateur!AS165*VLOOKUP('Données projet'!$B$10,Paramètres!$A$1:$I$89,3,0)*0.475*44/12</f>
        <v>1.1920769539020437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42.940645928612625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236.00000000000003</v>
      </c>
      <c r="BE165" s="13">
        <f>BD165*VLOOKUP('Données projet'!$B$11,Paramètres!$A$1:$I$89,3,0)*VLOOKUP('Données projet'!$B$11,Paramètres!$A$1:$I$89,5,0)</f>
        <v>206.16960000000006</v>
      </c>
      <c r="BF165" s="13">
        <f t="shared" si="167"/>
        <v>51.097652263007333</v>
      </c>
      <c r="BG165" s="20">
        <f t="shared" si="168"/>
        <v>448.07379769140448</v>
      </c>
      <c r="BH165" s="59">
        <f t="shared" si="116"/>
        <v>741.40713102473774</v>
      </c>
      <c r="BI165" s="59">
        <f ca="1">AVERAGE(OFFSET($BH$3,0,0,'Données projet'!$E$11+1,1))-AVERAGE(OFFSET($H$3,0,0,'Données projet'!$E$11+1,1))</f>
        <v>247.61330734992077</v>
      </c>
      <c r="BJ165" s="59">
        <f t="shared" si="146"/>
        <v>278.55937893537259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13.044047476563648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0</v>
      </c>
      <c r="BS165" s="22">
        <f t="shared" si="169"/>
        <v>13.044047476563648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78.403000000000006</v>
      </c>
      <c r="D166" s="11">
        <f t="shared" si="140"/>
        <v>21.74625225971964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773.08194726801139</v>
      </c>
      <c r="H166" s="66">
        <f t="shared" si="110"/>
        <v>467.75994768567836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636.99999999999977</v>
      </c>
      <c r="O166" s="13">
        <f>N166*VLOOKUP('Données projet'!$B$9,Paramètres!$A$1:$I$89,3,0)*VLOOKUP('Données projet'!$B$9,Paramètres!$A$1:$I$89,5,0)</f>
        <v>356.08299999999991</v>
      </c>
      <c r="P166" s="13">
        <f t="shared" si="141"/>
        <v>82.813805255716545</v>
      </c>
      <c r="Q166" s="20">
        <f t="shared" si="162"/>
        <v>764.41193582037283</v>
      </c>
      <c r="R166" s="59">
        <f t="shared" si="109"/>
        <v>1057.7452691537062</v>
      </c>
      <c r="S166" s="59">
        <f ca="1">AVERAGE(OFFSET($R$3,0,0,'Données projet'!$E$9+1,1))-AVERAGE(OFFSET($H$3,0,0,'Données projet'!$E$9+1,1))</f>
        <v>382.55387448074327</v>
      </c>
      <c r="T166" s="59">
        <f t="shared" si="142"/>
        <v>476.29465646955543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12.709907327353486</v>
      </c>
      <c r="AA166" s="21">
        <f>EXP(-LN(2)/25)*AA165+(1-EXP(-LN(2)/25))/(LN(2)/25)*Calculateur!V166*Calculateur!X166*VLOOKUP('Données projet'!$B$9,Paramètres!$A$1:$I$89,3,0)*0.475*44/12</f>
        <v>1.0272428587162032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13.737150186069689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425.99999999999983</v>
      </c>
      <c r="AJ166" s="13">
        <f>AI166*VLOOKUP('Données projet'!$B$10,Paramètres!$A$1:$I$89,3,0)*VLOOKUP('Données projet'!$B$10,Paramètres!$A$1:$I$89,5,0)</f>
        <v>232.59599999999992</v>
      </c>
      <c r="AK166" s="13">
        <f t="shared" si="164"/>
        <v>56.843630236302218</v>
      </c>
      <c r="AL166" s="20">
        <f t="shared" si="165"/>
        <v>504.10735599489294</v>
      </c>
      <c r="AM166" s="59">
        <f t="shared" si="113"/>
        <v>797.4406893282262</v>
      </c>
      <c r="AN166" s="59">
        <f ca="1">AVERAGE(OFFSET($AM$3,0,0,'Données projet'!$E$10+1,1))-AVERAGE(OFFSET($H$3,0,0,'Données projet'!$E$10+1,1))</f>
        <v>417.99456559608217</v>
      </c>
      <c r="AO166" s="59">
        <f t="shared" si="144"/>
        <v>651.41353014863932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40.929905001229208</v>
      </c>
      <c r="AV166" s="21">
        <f>EXP(-LN(2)/25)*AV165+(1-EXP(-LN(2)/25))/(LN(2)/25)*Calculateur!AQ166*Calculateur!AS166*VLOOKUP('Données projet'!$B$10,Paramètres!$A$1:$I$89,3,0)*0.475*44/12</f>
        <v>1.1594795469089898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42.089384548138199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236.00000000000003</v>
      </c>
      <c r="BE166" s="13">
        <f>BD166*VLOOKUP('Données projet'!$B$11,Paramètres!$A$1:$I$89,3,0)*VLOOKUP('Données projet'!$B$11,Paramètres!$A$1:$I$89,5,0)</f>
        <v>206.16960000000006</v>
      </c>
      <c r="BF166" s="13">
        <f t="shared" si="167"/>
        <v>51.097652263007333</v>
      </c>
      <c r="BG166" s="20">
        <f t="shared" si="168"/>
        <v>448.07379769140448</v>
      </c>
      <c r="BH166" s="59">
        <f t="shared" si="116"/>
        <v>741.40713102473774</v>
      </c>
      <c r="BI166" s="59">
        <f ca="1">AVERAGE(OFFSET($BH$3,0,0,'Données projet'!$E$11+1,1))-AVERAGE(OFFSET($H$3,0,0,'Données projet'!$E$11+1,1))</f>
        <v>247.61330734992077</v>
      </c>
      <c r="BJ166" s="59">
        <f t="shared" si="146"/>
        <v>278.55937893537259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12.788261661631598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0</v>
      </c>
      <c r="BS166" s="22">
        <f t="shared" si="169"/>
        <v>12.788261661631598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78.884</v>
      </c>
      <c r="D167" s="11">
        <f t="shared" si="140"/>
        <v>21.864093629643623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777.7045824042666</v>
      </c>
      <c r="H167" s="66">
        <f t="shared" si="110"/>
        <v>468.80292973829592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636.99999999999977</v>
      </c>
      <c r="O167" s="13">
        <f>N167*VLOOKUP('Données projet'!$B$9,Paramètres!$A$1:$I$89,3,0)*VLOOKUP('Données projet'!$B$9,Paramètres!$A$1:$I$89,5,0)</f>
        <v>356.08299999999991</v>
      </c>
      <c r="P167" s="13">
        <f t="shared" si="141"/>
        <v>82.813805255716545</v>
      </c>
      <c r="Q167" s="20">
        <f t="shared" si="162"/>
        <v>764.41193582037283</v>
      </c>
      <c r="R167" s="59">
        <f t="shared" si="109"/>
        <v>1057.7452691537062</v>
      </c>
      <c r="S167" s="59">
        <f ca="1">AVERAGE(OFFSET($R$3,0,0,'Données projet'!$E$9+1,1))-AVERAGE(OFFSET($H$3,0,0,'Données projet'!$E$9+1,1))</f>
        <v>382.55387448074327</v>
      </c>
      <c r="T167" s="59">
        <f t="shared" si="142"/>
        <v>476.29465646955543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12.46067379694208</v>
      </c>
      <c r="AA167" s="21">
        <f>EXP(-LN(2)/25)*AA166+(1-EXP(-LN(2)/25))/(LN(2)/25)*Calculateur!V167*Calculateur!X167*VLOOKUP('Données projet'!$B$9,Paramètres!$A$1:$I$89,3,0)*0.475*44/12</f>
        <v>0.99915284872425447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13.459826645666334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425.99999999999983</v>
      </c>
      <c r="AJ167" s="13">
        <f>AI167*VLOOKUP('Données projet'!$B$10,Paramètres!$A$1:$I$89,3,0)*VLOOKUP('Données projet'!$B$10,Paramètres!$A$1:$I$89,5,0)</f>
        <v>232.59599999999992</v>
      </c>
      <c r="AK167" s="13">
        <f t="shared" si="164"/>
        <v>56.843630236302218</v>
      </c>
      <c r="AL167" s="20">
        <f t="shared" si="165"/>
        <v>504.10735599489294</v>
      </c>
      <c r="AM167" s="59">
        <f t="shared" si="113"/>
        <v>797.4406893282262</v>
      </c>
      <c r="AN167" s="59">
        <f ca="1">AVERAGE(OFFSET($AM$3,0,0,'Données projet'!$E$10+1,1))-AVERAGE(OFFSET($H$3,0,0,'Données projet'!$E$10+1,1))</f>
        <v>417.99456559608217</v>
      </c>
      <c r="AO167" s="59">
        <f t="shared" si="144"/>
        <v>651.41353014863932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40.12729452893209</v>
      </c>
      <c r="AV167" s="21">
        <f>EXP(-LN(2)/25)*AV166+(1-EXP(-LN(2)/25))/(LN(2)/25)*Calculateur!AQ167*Calculateur!AS167*VLOOKUP('Données projet'!$B$10,Paramètres!$A$1:$I$89,3,0)*0.475*44/12</f>
        <v>1.1277735177243842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41.255068046656476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236.00000000000003</v>
      </c>
      <c r="BE167" s="13">
        <f>BD167*VLOOKUP('Données projet'!$B$11,Paramètres!$A$1:$I$89,3,0)*VLOOKUP('Données projet'!$B$11,Paramètres!$A$1:$I$89,5,0)</f>
        <v>206.16960000000006</v>
      </c>
      <c r="BF167" s="13">
        <f t="shared" si="167"/>
        <v>51.097652263007333</v>
      </c>
      <c r="BG167" s="20">
        <f t="shared" si="168"/>
        <v>448.07379769140448</v>
      </c>
      <c r="BH167" s="59">
        <f t="shared" si="116"/>
        <v>741.40713102473774</v>
      </c>
      <c r="BI167" s="59">
        <f ca="1">AVERAGE(OFFSET($BH$3,0,0,'Données projet'!$E$11+1,1))-AVERAGE(OFFSET($H$3,0,0,'Données projet'!$E$11+1,1))</f>
        <v>247.61330734992077</v>
      </c>
      <c r="BJ167" s="59">
        <f t="shared" si="146"/>
        <v>278.55937893537259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12.537491650516422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0</v>
      </c>
      <c r="BS167" s="22">
        <f t="shared" si="169"/>
        <v>12.537491650516422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79.364999999999995</v>
      </c>
      <c r="D168" s="11">
        <f t="shared" si="140"/>
        <v>21.981851390063195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782.32657213382117</v>
      </c>
      <c r="H168" s="66">
        <f t="shared" si="110"/>
        <v>469.8457661710267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636.99999999999977</v>
      </c>
      <c r="O168" s="13">
        <f>N168*VLOOKUP('Données projet'!$B$9,Paramètres!$A$1:$I$89,3,0)*VLOOKUP('Données projet'!$B$9,Paramètres!$A$1:$I$89,5,0)</f>
        <v>356.08299999999991</v>
      </c>
      <c r="P168" s="13">
        <f t="shared" si="141"/>
        <v>82.813805255716545</v>
      </c>
      <c r="Q168" s="20">
        <f t="shared" si="162"/>
        <v>764.41193582037283</v>
      </c>
      <c r="R168" s="59">
        <f t="shared" si="109"/>
        <v>1057.7452691537062</v>
      </c>
      <c r="S168" s="59">
        <f ca="1">AVERAGE(OFFSET($R$3,0,0,'Données projet'!$E$9+1,1))-AVERAGE(OFFSET($H$3,0,0,'Données projet'!$E$9+1,1))</f>
        <v>382.55387448074327</v>
      </c>
      <c r="T168" s="59">
        <f t="shared" si="142"/>
        <v>476.29465646955543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12.216327584044599</v>
      </c>
      <c r="AA168" s="21">
        <f>EXP(-LN(2)/25)*AA167+(1-EXP(-LN(2)/25))/(LN(2)/25)*Calculateur!V168*Calculateur!X168*VLOOKUP('Données projet'!$B$9,Paramètres!$A$1:$I$89,3,0)*0.475*44/12</f>
        <v>0.97183096153272497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13.188158545577323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425.99999999999983</v>
      </c>
      <c r="AJ168" s="13">
        <f>AI168*VLOOKUP('Données projet'!$B$10,Paramètres!$A$1:$I$89,3,0)*VLOOKUP('Données projet'!$B$10,Paramètres!$A$1:$I$89,5,0)</f>
        <v>232.59599999999992</v>
      </c>
      <c r="AK168" s="13">
        <f t="shared" si="164"/>
        <v>56.843630236302218</v>
      </c>
      <c r="AL168" s="20">
        <f t="shared" si="165"/>
        <v>504.10735599489294</v>
      </c>
      <c r="AM168" s="59">
        <f t="shared" si="113"/>
        <v>797.4406893282262</v>
      </c>
      <c r="AN168" s="59">
        <f ca="1">AVERAGE(OFFSET($AM$3,0,0,'Données projet'!$E$10+1,1))-AVERAGE(OFFSET($H$3,0,0,'Données projet'!$E$10+1,1))</f>
        <v>417.99456559608217</v>
      </c>
      <c r="AO168" s="59">
        <f t="shared" si="144"/>
        <v>651.41353014863932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39.340422758452668</v>
      </c>
      <c r="AV168" s="21">
        <f>EXP(-LN(2)/25)*AV167+(1-EXP(-LN(2)/25))/(LN(2)/25)*Calculateur!AQ168*Calculateur!AS168*VLOOKUP('Données projet'!$B$10,Paramètres!$A$1:$I$89,3,0)*0.475*44/12</f>
        <v>1.0969344915751791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40.437357250027844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236.00000000000003</v>
      </c>
      <c r="BE168" s="13">
        <f>BD168*VLOOKUP('Données projet'!$B$11,Paramètres!$A$1:$I$89,3,0)*VLOOKUP('Données projet'!$B$11,Paramètres!$A$1:$I$89,5,0)</f>
        <v>206.16960000000006</v>
      </c>
      <c r="BF168" s="13">
        <f t="shared" si="167"/>
        <v>51.097652263007333</v>
      </c>
      <c r="BG168" s="20">
        <f t="shared" si="168"/>
        <v>448.07379769140448</v>
      </c>
      <c r="BH168" s="59">
        <f t="shared" si="116"/>
        <v>741.40713102473774</v>
      </c>
      <c r="BI168" s="59">
        <f ca="1">AVERAGE(OFFSET($BH$3,0,0,'Données projet'!$E$11+1,1))-AVERAGE(OFFSET($H$3,0,0,'Données projet'!$E$11+1,1))</f>
        <v>247.61330734992077</v>
      </c>
      <c r="BJ168" s="59">
        <f t="shared" si="146"/>
        <v>278.55937893537259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12.291639086364611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0</v>
      </c>
      <c r="BS168" s="22">
        <f t="shared" si="169"/>
        <v>12.291639086364611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79.845999999999989</v>
      </c>
      <c r="D169" s="11">
        <f t="shared" si="140"/>
        <v>22.099526106492764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786.94792082204947</v>
      </c>
      <c r="H169" s="66">
        <f t="shared" si="110"/>
        <v>470.88845796880821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636.99999999999977</v>
      </c>
      <c r="O169" s="13">
        <f>N169*VLOOKUP('Données projet'!$B$9,Paramètres!$A$1:$I$89,3,0)*VLOOKUP('Données projet'!$B$9,Paramètres!$A$1:$I$89,5,0)</f>
        <v>356.08299999999991</v>
      </c>
      <c r="P169" s="13">
        <f t="shared" si="141"/>
        <v>82.813805255716545</v>
      </c>
      <c r="Q169" s="20">
        <f t="shared" si="162"/>
        <v>764.41193582037283</v>
      </c>
      <c r="R169" s="59">
        <f t="shared" si="109"/>
        <v>1057.7452691537062</v>
      </c>
      <c r="S169" s="59">
        <f ca="1">AVERAGE(OFFSET($R$3,0,0,'Données projet'!$E$9+1,1))-AVERAGE(OFFSET($H$3,0,0,'Données projet'!$E$9+1,1))</f>
        <v>382.55387448074327</v>
      </c>
      <c r="T169" s="59">
        <f t="shared" si="142"/>
        <v>476.29465646955543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11.976772851345563</v>
      </c>
      <c r="AA169" s="21">
        <f>EXP(-LN(2)/25)*AA168+(1-EXP(-LN(2)/25))/(LN(2)/25)*Calculateur!V169*Calculateur!X169*VLOOKUP('Données projet'!$B$9,Paramètres!$A$1:$I$89,3,0)*0.475*44/12</f>
        <v>0.94525619278324347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12.922029044128807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425.99999999999983</v>
      </c>
      <c r="AJ169" s="13">
        <f>AI169*VLOOKUP('Données projet'!$B$10,Paramètres!$A$1:$I$89,3,0)*VLOOKUP('Données projet'!$B$10,Paramètres!$A$1:$I$89,5,0)</f>
        <v>232.59599999999992</v>
      </c>
      <c r="AK169" s="13">
        <f t="shared" si="164"/>
        <v>56.843630236302218</v>
      </c>
      <c r="AL169" s="20">
        <f t="shared" si="165"/>
        <v>504.10735599489294</v>
      </c>
      <c r="AM169" s="59">
        <f t="shared" si="113"/>
        <v>797.4406893282262</v>
      </c>
      <c r="AN169" s="59">
        <f ca="1">AVERAGE(OFFSET($AM$3,0,0,'Données projet'!$E$10+1,1))-AVERAGE(OFFSET($H$3,0,0,'Données projet'!$E$10+1,1))</f>
        <v>417.99456559608217</v>
      </c>
      <c r="AO169" s="59">
        <f t="shared" si="144"/>
        <v>651.41353014863932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38.568981063447957</v>
      </c>
      <c r="AV169" s="21">
        <f>EXP(-LN(2)/25)*AV168+(1-EXP(-LN(2)/25))/(LN(2)/25)*Calculateur!AQ169*Calculateur!AS169*VLOOKUP('Données projet'!$B$10,Paramètres!$A$1:$I$89,3,0)*0.475*44/12</f>
        <v>1.066938760217778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39.635919823665738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236.00000000000003</v>
      </c>
      <c r="BE169" s="13">
        <f>BD169*VLOOKUP('Données projet'!$B$11,Paramètres!$A$1:$I$89,3,0)*VLOOKUP('Données projet'!$B$11,Paramètres!$A$1:$I$89,5,0)</f>
        <v>206.16960000000006</v>
      </c>
      <c r="BF169" s="13">
        <f t="shared" si="167"/>
        <v>51.097652263007333</v>
      </c>
      <c r="BG169" s="20">
        <f t="shared" si="168"/>
        <v>448.07379769140448</v>
      </c>
      <c r="BH169" s="59">
        <f t="shared" si="116"/>
        <v>741.40713102473774</v>
      </c>
      <c r="BI169" s="59">
        <f ca="1">AVERAGE(OFFSET($BH$3,0,0,'Données projet'!$E$11+1,1))-AVERAGE(OFFSET($H$3,0,0,'Données projet'!$E$11+1,1))</f>
        <v>247.61330734992077</v>
      </c>
      <c r="BJ169" s="59">
        <f t="shared" si="146"/>
        <v>278.55937893537259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12.050607541040561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0</v>
      </c>
      <c r="BS169" s="22">
        <f t="shared" si="169"/>
        <v>12.050607541040561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80.326999999999984</v>
      </c>
      <c r="D170" s="11">
        <f t="shared" si="140"/>
        <v>22.217118337239182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791.56863277868831</v>
      </c>
      <c r="H170" s="66">
        <f t="shared" si="110"/>
        <v>471.93100610402485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636.99999999999977</v>
      </c>
      <c r="O170" s="13">
        <f>N170*VLOOKUP('Données projet'!$B$9,Paramètres!$A$1:$I$89,3,0)*VLOOKUP('Données projet'!$B$9,Paramètres!$A$1:$I$89,5,0)</f>
        <v>356.08299999999991</v>
      </c>
      <c r="P170" s="13">
        <f t="shared" si="141"/>
        <v>82.813805255716545</v>
      </c>
      <c r="Q170" s="20">
        <f t="shared" si="162"/>
        <v>764.41193582037283</v>
      </c>
      <c r="R170" s="59">
        <f t="shared" si="109"/>
        <v>1057.7452691537062</v>
      </c>
      <c r="S170" s="59">
        <f ca="1">AVERAGE(OFFSET($R$3,0,0,'Données projet'!$E$9+1,1))-AVERAGE(OFFSET($H$3,0,0,'Données projet'!$E$9+1,1))</f>
        <v>382.55387448074327</v>
      </c>
      <c r="T170" s="59">
        <f t="shared" si="142"/>
        <v>476.29465646955543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11.741915640840796</v>
      </c>
      <c r="AA170" s="21">
        <f>EXP(-LN(2)/25)*AA169+(1-EXP(-LN(2)/25))/(LN(2)/25)*Calculateur!V170*Calculateur!X170*VLOOKUP('Données projet'!$B$9,Paramètres!$A$1:$I$89,3,0)*0.475*44/12</f>
        <v>0.91940811248272292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12.661323753323519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425.99999999999983</v>
      </c>
      <c r="AJ170" s="13">
        <f>AI170*VLOOKUP('Données projet'!$B$10,Paramètres!$A$1:$I$89,3,0)*VLOOKUP('Données projet'!$B$10,Paramètres!$A$1:$I$89,5,0)</f>
        <v>232.59599999999992</v>
      </c>
      <c r="AK170" s="13">
        <f t="shared" si="164"/>
        <v>56.843630236302218</v>
      </c>
      <c r="AL170" s="20">
        <f t="shared" si="165"/>
        <v>504.10735599489294</v>
      </c>
      <c r="AM170" s="59">
        <f t="shared" si="113"/>
        <v>797.4406893282262</v>
      </c>
      <c r="AN170" s="59">
        <f ca="1">AVERAGE(OFFSET($AM$3,0,0,'Données projet'!$E$10+1,1))-AVERAGE(OFFSET($H$3,0,0,'Données projet'!$E$10+1,1))</f>
        <v>417.99456559608217</v>
      </c>
      <c r="AO170" s="59">
        <f t="shared" si="144"/>
        <v>651.41353014863932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37.812666869549318</v>
      </c>
      <c r="AV170" s="21">
        <f>EXP(-LN(2)/25)*AV169+(1-EXP(-LN(2)/25))/(LN(2)/25)*Calculateur!AQ170*Calculateur!AS170*VLOOKUP('Données projet'!$B$10,Paramètres!$A$1:$I$89,3,0)*0.475*44/12</f>
        <v>1.037763263711752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38.850430133261071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236.00000000000003</v>
      </c>
      <c r="BE170" s="13">
        <f>BD170*VLOOKUP('Données projet'!$B$11,Paramètres!$A$1:$I$89,3,0)*VLOOKUP('Données projet'!$B$11,Paramètres!$A$1:$I$89,5,0)</f>
        <v>206.16960000000006</v>
      </c>
      <c r="BF170" s="13">
        <f t="shared" si="167"/>
        <v>51.097652263007333</v>
      </c>
      <c r="BG170" s="20">
        <f t="shared" si="168"/>
        <v>448.07379769140448</v>
      </c>
      <c r="BH170" s="59">
        <f t="shared" si="116"/>
        <v>741.40713102473774</v>
      </c>
      <c r="BI170" s="59">
        <f ca="1">AVERAGE(OFFSET($BH$3,0,0,'Données projet'!$E$11+1,1))-AVERAGE(OFFSET($H$3,0,0,'Données projet'!$E$11+1,1))</f>
        <v>247.61330734992077</v>
      </c>
      <c r="BJ170" s="59">
        <f t="shared" si="146"/>
        <v>278.55937893537259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11.814302477305588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0</v>
      </c>
      <c r="BS170" s="22">
        <f t="shared" si="169"/>
        <v>11.814302477305588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80.807999999999979</v>
      </c>
      <c r="D171" s="11">
        <f t="shared" si="140"/>
        <v>22.334628633536209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796.18871225887597</v>
      </c>
      <c r="H171" s="66">
        <f t="shared" si="110"/>
        <v>472.97341153674216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636.99999999999977</v>
      </c>
      <c r="O171" s="13">
        <f>N171*VLOOKUP('Données projet'!$B$9,Paramètres!$A$1:$I$89,3,0)*VLOOKUP('Données projet'!$B$9,Paramètres!$A$1:$I$89,5,0)</f>
        <v>356.08299999999991</v>
      </c>
      <c r="P171" s="13">
        <f t="shared" si="141"/>
        <v>82.813805255716545</v>
      </c>
      <c r="Q171" s="20">
        <f t="shared" si="162"/>
        <v>764.41193582037283</v>
      </c>
      <c r="R171" s="59">
        <f t="shared" si="109"/>
        <v>1057.7452691537062</v>
      </c>
      <c r="S171" s="59">
        <f ca="1">AVERAGE(OFFSET($R$3,0,0,'Données projet'!$E$9+1,1))-AVERAGE(OFFSET($H$3,0,0,'Données projet'!$E$9+1,1))</f>
        <v>382.55387448074327</v>
      </c>
      <c r="T171" s="59">
        <f t="shared" si="142"/>
        <v>476.29465646955543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11.511663836985274</v>
      </c>
      <c r="AA171" s="21">
        <f>EXP(-LN(2)/25)*AA170+(1-EXP(-LN(2)/25))/(LN(2)/25)*Calculateur!V171*Calculateur!X171*VLOOKUP('Données projet'!$B$9,Paramètres!$A$1:$I$89,3,0)*0.475*44/12</f>
        <v>0.89426684929731159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12.405930686282586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425.99999999999983</v>
      </c>
      <c r="AJ171" s="13">
        <f>AI171*VLOOKUP('Données projet'!$B$10,Paramètres!$A$1:$I$89,3,0)*VLOOKUP('Données projet'!$B$10,Paramètres!$A$1:$I$89,5,0)</f>
        <v>232.59599999999992</v>
      </c>
      <c r="AK171" s="13">
        <f t="shared" si="164"/>
        <v>56.843630236302218</v>
      </c>
      <c r="AL171" s="20">
        <f t="shared" si="165"/>
        <v>504.10735599489294</v>
      </c>
      <c r="AM171" s="59">
        <f t="shared" si="113"/>
        <v>797.4406893282262</v>
      </c>
      <c r="AN171" s="59">
        <f ca="1">AVERAGE(OFFSET($AM$3,0,0,'Données projet'!$E$10+1,1))-AVERAGE(OFFSET($H$3,0,0,'Données projet'!$E$10+1,1))</f>
        <v>417.99456559608217</v>
      </c>
      <c r="AO171" s="59">
        <f t="shared" si="144"/>
        <v>651.41353014863932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37.07118353568692</v>
      </c>
      <c r="AV171" s="21">
        <f>EXP(-LN(2)/25)*AV170+(1-EXP(-LN(2)/25))/(LN(2)/25)*Calculateur!AQ171*Calculateur!AS171*VLOOKUP('Données projet'!$B$10,Paramètres!$A$1:$I$89,3,0)*0.475*44/12</f>
        <v>1.0093855726919558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38.080569108378874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236.00000000000003</v>
      </c>
      <c r="BE171" s="13">
        <f>BD171*VLOOKUP('Données projet'!$B$11,Paramètres!$A$1:$I$89,3,0)*VLOOKUP('Données projet'!$B$11,Paramètres!$A$1:$I$89,5,0)</f>
        <v>206.16960000000006</v>
      </c>
      <c r="BF171" s="13">
        <f t="shared" si="167"/>
        <v>51.097652263007333</v>
      </c>
      <c r="BG171" s="20">
        <f t="shared" si="168"/>
        <v>448.07379769140448</v>
      </c>
      <c r="BH171" s="59">
        <f t="shared" si="116"/>
        <v>741.40713102473774</v>
      </c>
      <c r="BI171" s="59">
        <f ca="1">AVERAGE(OFFSET($BH$3,0,0,'Données projet'!$E$11+1,1))-AVERAGE(OFFSET($H$3,0,0,'Données projet'!$E$11+1,1))</f>
        <v>247.61330734992077</v>
      </c>
      <c r="BJ171" s="59">
        <f t="shared" si="146"/>
        <v>278.55937893537259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11.582631211738603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0</v>
      </c>
      <c r="BS171" s="22">
        <f t="shared" si="169"/>
        <v>11.582631211738603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81.288999999999973</v>
      </c>
      <c r="D172" s="11">
        <f t="shared" si="140"/>
        <v>22.452057539675593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800.80816346416225</v>
      </c>
      <c r="H172" s="66">
        <f t="shared" si="110"/>
        <v>474.0156752149349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636.99999999999977</v>
      </c>
      <c r="O172" s="13">
        <f>N172*VLOOKUP('Données projet'!$B$9,Paramètres!$A$1:$I$89,3,0)*VLOOKUP('Données projet'!$B$9,Paramètres!$A$1:$I$89,5,0)</f>
        <v>356.08299999999991</v>
      </c>
      <c r="P172" s="13">
        <f t="shared" si="141"/>
        <v>82.813805255716545</v>
      </c>
      <c r="Q172" s="20">
        <f t="shared" si="162"/>
        <v>764.41193582037283</v>
      </c>
      <c r="R172" s="59">
        <f t="shared" si="109"/>
        <v>1057.7452691537062</v>
      </c>
      <c r="S172" s="59">
        <f ca="1">AVERAGE(OFFSET($R$3,0,0,'Données projet'!$E$9+1,1))-AVERAGE(OFFSET($H$3,0,0,'Données projet'!$E$9+1,1))</f>
        <v>382.55387448074327</v>
      </c>
      <c r="T172" s="59">
        <f t="shared" si="142"/>
        <v>476.29465646955543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11.285927130563627</v>
      </c>
      <c r="AA172" s="21">
        <f>EXP(-LN(2)/25)*AA171+(1-EXP(-LN(2)/25))/(LN(2)/25)*Calculateur!V172*Calculateur!X172*VLOOKUP('Données projet'!$B$9,Paramètres!$A$1:$I$89,3,0)*0.475*44/12</f>
        <v>0.86981307527582685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12.155740205839454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425.99999999999983</v>
      </c>
      <c r="AJ172" s="13">
        <f>AI172*VLOOKUP('Données projet'!$B$10,Paramètres!$A$1:$I$89,3,0)*VLOOKUP('Données projet'!$B$10,Paramètres!$A$1:$I$89,5,0)</f>
        <v>232.59599999999992</v>
      </c>
      <c r="AK172" s="13">
        <f t="shared" si="164"/>
        <v>56.843630236302218</v>
      </c>
      <c r="AL172" s="20">
        <f t="shared" si="165"/>
        <v>504.10735599489294</v>
      </c>
      <c r="AM172" s="59">
        <f t="shared" si="113"/>
        <v>797.4406893282262</v>
      </c>
      <c r="AN172" s="59">
        <f ca="1">AVERAGE(OFFSET($AM$3,0,0,'Données projet'!$E$10+1,1))-AVERAGE(OFFSET($H$3,0,0,'Données projet'!$E$10+1,1))</f>
        <v>417.99456559608217</v>
      </c>
      <c r="AO172" s="59">
        <f t="shared" si="144"/>
        <v>651.41353014863932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36.344240237741388</v>
      </c>
      <c r="AV172" s="21">
        <f>EXP(-LN(2)/25)*AV171+(1-EXP(-LN(2)/25))/(LN(2)/25)*Calculateur!AQ172*Calculateur!AS172*VLOOKUP('Données projet'!$B$10,Paramètres!$A$1:$I$89,3,0)*0.475*44/12</f>
        <v>0.98178387112541399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37.326024108866804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236.00000000000003</v>
      </c>
      <c r="BE172" s="13">
        <f>BD172*VLOOKUP('Données projet'!$B$11,Paramètres!$A$1:$I$89,3,0)*VLOOKUP('Données projet'!$B$11,Paramètres!$A$1:$I$89,5,0)</f>
        <v>206.16960000000006</v>
      </c>
      <c r="BF172" s="13">
        <f t="shared" si="167"/>
        <v>51.097652263007333</v>
      </c>
      <c r="BG172" s="20">
        <f t="shared" si="168"/>
        <v>448.07379769140448</v>
      </c>
      <c r="BH172" s="59">
        <f t="shared" si="116"/>
        <v>741.40713102473774</v>
      </c>
      <c r="BI172" s="59">
        <f ca="1">AVERAGE(OFFSET($BH$3,0,0,'Données projet'!$E$11+1,1))-AVERAGE(OFFSET($H$3,0,0,'Données projet'!$E$11+1,1))</f>
        <v>247.61330734992077</v>
      </c>
      <c r="BJ172" s="59">
        <f t="shared" si="146"/>
        <v>278.55937893537259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11.355502878383867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0</v>
      </c>
      <c r="BS172" s="22">
        <f t="shared" si="169"/>
        <v>11.355502878383867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81.769999999999968</v>
      </c>
      <c r="D173" s="11">
        <f t="shared" si="140"/>
        <v>22.569405593135201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805.42699054349953</v>
      </c>
      <c r="H173" s="66">
        <f t="shared" si="110"/>
        <v>475.05779807471038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636.99999999999977</v>
      </c>
      <c r="O173" s="13">
        <f>N173*VLOOKUP('Données projet'!$B$9,Paramètres!$A$1:$I$89,3,0)*VLOOKUP('Données projet'!$B$9,Paramètres!$A$1:$I$89,5,0)</f>
        <v>356.08299999999991</v>
      </c>
      <c r="P173" s="13">
        <f t="shared" si="141"/>
        <v>82.813805255716545</v>
      </c>
      <c r="Q173" s="20">
        <f t="shared" si="162"/>
        <v>764.41193582037283</v>
      </c>
      <c r="R173" s="59">
        <f t="shared" si="109"/>
        <v>1057.7452691537062</v>
      </c>
      <c r="S173" s="59">
        <f ca="1">AVERAGE(OFFSET($R$3,0,0,'Données projet'!$E$9+1,1))-AVERAGE(OFFSET($H$3,0,0,'Données projet'!$E$9+1,1))</f>
        <v>382.55387448074327</v>
      </c>
      <c r="T173" s="59">
        <f t="shared" si="142"/>
        <v>476.29465646955543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11.064616983269111</v>
      </c>
      <c r="AA173" s="21">
        <f>EXP(-LN(2)/25)*AA172+(1-EXP(-LN(2)/25))/(LN(2)/25)*Calculateur!V173*Calculateur!X173*VLOOKUP('Données projet'!$B$9,Paramètres!$A$1:$I$89,3,0)*0.475*44/12</f>
        <v>0.84602799099092774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11.910644974260039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425.99999999999983</v>
      </c>
      <c r="AJ173" s="13">
        <f>AI173*VLOOKUP('Données projet'!$B$10,Paramètres!$A$1:$I$89,3,0)*VLOOKUP('Données projet'!$B$10,Paramètres!$A$1:$I$89,5,0)</f>
        <v>232.59599999999992</v>
      </c>
      <c r="AK173" s="13">
        <f t="shared" si="164"/>
        <v>56.843630236302218</v>
      </c>
      <c r="AL173" s="20">
        <f t="shared" si="165"/>
        <v>504.10735599489294</v>
      </c>
      <c r="AM173" s="59">
        <f t="shared" si="113"/>
        <v>797.4406893282262</v>
      </c>
      <c r="AN173" s="59">
        <f ca="1">AVERAGE(OFFSET($AM$3,0,0,'Données projet'!$E$10+1,1))-AVERAGE(OFFSET($H$3,0,0,'Données projet'!$E$10+1,1))</f>
        <v>417.99456559608217</v>
      </c>
      <c r="AO173" s="59">
        <f t="shared" si="144"/>
        <v>651.41353014863932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35.631551854476939</v>
      </c>
      <c r="AV173" s="21">
        <f>EXP(-LN(2)/25)*AV172+(1-EXP(-LN(2)/25))/(LN(2)/25)*Calculateur!AQ173*Calculateur!AS173*VLOOKUP('Données projet'!$B$10,Paramètres!$A$1:$I$89,3,0)*0.475*44/12</f>
        <v>0.9549369395397197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36.58648879401666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236.00000000000003</v>
      </c>
      <c r="BE173" s="13">
        <f>BD173*VLOOKUP('Données projet'!$B$11,Paramètres!$A$1:$I$89,3,0)*VLOOKUP('Données projet'!$B$11,Paramètres!$A$1:$I$89,5,0)</f>
        <v>206.16960000000006</v>
      </c>
      <c r="BF173" s="13">
        <f t="shared" si="167"/>
        <v>51.097652263007333</v>
      </c>
      <c r="BG173" s="20">
        <f t="shared" si="168"/>
        <v>448.07379769140448</v>
      </c>
      <c r="BH173" s="59">
        <f t="shared" si="116"/>
        <v>741.40713102473774</v>
      </c>
      <c r="BI173" s="59">
        <f ca="1">AVERAGE(OFFSET($BH$3,0,0,'Données projet'!$E$11+1,1))-AVERAGE(OFFSET($H$3,0,0,'Données projet'!$E$11+1,1))</f>
        <v>247.61330734992077</v>
      </c>
      <c r="BJ173" s="59">
        <f t="shared" si="146"/>
        <v>278.55937893537259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11.132828393111613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0</v>
      </c>
      <c r="BS173" s="22">
        <f t="shared" si="169"/>
        <v>11.132828393111613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82.250999999999962</v>
      </c>
      <c r="D174" s="11">
        <f t="shared" si="140"/>
        <v>22.686673324703712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810.04519759420373</v>
      </c>
      <c r="H174" s="66">
        <f t="shared" si="110"/>
        <v>476.0997810405255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636.99999999999977</v>
      </c>
      <c r="O174" s="13">
        <f>N174*VLOOKUP('Données projet'!$B$9,Paramètres!$A$1:$I$89,3,0)*VLOOKUP('Données projet'!$B$9,Paramètres!$A$1:$I$89,5,0)</f>
        <v>356.08299999999991</v>
      </c>
      <c r="P174" s="13">
        <f t="shared" si="141"/>
        <v>82.813805255716545</v>
      </c>
      <c r="Q174" s="20">
        <f t="shared" si="162"/>
        <v>764.41193582037283</v>
      </c>
      <c r="R174" s="59">
        <f t="shared" si="109"/>
        <v>1057.7452691537062</v>
      </c>
      <c r="S174" s="59">
        <f ca="1">AVERAGE(OFFSET($R$3,0,0,'Données projet'!$E$9+1,1))-AVERAGE(OFFSET($H$3,0,0,'Données projet'!$E$9+1,1))</f>
        <v>382.55387448074327</v>
      </c>
      <c r="T174" s="59">
        <f t="shared" si="142"/>
        <v>476.29465646955543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10.847646592977179</v>
      </c>
      <c r="AA174" s="21">
        <f>EXP(-LN(2)/25)*AA173+(1-EXP(-LN(2)/25))/(LN(2)/25)*Calculateur!V174*Calculateur!X174*VLOOKUP('Données projet'!$B$9,Paramètres!$A$1:$I$89,3,0)*0.475*44/12</f>
        <v>0.82289331108660235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11.670539904063782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425.99999999999983</v>
      </c>
      <c r="AJ174" s="13">
        <f>AI174*VLOOKUP('Données projet'!$B$10,Paramètres!$A$1:$I$89,3,0)*VLOOKUP('Données projet'!$B$10,Paramètres!$A$1:$I$89,5,0)</f>
        <v>232.59599999999992</v>
      </c>
      <c r="AK174" s="13">
        <f t="shared" si="164"/>
        <v>56.843630236302218</v>
      </c>
      <c r="AL174" s="20">
        <f t="shared" si="165"/>
        <v>504.10735599489294</v>
      </c>
      <c r="AM174" s="59">
        <f t="shared" si="113"/>
        <v>797.4406893282262</v>
      </c>
      <c r="AN174" s="59">
        <f ca="1">AVERAGE(OFFSET($AM$3,0,0,'Données projet'!$E$10+1,1))-AVERAGE(OFFSET($H$3,0,0,'Données projet'!$E$10+1,1))</f>
        <v>417.99456559608217</v>
      </c>
      <c r="AO174" s="59">
        <f t="shared" si="144"/>
        <v>651.41353014863932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34.93283885571131</v>
      </c>
      <c r="AV174" s="21">
        <f>EXP(-LN(2)/25)*AV173+(1-EXP(-LN(2)/25))/(LN(2)/25)*Calculateur!AQ174*Calculateur!AS174*VLOOKUP('Données projet'!$B$10,Paramètres!$A$1:$I$89,3,0)*0.475*44/12</f>
        <v>0.92882413871005498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35.861662994421366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236.00000000000003</v>
      </c>
      <c r="BE174" s="13">
        <f>BD174*VLOOKUP('Données projet'!$B$11,Paramètres!$A$1:$I$89,3,0)*VLOOKUP('Données projet'!$B$11,Paramètres!$A$1:$I$89,5,0)</f>
        <v>206.16960000000006</v>
      </c>
      <c r="BF174" s="13">
        <f t="shared" si="167"/>
        <v>51.097652263007333</v>
      </c>
      <c r="BG174" s="20">
        <f t="shared" si="168"/>
        <v>448.07379769140448</v>
      </c>
      <c r="BH174" s="59">
        <f t="shared" si="116"/>
        <v>741.40713102473774</v>
      </c>
      <c r="BI174" s="59">
        <f ca="1">AVERAGE(OFFSET($BH$3,0,0,'Données projet'!$E$11+1,1))-AVERAGE(OFFSET($H$3,0,0,'Données projet'!$E$11+1,1))</f>
        <v>247.61330734992077</v>
      </c>
      <c r="BJ174" s="59">
        <f t="shared" si="146"/>
        <v>278.55937893537259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10.914520418677522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0</v>
      </c>
      <c r="BS174" s="22">
        <f t="shared" si="169"/>
        <v>10.914520418677522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82.731999999999957</v>
      </c>
      <c r="D175" s="11">
        <f t="shared" si="140"/>
        <v>22.803861258602598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814.66278866289701</v>
      </c>
      <c r="H175" s="66">
        <f t="shared" si="110"/>
        <v>477.14162502539943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636.99999999999977</v>
      </c>
      <c r="O175" s="13">
        <f>N175*VLOOKUP('Données projet'!$B$9,Paramètres!$A$1:$I$89,3,0)*VLOOKUP('Données projet'!$B$9,Paramètres!$A$1:$I$89,5,0)</f>
        <v>356.08299999999991</v>
      </c>
      <c r="P175" s="13">
        <f t="shared" si="141"/>
        <v>82.813805255716545</v>
      </c>
      <c r="Q175" s="20">
        <f t="shared" si="162"/>
        <v>764.41193582037283</v>
      </c>
      <c r="R175" s="59">
        <f t="shared" si="109"/>
        <v>1057.7452691537062</v>
      </c>
      <c r="S175" s="59">
        <f ca="1">AVERAGE(OFFSET($R$3,0,0,'Données projet'!$E$9+1,1))-AVERAGE(OFFSET($H$3,0,0,'Données projet'!$E$9+1,1))</f>
        <v>382.55387448074327</v>
      </c>
      <c r="T175" s="59">
        <f t="shared" si="142"/>
        <v>476.29465646955543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10.634930859700003</v>
      </c>
      <c r="AA175" s="21">
        <f>EXP(-LN(2)/25)*AA174+(1-EXP(-LN(2)/25))/(LN(2)/25)*Calculateur!V175*Calculateur!X175*VLOOKUP('Données projet'!$B$9,Paramètres!$A$1:$I$89,3,0)*0.475*44/12</f>
        <v>0.80039125022086077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11.435322109920863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425.99999999999983</v>
      </c>
      <c r="AJ175" s="13">
        <f>AI175*VLOOKUP('Données projet'!$B$10,Paramètres!$A$1:$I$89,3,0)*VLOOKUP('Données projet'!$B$10,Paramètres!$A$1:$I$89,5,0)</f>
        <v>232.59599999999992</v>
      </c>
      <c r="AK175" s="13">
        <f t="shared" si="164"/>
        <v>56.843630236302218</v>
      </c>
      <c r="AL175" s="20">
        <f t="shared" si="165"/>
        <v>504.10735599489294</v>
      </c>
      <c r="AM175" s="59">
        <f t="shared" si="113"/>
        <v>797.4406893282262</v>
      </c>
      <c r="AN175" s="59">
        <f ca="1">AVERAGE(OFFSET($AM$3,0,0,'Données projet'!$E$10+1,1))-AVERAGE(OFFSET($H$3,0,0,'Données projet'!$E$10+1,1))</f>
        <v>417.99456559608217</v>
      </c>
      <c r="AO175" s="59">
        <f t="shared" si="144"/>
        <v>651.41353014863932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34.247827192678628</v>
      </c>
      <c r="AV175" s="21">
        <f>EXP(-LN(2)/25)*AV174+(1-EXP(-LN(2)/25))/(LN(2)/25)*Calculateur!AQ175*Calculateur!AS175*VLOOKUP('Données projet'!$B$10,Paramètres!$A$1:$I$89,3,0)*0.475*44/12</f>
        <v>0.90342539379228992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35.151252586470918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236.00000000000003</v>
      </c>
      <c r="BE175" s="13">
        <f>BD175*VLOOKUP('Données projet'!$B$11,Paramètres!$A$1:$I$89,3,0)*VLOOKUP('Données projet'!$B$11,Paramètres!$A$1:$I$89,5,0)</f>
        <v>206.16960000000006</v>
      </c>
      <c r="BF175" s="13">
        <f t="shared" si="167"/>
        <v>51.097652263007333</v>
      </c>
      <c r="BG175" s="20">
        <f t="shared" si="168"/>
        <v>448.07379769140448</v>
      </c>
      <c r="BH175" s="59">
        <f t="shared" si="116"/>
        <v>741.40713102473774</v>
      </c>
      <c r="BI175" s="59">
        <f ca="1">AVERAGE(OFFSET($BH$3,0,0,'Données projet'!$E$11+1,1))-AVERAGE(OFFSET($H$3,0,0,'Données projet'!$E$11+1,1))</f>
        <v>247.61330734992077</v>
      </c>
      <c r="BJ175" s="59">
        <f t="shared" si="146"/>
        <v>278.55937893537259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10.700493330467367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0</v>
      </c>
      <c r="BS175" s="22">
        <f t="shared" si="169"/>
        <v>10.700493330467367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83.212999999999951</v>
      </c>
      <c r="D176" s="11">
        <f t="shared" si="140"/>
        <v>22.920969912605038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819.27976774642445</v>
      </c>
      <c r="H176" s="66">
        <f t="shared" si="110"/>
        <v>478.18333093112028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636.99999999999977</v>
      </c>
      <c r="O176" s="13">
        <f>N176*VLOOKUP('Données projet'!$B$9,Paramètres!$A$1:$I$89,3,0)*VLOOKUP('Données projet'!$B$9,Paramètres!$A$1:$I$89,5,0)</f>
        <v>356.08299999999991</v>
      </c>
      <c r="P176" s="13">
        <f t="shared" si="141"/>
        <v>82.813805255716545</v>
      </c>
      <c r="Q176" s="20">
        <f t="shared" si="162"/>
        <v>764.41193582037283</v>
      </c>
      <c r="R176" s="59">
        <f t="shared" si="109"/>
        <v>1057.7452691537062</v>
      </c>
      <c r="S176" s="59">
        <f ca="1">AVERAGE(OFFSET($R$3,0,0,'Données projet'!$E$9+1,1))-AVERAGE(OFFSET($H$3,0,0,'Données projet'!$E$9+1,1))</f>
        <v>382.55387448074327</v>
      </c>
      <c r="T176" s="59">
        <f t="shared" si="142"/>
        <v>476.29465646955543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10.426386352208604</v>
      </c>
      <c r="AA176" s="21">
        <f>EXP(-LN(2)/25)*AA175+(1-EXP(-LN(2)/25))/(LN(2)/25)*Calculateur!V176*Calculateur!X176*VLOOKUP('Données projet'!$B$9,Paramètres!$A$1:$I$89,3,0)*0.475*44/12</f>
        <v>0.77850450939282478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11.204890861601429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425.99999999999983</v>
      </c>
      <c r="AJ176" s="13">
        <f>AI176*VLOOKUP('Données projet'!$B$10,Paramètres!$A$1:$I$89,3,0)*VLOOKUP('Données projet'!$B$10,Paramètres!$A$1:$I$89,5,0)</f>
        <v>232.59599999999992</v>
      </c>
      <c r="AK176" s="13">
        <f t="shared" si="164"/>
        <v>56.843630236302218</v>
      </c>
      <c r="AL176" s="20">
        <f t="shared" si="165"/>
        <v>504.10735599489294</v>
      </c>
      <c r="AM176" s="59">
        <f t="shared" si="113"/>
        <v>797.4406893282262</v>
      </c>
      <c r="AN176" s="59">
        <f ca="1">AVERAGE(OFFSET($AM$3,0,0,'Données projet'!$E$10+1,1))-AVERAGE(OFFSET($H$3,0,0,'Données projet'!$E$10+1,1))</f>
        <v>417.99456559608217</v>
      </c>
      <c r="AO176" s="59">
        <f t="shared" si="144"/>
        <v>651.41353014863932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33.576248190542159</v>
      </c>
      <c r="AV176" s="21">
        <f>EXP(-LN(2)/25)*AV175+(1-EXP(-LN(2)/25))/(LN(2)/25)*Calculateur!AQ176*Calculateur!AS176*VLOOKUP('Données projet'!$B$10,Paramètres!$A$1:$I$89,3,0)*0.475*44/12</f>
        <v>0.87872117888996315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34.454969369432121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236.00000000000003</v>
      </c>
      <c r="BE176" s="13">
        <f>BD176*VLOOKUP('Données projet'!$B$11,Paramètres!$A$1:$I$89,3,0)*VLOOKUP('Données projet'!$B$11,Paramètres!$A$1:$I$89,5,0)</f>
        <v>206.16960000000006</v>
      </c>
      <c r="BF176" s="13">
        <f t="shared" si="167"/>
        <v>51.097652263007333</v>
      </c>
      <c r="BG176" s="20">
        <f t="shared" si="168"/>
        <v>448.07379769140448</v>
      </c>
      <c r="BH176" s="59">
        <f t="shared" si="116"/>
        <v>741.40713102473774</v>
      </c>
      <c r="BI176" s="59">
        <f ca="1">AVERAGE(OFFSET($BH$3,0,0,'Données projet'!$E$11+1,1))-AVERAGE(OFFSET($H$3,0,0,'Données projet'!$E$11+1,1))</f>
        <v>247.61330734992077</v>
      </c>
      <c r="BJ176" s="59">
        <f t="shared" si="146"/>
        <v>278.55937893537259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10.49066318291338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0</v>
      </c>
      <c r="BS176" s="22">
        <f t="shared" si="169"/>
        <v>10.49066318291338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83.693999999999946</v>
      </c>
      <c r="D177" s="11">
        <f t="shared" si="140"/>
        <v>23.037999798152033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823.89613879275214</v>
      </c>
      <c r="H177" s="66">
        <f t="shared" si="110"/>
        <v>479.224899648448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636.99999999999977</v>
      </c>
      <c r="O177" s="13">
        <f>N177*VLOOKUP('Données projet'!$B$9,Paramètres!$A$1:$I$89,3,0)*VLOOKUP('Données projet'!$B$9,Paramètres!$A$1:$I$89,5,0)</f>
        <v>356.08299999999991</v>
      </c>
      <c r="P177" s="13">
        <f t="shared" si="141"/>
        <v>82.813805255716545</v>
      </c>
      <c r="Q177" s="20">
        <f t="shared" si="162"/>
        <v>764.41193582037283</v>
      </c>
      <c r="R177" s="59">
        <f t="shared" si="109"/>
        <v>1057.7452691537062</v>
      </c>
      <c r="S177" s="59">
        <f ca="1">AVERAGE(OFFSET($R$3,0,0,'Données projet'!$E$9+1,1))-AVERAGE(OFFSET($H$3,0,0,'Données projet'!$E$9+1,1))</f>
        <v>382.55387448074327</v>
      </c>
      <c r="T177" s="59">
        <f t="shared" si="142"/>
        <v>476.29465646955543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10.221931275309522</v>
      </c>
      <c r="AA177" s="21">
        <f>EXP(-LN(2)/25)*AA176+(1-EXP(-LN(2)/25))/(LN(2)/25)*Calculateur!V177*Calculateur!X177*VLOOKUP('Données projet'!$B$9,Paramètres!$A$1:$I$89,3,0)*0.475*44/12</f>
        <v>0.75721626264370512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10.979147537953228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425.99999999999983</v>
      </c>
      <c r="AJ177" s="13">
        <f>AI177*VLOOKUP('Données projet'!$B$10,Paramètres!$A$1:$I$89,3,0)*VLOOKUP('Données projet'!$B$10,Paramètres!$A$1:$I$89,5,0)</f>
        <v>232.59599999999992</v>
      </c>
      <c r="AK177" s="13">
        <f t="shared" si="164"/>
        <v>56.843630236302218</v>
      </c>
      <c r="AL177" s="20">
        <f t="shared" si="165"/>
        <v>504.10735599489294</v>
      </c>
      <c r="AM177" s="59">
        <f t="shared" si="113"/>
        <v>797.4406893282262</v>
      </c>
      <c r="AN177" s="59">
        <f ca="1">AVERAGE(OFFSET($AM$3,0,0,'Données projet'!$E$10+1,1))-AVERAGE(OFFSET($H$3,0,0,'Données projet'!$E$10+1,1))</f>
        <v>417.99456559608217</v>
      </c>
      <c r="AO177" s="59">
        <f t="shared" si="144"/>
        <v>651.41353014863932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32.917838443014844</v>
      </c>
      <c r="AV177" s="21">
        <f>EXP(-LN(2)/25)*AV176+(1-EXP(-LN(2)/25))/(LN(2)/25)*Calculateur!AQ177*Calculateur!AS177*VLOOKUP('Données projet'!$B$10,Paramètres!$A$1:$I$89,3,0)*0.475*44/12</f>
        <v>0.85469250204327862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33.772530945058122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236.00000000000003</v>
      </c>
      <c r="BE177" s="13">
        <f>BD177*VLOOKUP('Données projet'!$B$11,Paramètres!$A$1:$I$89,3,0)*VLOOKUP('Données projet'!$B$11,Paramètres!$A$1:$I$89,5,0)</f>
        <v>206.16960000000006</v>
      </c>
      <c r="BF177" s="13">
        <f t="shared" si="167"/>
        <v>51.097652263007333</v>
      </c>
      <c r="BG177" s="20">
        <f t="shared" si="168"/>
        <v>448.07379769140448</v>
      </c>
      <c r="BH177" s="59">
        <f t="shared" si="116"/>
        <v>741.40713102473774</v>
      </c>
      <c r="BI177" s="59">
        <f ca="1">AVERAGE(OFFSET($BH$3,0,0,'Données projet'!$E$11+1,1))-AVERAGE(OFFSET($H$3,0,0,'Données projet'!$E$11+1,1))</f>
        <v>247.61330734992077</v>
      </c>
      <c r="BJ177" s="59">
        <f t="shared" si="146"/>
        <v>278.55937893537259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10.284947676569173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0</v>
      </c>
      <c r="BS177" s="22">
        <f t="shared" si="169"/>
        <v>10.284947676569173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84.17499999999994</v>
      </c>
      <c r="D178" s="11">
        <f t="shared" si="140"/>
        <v>23.154951420465835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828.5119057018411</v>
      </c>
      <c r="H178" s="66">
        <f t="shared" si="110"/>
        <v>480.26633205731122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636.99999999999977</v>
      </c>
      <c r="O178" s="13">
        <f>N178*VLOOKUP('Données projet'!$B$9,Paramètres!$A$1:$I$89,3,0)*VLOOKUP('Données projet'!$B$9,Paramètres!$A$1:$I$89,5,0)</f>
        <v>356.08299999999991</v>
      </c>
      <c r="P178" s="13">
        <f t="shared" si="141"/>
        <v>82.813805255716545</v>
      </c>
      <c r="Q178" s="20">
        <f t="shared" si="162"/>
        <v>764.41193582037283</v>
      </c>
      <c r="R178" s="59">
        <f t="shared" si="109"/>
        <v>1057.7452691537062</v>
      </c>
      <c r="S178" s="59">
        <f ca="1">AVERAGE(OFFSET($R$3,0,0,'Données projet'!$E$9+1,1))-AVERAGE(OFFSET($H$3,0,0,'Données projet'!$E$9+1,1))</f>
        <v>382.55387448074327</v>
      </c>
      <c r="T178" s="59">
        <f t="shared" si="142"/>
        <v>476.29465646955543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10.021485437763149</v>
      </c>
      <c r="AA178" s="21">
        <f>EXP(-LN(2)/25)*AA177+(1-EXP(-LN(2)/25))/(LN(2)/25)*Calculateur!V178*Calculateur!X178*VLOOKUP('Données projet'!$B$9,Paramètres!$A$1:$I$89,3,0)*0.475*44/12</f>
        <v>0.73651014412144034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10.75799558188459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425.99999999999983</v>
      </c>
      <c r="AJ178" s="13">
        <f>AI178*VLOOKUP('Données projet'!$B$10,Paramètres!$A$1:$I$89,3,0)*VLOOKUP('Données projet'!$B$10,Paramètres!$A$1:$I$89,5,0)</f>
        <v>232.59599999999992</v>
      </c>
      <c r="AK178" s="13">
        <f t="shared" si="164"/>
        <v>56.843630236302218</v>
      </c>
      <c r="AL178" s="20">
        <f t="shared" si="165"/>
        <v>504.10735599489294</v>
      </c>
      <c r="AM178" s="59">
        <f t="shared" si="113"/>
        <v>797.4406893282262</v>
      </c>
      <c r="AN178" s="59">
        <f ca="1">AVERAGE(OFFSET($AM$3,0,0,'Données projet'!$E$10+1,1))-AVERAGE(OFFSET($H$3,0,0,'Données projet'!$E$10+1,1))</f>
        <v>417.99456559608217</v>
      </c>
      <c r="AO178" s="59">
        <f t="shared" si="144"/>
        <v>651.41353014863932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32.272339709046243</v>
      </c>
      <c r="AV178" s="21">
        <f>EXP(-LN(2)/25)*AV177+(1-EXP(-LN(2)/25))/(LN(2)/25)*Calculateur!AQ178*Calculateur!AS178*VLOOKUP('Données projet'!$B$10,Paramètres!$A$1:$I$89,3,0)*0.475*44/12</f>
        <v>0.83132089062857994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33.103660599674825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236.00000000000003</v>
      </c>
      <c r="BE178" s="13">
        <f>BD178*VLOOKUP('Données projet'!$B$11,Paramètres!$A$1:$I$89,3,0)*VLOOKUP('Données projet'!$B$11,Paramètres!$A$1:$I$89,5,0)</f>
        <v>206.16960000000006</v>
      </c>
      <c r="BF178" s="13">
        <f t="shared" si="167"/>
        <v>51.097652263007333</v>
      </c>
      <c r="BG178" s="20">
        <f t="shared" si="168"/>
        <v>448.07379769140448</v>
      </c>
      <c r="BH178" s="59">
        <f t="shared" si="116"/>
        <v>741.40713102473774</v>
      </c>
      <c r="BI178" s="59">
        <f ca="1">AVERAGE(OFFSET($BH$3,0,0,'Données projet'!$E$11+1,1))-AVERAGE(OFFSET($H$3,0,0,'Données projet'!$E$11+1,1))</f>
        <v>247.61330734992077</v>
      </c>
      <c r="BJ178" s="59">
        <f t="shared" si="146"/>
        <v>278.55937893537259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10.083266125830308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0</v>
      </c>
      <c r="BS178" s="22">
        <f t="shared" si="169"/>
        <v>10.083266125830308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84.655999999999935</v>
      </c>
      <c r="D179" s="11">
        <f t="shared" si="140"/>
        <v>23.271825278660558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833.12707232650212</v>
      </c>
      <c r="H179" s="66">
        <f t="shared" si="110"/>
        <v>481.3076290270003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636.99999999999977</v>
      </c>
      <c r="O179" s="13">
        <f>N179*VLOOKUP('Données projet'!$B$9,Paramètres!$A$1:$I$89,3,0)*VLOOKUP('Données projet'!$B$9,Paramètres!$A$1:$I$89,5,0)</f>
        <v>356.08299999999991</v>
      </c>
      <c r="P179" s="13">
        <f t="shared" si="141"/>
        <v>82.813805255716545</v>
      </c>
      <c r="Q179" s="20">
        <f t="shared" si="162"/>
        <v>764.41193582037283</v>
      </c>
      <c r="R179" s="59">
        <f t="shared" si="109"/>
        <v>1057.7452691537062</v>
      </c>
      <c r="S179" s="59">
        <f ca="1">AVERAGE(OFFSET($R$3,0,0,'Données projet'!$E$9+1,1))-AVERAGE(OFFSET($H$3,0,0,'Données projet'!$E$9+1,1))</f>
        <v>382.55387448074327</v>
      </c>
      <c r="T179" s="59">
        <f t="shared" si="142"/>
        <v>476.29465646955543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9.8249702208311707</v>
      </c>
      <c r="AA179" s="21">
        <f>EXP(-LN(2)/25)*AA178+(1-EXP(-LN(2)/25))/(LN(2)/25)*Calculateur!V179*Calculateur!X179*VLOOKUP('Données projet'!$B$9,Paramètres!$A$1:$I$89,3,0)*0.475*44/12</f>
        <v>0.71637023549905443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10.541340456330225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425.99999999999983</v>
      </c>
      <c r="AJ179" s="13">
        <f>AI179*VLOOKUP('Données projet'!$B$10,Paramètres!$A$1:$I$89,3,0)*VLOOKUP('Données projet'!$B$10,Paramètres!$A$1:$I$89,5,0)</f>
        <v>232.59599999999992</v>
      </c>
      <c r="AK179" s="13">
        <f t="shared" si="164"/>
        <v>56.843630236302218</v>
      </c>
      <c r="AL179" s="20">
        <f t="shared" si="165"/>
        <v>504.10735599489294</v>
      </c>
      <c r="AM179" s="59">
        <f t="shared" si="113"/>
        <v>797.4406893282262</v>
      </c>
      <c r="AN179" s="59">
        <f ca="1">AVERAGE(OFFSET($AM$3,0,0,'Données projet'!$E$10+1,1))-AVERAGE(OFFSET($H$3,0,0,'Données projet'!$E$10+1,1))</f>
        <v>417.99456559608217</v>
      </c>
      <c r="AO179" s="59">
        <f t="shared" si="144"/>
        <v>651.41353014863932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31.639498811535418</v>
      </c>
      <c r="AV179" s="21">
        <f>EXP(-LN(2)/25)*AV178+(1-EXP(-LN(2)/25))/(LN(2)/25)*Calculateur!AQ179*Calculateur!AS179*VLOOKUP('Données projet'!$B$10,Paramètres!$A$1:$I$89,3,0)*0.475*44/12</f>
        <v>0.80858837715707577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32.448087188692497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236.00000000000003</v>
      </c>
      <c r="BE179" s="13">
        <f>BD179*VLOOKUP('Données projet'!$B$11,Paramètres!$A$1:$I$89,3,0)*VLOOKUP('Données projet'!$B$11,Paramètres!$A$1:$I$89,5,0)</f>
        <v>206.16960000000006</v>
      </c>
      <c r="BF179" s="13">
        <f t="shared" si="167"/>
        <v>51.097652263007333</v>
      </c>
      <c r="BG179" s="20">
        <f t="shared" si="168"/>
        <v>448.07379769140448</v>
      </c>
      <c r="BH179" s="59">
        <f t="shared" si="116"/>
        <v>741.40713102473774</v>
      </c>
      <c r="BI179" s="59">
        <f ca="1">AVERAGE(OFFSET($BH$3,0,0,'Données projet'!$E$11+1,1))-AVERAGE(OFFSET($H$3,0,0,'Données projet'!$E$11+1,1))</f>
        <v>247.61330734992077</v>
      </c>
      <c r="BJ179" s="59">
        <f t="shared" si="146"/>
        <v>278.55937893537259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9.8855394272878314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0</v>
      </c>
      <c r="BS179" s="22">
        <f t="shared" si="169"/>
        <v>9.8855394272878314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85.136999999999929</v>
      </c>
      <c r="D180" s="11">
        <f t="shared" si="140"/>
        <v>23.388621865850421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837.74164247323097</v>
      </c>
      <c r="H180" s="66">
        <f t="shared" si="110"/>
        <v>482.34879141635599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636.99999999999977</v>
      </c>
      <c r="O180" s="13">
        <f>N180*VLOOKUP('Données projet'!$B$9,Paramètres!$A$1:$I$89,3,0)*VLOOKUP('Données projet'!$B$9,Paramètres!$A$1:$I$89,5,0)</f>
        <v>356.08299999999991</v>
      </c>
      <c r="P180" s="13">
        <f t="shared" si="141"/>
        <v>82.813805255716545</v>
      </c>
      <c r="Q180" s="20">
        <f t="shared" si="162"/>
        <v>764.41193582037283</v>
      </c>
      <c r="R180" s="59">
        <f t="shared" si="109"/>
        <v>1057.7452691537062</v>
      </c>
      <c r="S180" s="59">
        <f ca="1">AVERAGE(OFFSET($R$3,0,0,'Données projet'!$E$9+1,1))-AVERAGE(OFFSET($H$3,0,0,'Données projet'!$E$9+1,1))</f>
        <v>382.55387448074327</v>
      </c>
      <c r="T180" s="59">
        <f t="shared" si="142"/>
        <v>476.29465646955543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9.6323085474407826</v>
      </c>
      <c r="AA180" s="21">
        <f>EXP(-LN(2)/25)*AA179+(1-EXP(-LN(2)/25))/(LN(2)/25)*Calculateur!V180*Calculateur!X180*VLOOKUP('Données projet'!$B$9,Paramètres!$A$1:$I$89,3,0)*0.475*44/12</f>
        <v>0.69678105373705934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10.329089601177841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425.99999999999983</v>
      </c>
      <c r="AJ180" s="13">
        <f>AI180*VLOOKUP('Données projet'!$B$10,Paramètres!$A$1:$I$89,3,0)*VLOOKUP('Données projet'!$B$10,Paramètres!$A$1:$I$89,5,0)</f>
        <v>232.59599999999992</v>
      </c>
      <c r="AK180" s="13">
        <f t="shared" si="164"/>
        <v>56.843630236302218</v>
      </c>
      <c r="AL180" s="20">
        <f t="shared" si="165"/>
        <v>504.10735599489294</v>
      </c>
      <c r="AM180" s="59">
        <f t="shared" si="113"/>
        <v>797.4406893282262</v>
      </c>
      <c r="AN180" s="59">
        <f ca="1">AVERAGE(OFFSET($AM$3,0,0,'Données projet'!$E$10+1,1))-AVERAGE(OFFSET($H$3,0,0,'Données projet'!$E$10+1,1))</f>
        <v>417.99456559608217</v>
      </c>
      <c r="AO180" s="59">
        <f t="shared" si="144"/>
        <v>651.41353014863932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31.019067538029947</v>
      </c>
      <c r="AV180" s="21">
        <f>EXP(-LN(2)/25)*AV179+(1-EXP(-LN(2)/25))/(LN(2)/25)*Calculateur!AQ180*Calculateur!AS180*VLOOKUP('Données projet'!$B$10,Paramètres!$A$1:$I$89,3,0)*0.475*44/12</f>
        <v>0.78647748546190088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31.805545023491849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236.00000000000003</v>
      </c>
      <c r="BE180" s="13">
        <f>BD180*VLOOKUP('Données projet'!$B$11,Paramètres!$A$1:$I$89,3,0)*VLOOKUP('Données projet'!$B$11,Paramètres!$A$1:$I$89,5,0)</f>
        <v>206.16960000000006</v>
      </c>
      <c r="BF180" s="13">
        <f t="shared" si="167"/>
        <v>51.097652263007333</v>
      </c>
      <c r="BG180" s="20">
        <f t="shared" si="168"/>
        <v>448.07379769140448</v>
      </c>
      <c r="BH180" s="59">
        <f t="shared" si="116"/>
        <v>741.40713102473774</v>
      </c>
      <c r="BI180" s="59">
        <f ca="1">AVERAGE(OFFSET($BH$3,0,0,'Données projet'!$E$11+1,1))-AVERAGE(OFFSET($H$3,0,0,'Données projet'!$E$11+1,1))</f>
        <v>247.61330734992077</v>
      </c>
      <c r="BJ180" s="59">
        <f t="shared" si="146"/>
        <v>278.55937893537259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9.6916900287023964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0</v>
      </c>
      <c r="BS180" s="22">
        <f t="shared" si="169"/>
        <v>9.6916900287023964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85.617999999999924</v>
      </c>
      <c r="D181" s="11">
        <f t="shared" si="140"/>
        <v>23.505341669255241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842.35561990302233</v>
      </c>
      <c r="H181" s="66">
        <f t="shared" si="110"/>
        <v>483.38982007395271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636.99999999999977</v>
      </c>
      <c r="O181" s="13">
        <f>N181*VLOOKUP('Données projet'!$B$9,Paramètres!$A$1:$I$89,3,0)*VLOOKUP('Données projet'!$B$9,Paramètres!$A$1:$I$89,5,0)</f>
        <v>356.08299999999991</v>
      </c>
      <c r="P181" s="13">
        <f t="shared" si="141"/>
        <v>82.813805255716545</v>
      </c>
      <c r="Q181" s="20">
        <f t="shared" si="162"/>
        <v>764.41193582037283</v>
      </c>
      <c r="R181" s="59">
        <f t="shared" si="109"/>
        <v>1057.7452691537062</v>
      </c>
      <c r="S181" s="59">
        <f ca="1">AVERAGE(OFFSET($R$3,0,0,'Données projet'!$E$9+1,1))-AVERAGE(OFFSET($H$3,0,0,'Données projet'!$E$9+1,1))</f>
        <v>382.55387448074327</v>
      </c>
      <c r="T181" s="59">
        <f t="shared" si="142"/>
        <v>476.29465646955543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9.4434248519535622</v>
      </c>
      <c r="AA181" s="21">
        <f>EXP(-LN(2)/25)*AA180+(1-EXP(-LN(2)/25))/(LN(2)/25)*Calculateur!V181*Calculateur!X181*VLOOKUP('Données projet'!$B$9,Paramètres!$A$1:$I$89,3,0)*0.475*44/12</f>
        <v>0.67772753918049633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10.121152391134059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425.99999999999983</v>
      </c>
      <c r="AJ181" s="13">
        <f>AI181*VLOOKUP('Données projet'!$B$10,Paramètres!$A$1:$I$89,3,0)*VLOOKUP('Données projet'!$B$10,Paramètres!$A$1:$I$89,5,0)</f>
        <v>232.59599999999992</v>
      </c>
      <c r="AK181" s="13">
        <f t="shared" si="164"/>
        <v>56.843630236302218</v>
      </c>
      <c r="AL181" s="20">
        <f t="shared" si="165"/>
        <v>504.10735599489294</v>
      </c>
      <c r="AM181" s="59">
        <f t="shared" si="113"/>
        <v>797.4406893282262</v>
      </c>
      <c r="AN181" s="59">
        <f ca="1">AVERAGE(OFFSET($AM$3,0,0,'Données projet'!$E$10+1,1))-AVERAGE(OFFSET($H$3,0,0,'Données projet'!$E$10+1,1))</f>
        <v>417.99456559608217</v>
      </c>
      <c r="AO181" s="59">
        <f t="shared" si="144"/>
        <v>651.41353014863932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30.410802543372206</v>
      </c>
      <c r="AV181" s="21">
        <f>EXP(-LN(2)/25)*AV180+(1-EXP(-LN(2)/25))/(LN(2)/25)*Calculateur!AQ181*Calculateur!AS181*VLOOKUP('Données projet'!$B$10,Paramètres!$A$1:$I$89,3,0)*0.475*44/12</f>
        <v>0.76497121726289175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31.175773760635099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236.00000000000003</v>
      </c>
      <c r="BE181" s="13">
        <f>BD181*VLOOKUP('Données projet'!$B$11,Paramètres!$A$1:$I$89,3,0)*VLOOKUP('Données projet'!$B$11,Paramètres!$A$1:$I$89,5,0)</f>
        <v>206.16960000000006</v>
      </c>
      <c r="BF181" s="13">
        <f t="shared" si="167"/>
        <v>51.097652263007333</v>
      </c>
      <c r="BG181" s="20">
        <f t="shared" si="168"/>
        <v>448.07379769140448</v>
      </c>
      <c r="BH181" s="59">
        <f t="shared" si="116"/>
        <v>741.40713102473774</v>
      </c>
      <c r="BI181" s="59">
        <f ca="1">AVERAGE(OFFSET($BH$3,0,0,'Données projet'!$E$11+1,1))-AVERAGE(OFFSET($H$3,0,0,'Données projet'!$E$11+1,1))</f>
        <v>247.61330734992077</v>
      </c>
      <c r="BJ181" s="59">
        <f t="shared" si="146"/>
        <v>278.55937893537259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9.5016418985867634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0</v>
      </c>
      <c r="BS181" s="22">
        <f t="shared" si="169"/>
        <v>9.5016418985867634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86.098999999999918</v>
      </c>
      <c r="D182" s="11">
        <f t="shared" si="140"/>
        <v>23.621985170303667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846.96900833216796</v>
      </c>
      <c r="H182" s="66">
        <f t="shared" si="110"/>
        <v>484.43071583827873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636.99999999999977</v>
      </c>
      <c r="O182" s="13">
        <f>N182*VLOOKUP('Données projet'!$B$9,Paramètres!$A$1:$I$89,3,0)*VLOOKUP('Données projet'!$B$9,Paramètres!$A$1:$I$89,5,0)</f>
        <v>356.08299999999991</v>
      </c>
      <c r="P182" s="13">
        <f t="shared" si="141"/>
        <v>82.813805255716545</v>
      </c>
      <c r="Q182" s="20">
        <f t="shared" si="162"/>
        <v>764.41193582037283</v>
      </c>
      <c r="R182" s="59">
        <f t="shared" si="109"/>
        <v>1057.7452691537062</v>
      </c>
      <c r="S182" s="59">
        <f ca="1">AVERAGE(OFFSET($R$3,0,0,'Données projet'!$E$9+1,1))-AVERAGE(OFFSET($H$3,0,0,'Données projet'!$E$9+1,1))</f>
        <v>382.55387448074327</v>
      </c>
      <c r="T182" s="59">
        <f t="shared" si="142"/>
        <v>476.29465646955543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9.258245050527167</v>
      </c>
      <c r="AA182" s="21">
        <f>EXP(-LN(2)/25)*AA181+(1-EXP(-LN(2)/25))/(LN(2)/25)*Calculateur!V182*Calculateur!X182*VLOOKUP('Données projet'!$B$9,Paramètres!$A$1:$I$89,3,0)*0.475*44/12</f>
        <v>0.65919504398146334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9.9174400945086312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425.99999999999983</v>
      </c>
      <c r="AJ182" s="13">
        <f>AI182*VLOOKUP('Données projet'!$B$10,Paramètres!$A$1:$I$89,3,0)*VLOOKUP('Données projet'!$B$10,Paramètres!$A$1:$I$89,5,0)</f>
        <v>232.59599999999992</v>
      </c>
      <c r="AK182" s="13">
        <f t="shared" si="164"/>
        <v>56.843630236302218</v>
      </c>
      <c r="AL182" s="20">
        <f t="shared" si="165"/>
        <v>504.10735599489294</v>
      </c>
      <c r="AM182" s="59">
        <f t="shared" si="113"/>
        <v>797.4406893282262</v>
      </c>
      <c r="AN182" s="59">
        <f ca="1">AVERAGE(OFFSET($AM$3,0,0,'Données projet'!$E$10+1,1))-AVERAGE(OFFSET($H$3,0,0,'Données projet'!$E$10+1,1))</f>
        <v>417.99456559608217</v>
      </c>
      <c r="AO182" s="59">
        <f t="shared" si="144"/>
        <v>651.41353014863932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29.814465254254692</v>
      </c>
      <c r="AV182" s="21">
        <f>EXP(-LN(2)/25)*AV181+(1-EXP(-LN(2)/25))/(LN(2)/25)*Calculateur!AQ182*Calculateur!AS182*VLOOKUP('Données projet'!$B$10,Paramètres!$A$1:$I$89,3,0)*0.475*44/12</f>
        <v>0.74405303909874998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30.55851829335344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236.00000000000003</v>
      </c>
      <c r="BE182" s="13">
        <f>BD182*VLOOKUP('Données projet'!$B$11,Paramètres!$A$1:$I$89,3,0)*VLOOKUP('Données projet'!$B$11,Paramètres!$A$1:$I$89,5,0)</f>
        <v>206.16960000000006</v>
      </c>
      <c r="BF182" s="13">
        <f t="shared" si="167"/>
        <v>51.097652263007333</v>
      </c>
      <c r="BG182" s="20">
        <f t="shared" si="168"/>
        <v>448.07379769140448</v>
      </c>
      <c r="BH182" s="59">
        <f t="shared" si="116"/>
        <v>741.40713102473774</v>
      </c>
      <c r="BI182" s="59">
        <f ca="1">AVERAGE(OFFSET($BH$3,0,0,'Données projet'!$E$11+1,1))-AVERAGE(OFFSET($H$3,0,0,'Données projet'!$E$11+1,1))</f>
        <v>247.61330734992077</v>
      </c>
      <c r="BJ182" s="59">
        <f t="shared" si="146"/>
        <v>278.55937893537259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9.3153204963847838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0</v>
      </c>
      <c r="BS182" s="22">
        <f t="shared" si="169"/>
        <v>9.3153204963847838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86.579999999999913</v>
      </c>
      <c r="D183" s="11">
        <f t="shared" si="140"/>
        <v>23.738552844733956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851.58181143303352</v>
      </c>
      <c r="H183" s="66">
        <f t="shared" si="110"/>
        <v>485.47147953791148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636.99999999999977</v>
      </c>
      <c r="O183" s="13">
        <f>N183*VLOOKUP('Données projet'!$B$9,Paramètres!$A$1:$I$89,3,0)*VLOOKUP('Données projet'!$B$9,Paramètres!$A$1:$I$89,5,0)</f>
        <v>356.08299999999991</v>
      </c>
      <c r="P183" s="13">
        <f t="shared" si="141"/>
        <v>82.813805255716545</v>
      </c>
      <c r="Q183" s="20">
        <f t="shared" si="162"/>
        <v>764.41193582037283</v>
      </c>
      <c r="R183" s="59">
        <f t="shared" si="109"/>
        <v>1057.7452691537062</v>
      </c>
      <c r="S183" s="59">
        <f ca="1">AVERAGE(OFFSET($R$3,0,0,'Données projet'!$E$9+1,1))-AVERAGE(OFFSET($H$3,0,0,'Données projet'!$E$9+1,1))</f>
        <v>382.55387448074327</v>
      </c>
      <c r="T183" s="59">
        <f t="shared" si="142"/>
        <v>476.29465646955543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9.0766965120582181</v>
      </c>
      <c r="AA183" s="21">
        <f>EXP(-LN(2)/25)*AA182+(1-EXP(-LN(2)/25))/(LN(2)/25)*Calculateur!V183*Calculateur!X183*VLOOKUP('Données projet'!$B$9,Paramètres!$A$1:$I$89,3,0)*0.475*44/12</f>
        <v>0.64116932083822942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9.7178658328964467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425.99999999999983</v>
      </c>
      <c r="AJ183" s="13">
        <f>AI183*VLOOKUP('Données projet'!$B$10,Paramètres!$A$1:$I$89,3,0)*VLOOKUP('Données projet'!$B$10,Paramètres!$A$1:$I$89,5,0)</f>
        <v>232.59599999999992</v>
      </c>
      <c r="AK183" s="13">
        <f t="shared" si="164"/>
        <v>56.843630236302218</v>
      </c>
      <c r="AL183" s="20">
        <f t="shared" si="165"/>
        <v>504.10735599489294</v>
      </c>
      <c r="AM183" s="59">
        <f t="shared" si="113"/>
        <v>797.4406893282262</v>
      </c>
      <c r="AN183" s="59">
        <f ca="1">AVERAGE(OFFSET($AM$3,0,0,'Données projet'!$E$10+1,1))-AVERAGE(OFFSET($H$3,0,0,'Données projet'!$E$10+1,1))</f>
        <v>417.99456559608217</v>
      </c>
      <c r="AO183" s="59">
        <f t="shared" si="144"/>
        <v>651.41353014863932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29.22982177564694</v>
      </c>
      <c r="AV183" s="21">
        <f>EXP(-LN(2)/25)*AV182+(1-EXP(-LN(2)/25))/(LN(2)/25)*Calculateur!AQ183*Calculateur!AS183*VLOOKUP('Données projet'!$B$10,Paramètres!$A$1:$I$89,3,0)*0.475*44/12</f>
        <v>0.72370686961654584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29.953528645263486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236.00000000000003</v>
      </c>
      <c r="BE183" s="13">
        <f>BD183*VLOOKUP('Données projet'!$B$11,Paramètres!$A$1:$I$89,3,0)*VLOOKUP('Données projet'!$B$11,Paramètres!$A$1:$I$89,5,0)</f>
        <v>206.16960000000006</v>
      </c>
      <c r="BF183" s="13">
        <f t="shared" si="167"/>
        <v>51.097652263007333</v>
      </c>
      <c r="BG183" s="20">
        <f t="shared" si="168"/>
        <v>448.07379769140448</v>
      </c>
      <c r="BH183" s="59">
        <f t="shared" si="116"/>
        <v>741.40713102473774</v>
      </c>
      <c r="BI183" s="59">
        <f ca="1">AVERAGE(OFFSET($BH$3,0,0,'Données projet'!$E$11+1,1))-AVERAGE(OFFSET($H$3,0,0,'Données projet'!$E$11+1,1))</f>
        <v>247.61330734992077</v>
      </c>
      <c r="BJ183" s="59">
        <f t="shared" si="146"/>
        <v>278.55937893537259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9.1326527432351519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0</v>
      </c>
      <c r="BS183" s="22">
        <f t="shared" si="169"/>
        <v>9.1326527432351519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87.060999999999908</v>
      </c>
      <c r="D184" s="11">
        <f t="shared" si="140"/>
        <v>23.855045162692459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856.19403283481836</v>
      </c>
      <c r="H184" s="66">
        <f t="shared" si="110"/>
        <v>486.51211199168915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636.99999999999977</v>
      </c>
      <c r="O184" s="13">
        <f>N184*VLOOKUP('Données projet'!$B$9,Paramètres!$A$1:$I$89,3,0)*VLOOKUP('Données projet'!$B$9,Paramètres!$A$1:$I$89,5,0)</f>
        <v>356.08299999999991</v>
      </c>
      <c r="P184" s="13">
        <f t="shared" si="141"/>
        <v>82.813805255716545</v>
      </c>
      <c r="Q184" s="20">
        <f t="shared" si="162"/>
        <v>764.41193582037283</v>
      </c>
      <c r="R184" s="59">
        <f t="shared" si="109"/>
        <v>1057.7452691537062</v>
      </c>
      <c r="S184" s="59">
        <f ca="1">AVERAGE(OFFSET($R$3,0,0,'Données projet'!$E$9+1,1))-AVERAGE(OFFSET($H$3,0,0,'Données projet'!$E$9+1,1))</f>
        <v>382.55387448074327</v>
      </c>
      <c r="T184" s="59">
        <f t="shared" si="142"/>
        <v>476.29465646955543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8.898708029694971</v>
      </c>
      <c r="AA184" s="21">
        <f>EXP(-LN(2)/25)*AA183+(1-EXP(-LN(2)/25))/(LN(2)/25)*Calculateur!V184*Calculateur!X184*VLOOKUP('Données projet'!$B$9,Paramètres!$A$1:$I$89,3,0)*0.475*44/12</f>
        <v>0.62363651204227888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9.5223445417372492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425.99999999999983</v>
      </c>
      <c r="AJ184" s="13">
        <f>AI184*VLOOKUP('Données projet'!$B$10,Paramètres!$A$1:$I$89,3,0)*VLOOKUP('Données projet'!$B$10,Paramètres!$A$1:$I$89,5,0)</f>
        <v>232.59599999999992</v>
      </c>
      <c r="AK184" s="13">
        <f t="shared" si="164"/>
        <v>56.843630236302218</v>
      </c>
      <c r="AL184" s="20">
        <f t="shared" si="165"/>
        <v>504.10735599489294</v>
      </c>
      <c r="AM184" s="59">
        <f t="shared" si="113"/>
        <v>797.4406893282262</v>
      </c>
      <c r="AN184" s="59">
        <f ca="1">AVERAGE(OFFSET($AM$3,0,0,'Données projet'!$E$10+1,1))-AVERAGE(OFFSET($H$3,0,0,'Données projet'!$E$10+1,1))</f>
        <v>417.99456559608217</v>
      </c>
      <c r="AO184" s="59">
        <f t="shared" si="144"/>
        <v>651.41353014863932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28.656642799057376</v>
      </c>
      <c r="AV184" s="21">
        <f>EXP(-LN(2)/25)*AV183+(1-EXP(-LN(2)/25))/(LN(2)/25)*Calculateur!AQ184*Calculateur!AS184*VLOOKUP('Données projet'!$B$10,Paramètres!$A$1:$I$89,3,0)*0.475*44/12</f>
        <v>0.70391706720879121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29.360559866266168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236.00000000000003</v>
      </c>
      <c r="BE184" s="13">
        <f>BD184*VLOOKUP('Données projet'!$B$11,Paramètres!$A$1:$I$89,3,0)*VLOOKUP('Données projet'!$B$11,Paramètres!$A$1:$I$89,5,0)</f>
        <v>206.16960000000006</v>
      </c>
      <c r="BF184" s="13">
        <f t="shared" si="167"/>
        <v>51.097652263007333</v>
      </c>
      <c r="BG184" s="20">
        <f t="shared" si="168"/>
        <v>448.07379769140448</v>
      </c>
      <c r="BH184" s="59">
        <f t="shared" si="116"/>
        <v>741.40713102473774</v>
      </c>
      <c r="BI184" s="59">
        <f ca="1">AVERAGE(OFFSET($BH$3,0,0,'Données projet'!$E$11+1,1))-AVERAGE(OFFSET($H$3,0,0,'Données projet'!$E$11+1,1))</f>
        <v>247.61330734992077</v>
      </c>
      <c r="BJ184" s="59">
        <f t="shared" si="146"/>
        <v>278.55937893537259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8.9535669933084563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0</v>
      </c>
      <c r="BS184" s="22">
        <f t="shared" si="169"/>
        <v>8.9535669933084563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87.541999999999902</v>
      </c>
      <c r="D185" s="11">
        <f t="shared" si="140"/>
        <v>23.971462588829898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860.80567612430013</v>
      </c>
      <c r="H185" s="66">
        <f t="shared" si="110"/>
        <v>487.55261400887855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636.99999999999977</v>
      </c>
      <c r="O185" s="13">
        <f>N185*VLOOKUP('Données projet'!$B$9,Paramètres!$A$1:$I$89,3,0)*VLOOKUP('Données projet'!$B$9,Paramètres!$A$1:$I$89,5,0)</f>
        <v>356.08299999999991</v>
      </c>
      <c r="P185" s="13">
        <f t="shared" si="141"/>
        <v>82.813805255716545</v>
      </c>
      <c r="Q185" s="20">
        <f t="shared" si="162"/>
        <v>764.41193582037283</v>
      </c>
      <c r="R185" s="59">
        <f t="shared" si="109"/>
        <v>1057.7452691537062</v>
      </c>
      <c r="S185" s="59">
        <f ca="1">AVERAGE(OFFSET($R$3,0,0,'Données projet'!$E$9+1,1))-AVERAGE(OFFSET($H$3,0,0,'Données projet'!$E$9+1,1))</f>
        <v>382.55387448074327</v>
      </c>
      <c r="T185" s="59">
        <f t="shared" si="142"/>
        <v>476.29465646955543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8.7242097929086118</v>
      </c>
      <c r="AA185" s="21">
        <f>EXP(-LN(2)/25)*AA184+(1-EXP(-LN(2)/25))/(LN(2)/25)*Calculateur!V185*Calculateur!X185*VLOOKUP('Données projet'!$B$9,Paramètres!$A$1:$I$89,3,0)*0.475*44/12</f>
        <v>0.60658313882486392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9.330792931733475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425.99999999999983</v>
      </c>
      <c r="AJ185" s="13">
        <f>AI185*VLOOKUP('Données projet'!$B$10,Paramètres!$A$1:$I$89,3,0)*VLOOKUP('Données projet'!$B$10,Paramètres!$A$1:$I$89,5,0)</f>
        <v>232.59599999999992</v>
      </c>
      <c r="AK185" s="13">
        <f t="shared" si="164"/>
        <v>56.843630236302218</v>
      </c>
      <c r="AL185" s="20">
        <f t="shared" si="165"/>
        <v>504.10735599489294</v>
      </c>
      <c r="AM185" s="59">
        <f t="shared" si="113"/>
        <v>797.4406893282262</v>
      </c>
      <c r="AN185" s="59">
        <f ca="1">AVERAGE(OFFSET($AM$3,0,0,'Données projet'!$E$10+1,1))-AVERAGE(OFFSET($H$3,0,0,'Données projet'!$E$10+1,1))</f>
        <v>417.99456559608217</v>
      </c>
      <c r="AO185" s="59">
        <f t="shared" si="144"/>
        <v>651.41353014863932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28.094703512594076</v>
      </c>
      <c r="AV185" s="21">
        <f>EXP(-LN(2)/25)*AV184+(1-EXP(-LN(2)/25))/(LN(2)/25)*Calculateur!AQ185*Calculateur!AS185*VLOOKUP('Données projet'!$B$10,Paramètres!$A$1:$I$89,3,0)*0.475*44/12</f>
        <v>0.68466841798857703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28.779371930582652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236.00000000000003</v>
      </c>
      <c r="BE185" s="13">
        <f>BD185*VLOOKUP('Données projet'!$B$11,Paramètres!$A$1:$I$89,3,0)*VLOOKUP('Données projet'!$B$11,Paramètres!$A$1:$I$89,5,0)</f>
        <v>206.16960000000006</v>
      </c>
      <c r="BF185" s="13">
        <f t="shared" si="167"/>
        <v>51.097652263007333</v>
      </c>
      <c r="BG185" s="20">
        <f t="shared" si="168"/>
        <v>448.07379769140448</v>
      </c>
      <c r="BH185" s="59">
        <f t="shared" si="116"/>
        <v>741.40713102473774</v>
      </c>
      <c r="BI185" s="59">
        <f ca="1">AVERAGE(OFFSET($BH$3,0,0,'Données projet'!$E$11+1,1))-AVERAGE(OFFSET($H$3,0,0,'Données projet'!$E$11+1,1))</f>
        <v>247.61330734992077</v>
      </c>
      <c r="BJ185" s="59">
        <f t="shared" si="146"/>
        <v>278.55937893537259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8.7779930057063016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0</v>
      </c>
      <c r="BS185" s="22">
        <f t="shared" si="169"/>
        <v>8.7779930057063016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88.022999999999897</v>
      </c>
      <c r="D186" s="11">
        <f t="shared" si="140"/>
        <v>24.087805582395383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865.41674484656005</v>
      </c>
      <c r="H186" s="66">
        <f t="shared" si="110"/>
        <v>488.59298638933842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636.99999999999977</v>
      </c>
      <c r="O186" s="13">
        <f>N186*VLOOKUP('Données projet'!$B$9,Paramètres!$A$1:$I$89,3,0)*VLOOKUP('Données projet'!$B$9,Paramètres!$A$1:$I$89,5,0)</f>
        <v>356.08299999999991</v>
      </c>
      <c r="P186" s="13">
        <f t="shared" si="141"/>
        <v>82.813805255716545</v>
      </c>
      <c r="Q186" s="20">
        <f t="shared" si="162"/>
        <v>764.41193582037283</v>
      </c>
      <c r="R186" s="59">
        <f t="shared" si="109"/>
        <v>1057.7452691537062</v>
      </c>
      <c r="S186" s="59">
        <f ca="1">AVERAGE(OFFSET($R$3,0,0,'Données projet'!$E$9+1,1))-AVERAGE(OFFSET($H$3,0,0,'Données projet'!$E$9+1,1))</f>
        <v>382.55387448074327</v>
      </c>
      <c r="T186" s="59">
        <f t="shared" si="142"/>
        <v>476.29465646955543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8.5531333601122181</v>
      </c>
      <c r="AA186" s="21">
        <f>EXP(-LN(2)/25)*AA185+(1-EXP(-LN(2)/25))/(LN(2)/25)*Calculateur!V186*Calculateur!X186*VLOOKUP('Données projet'!$B$9,Paramètres!$A$1:$I$89,3,0)*0.475*44/12</f>
        <v>0.58999609099487715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9.1431294511070949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425.99999999999983</v>
      </c>
      <c r="AJ186" s="13">
        <f>AI186*VLOOKUP('Données projet'!$B$10,Paramètres!$A$1:$I$89,3,0)*VLOOKUP('Données projet'!$B$10,Paramètres!$A$1:$I$89,5,0)</f>
        <v>232.59599999999992</v>
      </c>
      <c r="AK186" s="13">
        <f t="shared" si="164"/>
        <v>56.843630236302218</v>
      </c>
      <c r="AL186" s="20">
        <f t="shared" si="165"/>
        <v>504.10735599489294</v>
      </c>
      <c r="AM186" s="59">
        <f t="shared" si="113"/>
        <v>797.4406893282262</v>
      </c>
      <c r="AN186" s="59">
        <f ca="1">AVERAGE(OFFSET($AM$3,0,0,'Données projet'!$E$10+1,1))-AVERAGE(OFFSET($H$3,0,0,'Données projet'!$E$10+1,1))</f>
        <v>417.99456559608217</v>
      </c>
      <c r="AO186" s="59">
        <f t="shared" si="144"/>
        <v>651.41353014863932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27.543783512789201</v>
      </c>
      <c r="AV186" s="21">
        <f>EXP(-LN(2)/25)*AV185+(1-EXP(-LN(2)/25))/(LN(2)/25)*Calculateur!AQ186*Calculateur!AS186*VLOOKUP('Données projet'!$B$10,Paramètres!$A$1:$I$89,3,0)*0.475*44/12</f>
        <v>0.66594612409353215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28.209729636882734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236.00000000000003</v>
      </c>
      <c r="BE186" s="13">
        <f>BD186*VLOOKUP('Données projet'!$B$11,Paramètres!$A$1:$I$89,3,0)*VLOOKUP('Données projet'!$B$11,Paramètres!$A$1:$I$89,5,0)</f>
        <v>206.16960000000006</v>
      </c>
      <c r="BF186" s="13">
        <f t="shared" si="167"/>
        <v>51.097652263007333</v>
      </c>
      <c r="BG186" s="20">
        <f t="shared" si="168"/>
        <v>448.07379769140448</v>
      </c>
      <c r="BH186" s="59">
        <f t="shared" si="116"/>
        <v>741.40713102473774</v>
      </c>
      <c r="BI186" s="59">
        <f ca="1">AVERAGE(OFFSET($BH$3,0,0,'Données projet'!$E$11+1,1))-AVERAGE(OFFSET($H$3,0,0,'Données projet'!$E$11+1,1))</f>
        <v>247.61330734992077</v>
      </c>
      <c r="BJ186" s="59">
        <f t="shared" si="146"/>
        <v>278.55937893537259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8.6058619169114667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0</v>
      </c>
      <c r="BS186" s="22">
        <f t="shared" si="169"/>
        <v>8.6058619169114667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87" s="11">
        <f t="shared" si="140"/>
        <v>24.204074597328436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870.02724250569247</v>
      </c>
      <c r="H187" s="66">
        <f t="shared" si="110"/>
        <v>489.63322992368012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636.99999999999977</v>
      </c>
      <c r="O187" s="13">
        <f>N187*VLOOKUP('Données projet'!$B$9,Paramètres!$A$1:$I$89,3,0)*VLOOKUP('Données projet'!$B$9,Paramètres!$A$1:$I$89,5,0)</f>
        <v>356.08299999999991</v>
      </c>
      <c r="P187" s="13">
        <f t="shared" si="141"/>
        <v>82.813805255716545</v>
      </c>
      <c r="Q187" s="20">
        <f t="shared" si="162"/>
        <v>764.41193582037283</v>
      </c>
      <c r="R187" s="59">
        <f t="shared" si="109"/>
        <v>1057.7452691537062</v>
      </c>
      <c r="S187" s="59">
        <f ca="1">AVERAGE(OFFSET($R$3,0,0,'Données projet'!$E$9+1,1))-AVERAGE(OFFSET($H$3,0,0,'Données projet'!$E$9+1,1))</f>
        <v>382.55387448074327</v>
      </c>
      <c r="T187" s="59">
        <f t="shared" si="142"/>
        <v>476.29465646955543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8.3854116318166412</v>
      </c>
      <c r="AA187" s="21">
        <f>EXP(-LN(2)/25)*AA186+(1-EXP(-LN(2)/25))/(LN(2)/25)*Calculateur!V187*Calculateur!X187*VLOOKUP('Données projet'!$B$9,Paramètres!$A$1:$I$89,3,0)*0.475*44/12</f>
        <v>0.57386261686007622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8.9592742486767172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425.99999999999983</v>
      </c>
      <c r="AJ187" s="13">
        <f>AI187*VLOOKUP('Données projet'!$B$10,Paramètres!$A$1:$I$89,3,0)*VLOOKUP('Données projet'!$B$10,Paramètres!$A$1:$I$89,5,0)</f>
        <v>232.59599999999992</v>
      </c>
      <c r="AK187" s="13">
        <f t="shared" si="164"/>
        <v>56.843630236302218</v>
      </c>
      <c r="AL187" s="20">
        <f t="shared" si="165"/>
        <v>504.10735599489294</v>
      </c>
      <c r="AM187" s="59">
        <f t="shared" si="113"/>
        <v>797.4406893282262</v>
      </c>
      <c r="AN187" s="59">
        <f ca="1">AVERAGE(OFFSET($AM$3,0,0,'Données projet'!$E$10+1,1))-AVERAGE(OFFSET($H$3,0,0,'Données projet'!$E$10+1,1))</f>
        <v>417.99456559608217</v>
      </c>
      <c r="AO187" s="59">
        <f t="shared" si="144"/>
        <v>651.41353014863932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27.003666718152481</v>
      </c>
      <c r="AV187" s="21">
        <f>EXP(-LN(2)/25)*AV186+(1-EXP(-LN(2)/25))/(LN(2)/25)*Calculateur!AQ187*Calculateur!AS187*VLOOKUP('Données projet'!$B$10,Paramètres!$A$1:$I$89,3,0)*0.475*44/12</f>
        <v>0.64773579230960987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27.651402510462091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236.00000000000003</v>
      </c>
      <c r="BE187" s="13">
        <f>BD187*VLOOKUP('Données projet'!$B$11,Paramètres!$A$1:$I$89,3,0)*VLOOKUP('Données projet'!$B$11,Paramètres!$A$1:$I$89,5,0)</f>
        <v>206.16960000000006</v>
      </c>
      <c r="BF187" s="13">
        <f t="shared" si="167"/>
        <v>51.097652263007333</v>
      </c>
      <c r="BG187" s="20">
        <f t="shared" si="168"/>
        <v>448.07379769140448</v>
      </c>
      <c r="BH187" s="59">
        <f t="shared" si="116"/>
        <v>741.40713102473774</v>
      </c>
      <c r="BI187" s="59">
        <f ca="1">AVERAGE(OFFSET($BH$3,0,0,'Données projet'!$E$11+1,1))-AVERAGE(OFFSET($H$3,0,0,'Données projet'!$E$11+1,1))</f>
        <v>247.61330734992077</v>
      </c>
      <c r="BJ187" s="59">
        <f t="shared" si="146"/>
        <v>278.55937893537259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8.4371062137782999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0</v>
      </c>
      <c r="BS187" s="22">
        <f t="shared" si="169"/>
        <v>8.4371062137782999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88.984999999999886</v>
      </c>
      <c r="D188" s="11">
        <f t="shared" si="140"/>
        <v>24.320270082348852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874.6371725654991</v>
      </c>
      <c r="H188" s="66">
        <f t="shared" si="110"/>
        <v>490.67334539342403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636.99999999999977</v>
      </c>
      <c r="O188" s="13">
        <f>N188*VLOOKUP('Données projet'!$B$9,Paramètres!$A$1:$I$89,3,0)*VLOOKUP('Données projet'!$B$9,Paramètres!$A$1:$I$89,5,0)</f>
        <v>356.08299999999991</v>
      </c>
      <c r="P188" s="13">
        <f t="shared" si="141"/>
        <v>82.813805255716545</v>
      </c>
      <c r="Q188" s="20">
        <f t="shared" si="162"/>
        <v>764.41193582037283</v>
      </c>
      <c r="R188" s="59">
        <f t="shared" si="109"/>
        <v>1057.7452691537062</v>
      </c>
      <c r="S188" s="59">
        <f ca="1">AVERAGE(OFFSET($R$3,0,0,'Données projet'!$E$9+1,1))-AVERAGE(OFFSET($H$3,0,0,'Données projet'!$E$9+1,1))</f>
        <v>382.55387448074327</v>
      </c>
      <c r="T188" s="59">
        <f t="shared" si="142"/>
        <v>476.29465646955543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8.2209788243127875</v>
      </c>
      <c r="AA188" s="21">
        <f>EXP(-LN(2)/25)*AA187+(1-EXP(-LN(2)/25))/(LN(2)/25)*Calculateur!V188*Calculateur!X188*VLOOKUP('Données projet'!$B$9,Paramètres!$A$1:$I$89,3,0)*0.475*44/12</f>
        <v>0.55817031342391399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8.7791491377367024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425.99999999999983</v>
      </c>
      <c r="AJ188" s="13">
        <f>AI188*VLOOKUP('Données projet'!$B$10,Paramètres!$A$1:$I$89,3,0)*VLOOKUP('Données projet'!$B$10,Paramètres!$A$1:$I$89,5,0)</f>
        <v>232.59599999999992</v>
      </c>
      <c r="AK188" s="13">
        <f t="shared" si="164"/>
        <v>56.843630236302218</v>
      </c>
      <c r="AL188" s="20">
        <f t="shared" si="165"/>
        <v>504.10735599489294</v>
      </c>
      <c r="AM188" s="59">
        <f t="shared" si="113"/>
        <v>797.4406893282262</v>
      </c>
      <c r="AN188" s="59">
        <f ca="1">AVERAGE(OFFSET($AM$3,0,0,'Données projet'!$E$10+1,1))-AVERAGE(OFFSET($H$3,0,0,'Données projet'!$E$10+1,1))</f>
        <v>417.99456559608217</v>
      </c>
      <c r="AO188" s="59">
        <f t="shared" si="144"/>
        <v>651.41353014863932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26.474141284419872</v>
      </c>
      <c r="AV188" s="21">
        <f>EXP(-LN(2)/25)*AV187+(1-EXP(-LN(2)/25))/(LN(2)/25)*Calculateur!AQ188*Calculateur!AS188*VLOOKUP('Données projet'!$B$10,Paramètres!$A$1:$I$89,3,0)*0.475*44/12</f>
        <v>0.6300234230059587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27.104164707425831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236.00000000000003</v>
      </c>
      <c r="BE188" s="13">
        <f>BD188*VLOOKUP('Données projet'!$B$11,Paramètres!$A$1:$I$89,3,0)*VLOOKUP('Données projet'!$B$11,Paramètres!$A$1:$I$89,5,0)</f>
        <v>206.16960000000006</v>
      </c>
      <c r="BF188" s="13">
        <f t="shared" si="167"/>
        <v>51.097652263007333</v>
      </c>
      <c r="BG188" s="20">
        <f t="shared" si="168"/>
        <v>448.07379769140448</v>
      </c>
      <c r="BH188" s="59">
        <f t="shared" si="116"/>
        <v>741.40713102473774</v>
      </c>
      <c r="BI188" s="59">
        <f ca="1">AVERAGE(OFFSET($BH$3,0,0,'Données projet'!$E$11+1,1))-AVERAGE(OFFSET($H$3,0,0,'Données projet'!$E$11+1,1))</f>
        <v>247.61330734992077</v>
      </c>
      <c r="BJ188" s="59">
        <f t="shared" si="146"/>
        <v>278.55937893537259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8.2716597070527609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0</v>
      </c>
      <c r="BS188" s="22">
        <f t="shared" si="169"/>
        <v>8.2716597070527609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89.46599999999988</v>
      </c>
      <c r="D189" s="11">
        <f t="shared" si="140"/>
        <v>24.436392481044596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879.24653845016792</v>
      </c>
      <c r="H189" s="66">
        <f t="shared" si="110"/>
        <v>491.71333357115242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636.99999999999977</v>
      </c>
      <c r="O189" s="13">
        <f>N189*VLOOKUP('Données projet'!$B$9,Paramètres!$A$1:$I$89,3,0)*VLOOKUP('Données projet'!$B$9,Paramètres!$A$1:$I$89,5,0)</f>
        <v>356.08299999999991</v>
      </c>
      <c r="P189" s="13">
        <f t="shared" si="141"/>
        <v>82.813805255716545</v>
      </c>
      <c r="Q189" s="20">
        <f t="shared" si="162"/>
        <v>764.41193582037283</v>
      </c>
      <c r="R189" s="59">
        <f t="shared" si="109"/>
        <v>1057.7452691537062</v>
      </c>
      <c r="S189" s="59">
        <f ca="1">AVERAGE(OFFSET($R$3,0,0,'Données projet'!$E$9+1,1))-AVERAGE(OFFSET($H$3,0,0,'Données projet'!$E$9+1,1))</f>
        <v>382.55387448074327</v>
      </c>
      <c r="T189" s="59">
        <f t="shared" si="142"/>
        <v>476.29465646955543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8.0597704438699758</v>
      </c>
      <c r="AA189" s="21">
        <f>EXP(-LN(2)/25)*AA188+(1-EXP(-LN(2)/25))/(LN(2)/25)*Calculateur!V189*Calculateur!X189*VLOOKUP('Données projet'!$B$9,Paramètres!$A$1:$I$89,3,0)*0.475*44/12</f>
        <v>0.54290711685043602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8.6026775607204122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425.99999999999983</v>
      </c>
      <c r="AJ189" s="13">
        <f>AI189*VLOOKUP('Données projet'!$B$10,Paramètres!$A$1:$I$89,3,0)*VLOOKUP('Données projet'!$B$10,Paramètres!$A$1:$I$89,5,0)</f>
        <v>232.59599999999992</v>
      </c>
      <c r="AK189" s="13">
        <f t="shared" si="164"/>
        <v>56.843630236302218</v>
      </c>
      <c r="AL189" s="20">
        <f t="shared" si="165"/>
        <v>504.10735599489294</v>
      </c>
      <c r="AM189" s="59">
        <f t="shared" si="113"/>
        <v>797.4406893282262</v>
      </c>
      <c r="AN189" s="59">
        <f ca="1">AVERAGE(OFFSET($AM$3,0,0,'Données projet'!$E$10+1,1))-AVERAGE(OFFSET($H$3,0,0,'Données projet'!$E$10+1,1))</f>
        <v>417.99456559608217</v>
      </c>
      <c r="AO189" s="59">
        <f t="shared" si="144"/>
        <v>651.41353014863932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25.954999521464135</v>
      </c>
      <c r="AV189" s="21">
        <f>EXP(-LN(2)/25)*AV188+(1-EXP(-LN(2)/25))/(LN(2)/25)*Calculateur!AQ189*Calculateur!AS189*VLOOKUP('Données projet'!$B$10,Paramètres!$A$1:$I$89,3,0)*0.475*44/12</f>
        <v>0.61279539937236893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26.567794920836505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236.00000000000003</v>
      </c>
      <c r="BE189" s="13">
        <f>BD189*VLOOKUP('Données projet'!$B$11,Paramètres!$A$1:$I$89,3,0)*VLOOKUP('Données projet'!$B$11,Paramètres!$A$1:$I$89,5,0)</f>
        <v>206.16960000000006</v>
      </c>
      <c r="BF189" s="13">
        <f t="shared" si="167"/>
        <v>51.097652263007333</v>
      </c>
      <c r="BG189" s="20">
        <f t="shared" si="168"/>
        <v>448.07379769140448</v>
      </c>
      <c r="BH189" s="59">
        <f t="shared" si="116"/>
        <v>741.40713102473774</v>
      </c>
      <c r="BI189" s="59">
        <f ca="1">AVERAGE(OFFSET($BH$3,0,0,'Données projet'!$E$11+1,1))-AVERAGE(OFFSET($H$3,0,0,'Données projet'!$E$11+1,1))</f>
        <v>247.61330734992077</v>
      </c>
      <c r="BJ189" s="59">
        <f t="shared" si="146"/>
        <v>278.55937893537259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8.1094575054117044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0</v>
      </c>
      <c r="BS189" s="22">
        <f t="shared" si="169"/>
        <v>8.1094575054117044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89.946999999999875</v>
      </c>
      <c r="D190" s="11">
        <f t="shared" si="140"/>
        <v>24.552442231957805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883.85534354493655</v>
      </c>
      <c r="H190" s="66">
        <f t="shared" si="110"/>
        <v>492.75319522065962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636.99999999999977</v>
      </c>
      <c r="O190" s="13">
        <f>N190*VLOOKUP('Données projet'!$B$9,Paramètres!$A$1:$I$89,3,0)*VLOOKUP('Données projet'!$B$9,Paramètres!$A$1:$I$89,5,0)</f>
        <v>356.08299999999991</v>
      </c>
      <c r="P190" s="13">
        <f t="shared" si="141"/>
        <v>82.813805255716545</v>
      </c>
      <c r="Q190" s="20">
        <f t="shared" si="162"/>
        <v>764.41193582037283</v>
      </c>
      <c r="R190" s="59">
        <f t="shared" si="109"/>
        <v>1057.7452691537062</v>
      </c>
      <c r="S190" s="59">
        <f ca="1">AVERAGE(OFFSET($R$3,0,0,'Données projet'!$E$9+1,1))-AVERAGE(OFFSET($H$3,0,0,'Données projet'!$E$9+1,1))</f>
        <v>382.55387448074327</v>
      </c>
      <c r="T190" s="59">
        <f t="shared" si="142"/>
        <v>476.29465646955543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7.9017232614402442</v>
      </c>
      <c r="AA190" s="21">
        <f>EXP(-LN(2)/25)*AA189+(1-EXP(-LN(2)/25))/(LN(2)/25)*Calculateur!V190*Calculateur!X190*VLOOKUP('Données projet'!$B$9,Paramètres!$A$1:$I$89,3,0)*0.475*44/12</f>
        <v>0.52806129318991646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8.4297845546301602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425.99999999999983</v>
      </c>
      <c r="AJ190" s="13">
        <f>AI190*VLOOKUP('Données projet'!$B$10,Paramètres!$A$1:$I$89,3,0)*VLOOKUP('Données projet'!$B$10,Paramètres!$A$1:$I$89,5,0)</f>
        <v>232.59599999999992</v>
      </c>
      <c r="AK190" s="13">
        <f t="shared" si="164"/>
        <v>56.843630236302218</v>
      </c>
      <c r="AL190" s="20">
        <f t="shared" si="165"/>
        <v>504.10735599489294</v>
      </c>
      <c r="AM190" s="59">
        <f t="shared" si="113"/>
        <v>797.4406893282262</v>
      </c>
      <c r="AN190" s="59">
        <f ca="1">AVERAGE(OFFSET($AM$3,0,0,'Données projet'!$E$10+1,1))-AVERAGE(OFFSET($H$3,0,0,'Données projet'!$E$10+1,1))</f>
        <v>417.99456559608217</v>
      </c>
      <c r="AO190" s="59">
        <f t="shared" si="144"/>
        <v>651.41353014863932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25.446037811834753</v>
      </c>
      <c r="AV190" s="21">
        <f>EXP(-LN(2)/25)*AV189+(1-EXP(-LN(2)/25))/(LN(2)/25)*Calculateur!AQ190*Calculateur!AS190*VLOOKUP('Données projet'!$B$10,Paramètres!$A$1:$I$89,3,0)*0.475*44/12</f>
        <v>0.59603847695102197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26.042076288785776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236.00000000000003</v>
      </c>
      <c r="BE190" s="13">
        <f>BD190*VLOOKUP('Données projet'!$B$11,Paramètres!$A$1:$I$89,3,0)*VLOOKUP('Données projet'!$B$11,Paramètres!$A$1:$I$89,5,0)</f>
        <v>206.16960000000006</v>
      </c>
      <c r="BF190" s="13">
        <f t="shared" si="167"/>
        <v>51.097652263007333</v>
      </c>
      <c r="BG190" s="20">
        <f t="shared" si="168"/>
        <v>448.07379769140448</v>
      </c>
      <c r="BH190" s="59">
        <f t="shared" si="116"/>
        <v>741.40713102473774</v>
      </c>
      <c r="BI190" s="59">
        <f ca="1">AVERAGE(OFFSET($BH$3,0,0,'Données projet'!$E$11+1,1))-AVERAGE(OFFSET($H$3,0,0,'Données projet'!$E$11+1,1))</f>
        <v>247.61330734992077</v>
      </c>
      <c r="BJ190" s="59">
        <f t="shared" si="146"/>
        <v>278.55937893537259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7.9504359900112549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0</v>
      </c>
      <c r="BS190" s="22">
        <f t="shared" si="169"/>
        <v>7.9504359900112549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90.427999999999869</v>
      </c>
      <c r="D191" s="11">
        <f t="shared" si="140"/>
        <v>24.668419768668819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888.46359119674082</v>
      </c>
      <c r="H191" s="66">
        <f t="shared" si="110"/>
        <v>493.79293109709795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636.99999999999977</v>
      </c>
      <c r="O191" s="13">
        <f>N191*VLOOKUP('Données projet'!$B$9,Paramètres!$A$1:$I$89,3,0)*VLOOKUP('Données projet'!$B$9,Paramètres!$A$1:$I$89,5,0)</f>
        <v>356.08299999999991</v>
      </c>
      <c r="P191" s="13">
        <f t="shared" si="141"/>
        <v>82.813805255716545</v>
      </c>
      <c r="Q191" s="20">
        <f t="shared" si="162"/>
        <v>764.41193582037283</v>
      </c>
      <c r="R191" s="59">
        <f t="shared" si="109"/>
        <v>1057.7452691537062</v>
      </c>
      <c r="S191" s="59">
        <f ca="1">AVERAGE(OFFSET($R$3,0,0,'Données projet'!$E$9+1,1))-AVERAGE(OFFSET($H$3,0,0,'Données projet'!$E$9+1,1))</f>
        <v>382.55387448074327</v>
      </c>
      <c r="T191" s="59">
        <f t="shared" si="142"/>
        <v>476.29465646955543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7.7467752878586973</v>
      </c>
      <c r="AA191" s="21">
        <f>EXP(-LN(2)/25)*AA190+(1-EXP(-LN(2)/25))/(LN(2)/25)*Calculateur!V191*Calculateur!X191*VLOOKUP('Données projet'!$B$9,Paramètres!$A$1:$I$89,3,0)*0.475*44/12</f>
        <v>0.51362142935810173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8.2603967172167998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425.99999999999983</v>
      </c>
      <c r="AJ191" s="13">
        <f>AI191*VLOOKUP('Données projet'!$B$10,Paramètres!$A$1:$I$89,3,0)*VLOOKUP('Données projet'!$B$10,Paramètres!$A$1:$I$89,5,0)</f>
        <v>232.59599999999992</v>
      </c>
      <c r="AK191" s="13">
        <f t="shared" si="164"/>
        <v>56.843630236302218</v>
      </c>
      <c r="AL191" s="20">
        <f t="shared" si="165"/>
        <v>504.10735599489294</v>
      </c>
      <c r="AM191" s="59">
        <f t="shared" si="113"/>
        <v>797.4406893282262</v>
      </c>
      <c r="AN191" s="59">
        <f ca="1">AVERAGE(OFFSET($AM$3,0,0,'Données projet'!$E$10+1,1))-AVERAGE(OFFSET($H$3,0,0,'Données projet'!$E$10+1,1))</f>
        <v>417.99456559608217</v>
      </c>
      <c r="AO191" s="59">
        <f t="shared" si="144"/>
        <v>651.41353014863932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24.94705653089521</v>
      </c>
      <c r="AV191" s="21">
        <f>EXP(-LN(2)/25)*AV190+(1-EXP(-LN(2)/25))/(LN(2)/25)*Calculateur!AQ191*Calculateur!AS191*VLOOKUP('Données projet'!$B$10,Paramètres!$A$1:$I$89,3,0)*0.475*44/12</f>
        <v>0.57973977345449501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25.526796304349705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236.00000000000003</v>
      </c>
      <c r="BE191" s="13">
        <f>BD191*VLOOKUP('Données projet'!$B$11,Paramètres!$A$1:$I$89,3,0)*VLOOKUP('Données projet'!$B$11,Paramètres!$A$1:$I$89,5,0)</f>
        <v>206.16960000000006</v>
      </c>
      <c r="BF191" s="13">
        <f t="shared" si="167"/>
        <v>51.097652263007333</v>
      </c>
      <c r="BG191" s="20">
        <f t="shared" si="168"/>
        <v>448.07379769140448</v>
      </c>
      <c r="BH191" s="59">
        <f t="shared" si="116"/>
        <v>741.40713102473774</v>
      </c>
      <c r="BI191" s="59">
        <f ca="1">AVERAGE(OFFSET($BH$3,0,0,'Données projet'!$E$11+1,1))-AVERAGE(OFFSET($H$3,0,0,'Données projet'!$E$11+1,1))</f>
        <v>247.61330734992077</v>
      </c>
      <c r="BJ191" s="59">
        <f t="shared" si="146"/>
        <v>278.55937893537259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7.7945327895342604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0</v>
      </c>
      <c r="BS191" s="22">
        <f t="shared" si="169"/>
        <v>7.7945327895342604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90.908999999999864</v>
      </c>
      <c r="D192" s="11">
        <f t="shared" si="140"/>
        <v>24.784325519878397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893.07128471484975</v>
      </c>
      <c r="H192" s="66">
        <f t="shared" si="110"/>
        <v>494.83254194712129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636.99999999999977</v>
      </c>
      <c r="O192" s="13">
        <f>N192*VLOOKUP('Données projet'!$B$9,Paramètres!$A$1:$I$89,3,0)*VLOOKUP('Données projet'!$B$9,Paramètres!$A$1:$I$89,5,0)</f>
        <v>356.08299999999991</v>
      </c>
      <c r="P192" s="13">
        <f t="shared" si="141"/>
        <v>82.813805255716545</v>
      </c>
      <c r="Q192" s="20">
        <f t="shared" si="162"/>
        <v>764.41193582037283</v>
      </c>
      <c r="R192" s="59">
        <f t="shared" si="109"/>
        <v>1057.7452691537062</v>
      </c>
      <c r="S192" s="59">
        <f ca="1">AVERAGE(OFFSET($R$3,0,0,'Données projet'!$E$9+1,1))-AVERAGE(OFFSET($H$3,0,0,'Données projet'!$E$9+1,1))</f>
        <v>382.55387448074327</v>
      </c>
      <c r="T192" s="59">
        <f t="shared" si="142"/>
        <v>476.29465646955543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7.5948657495301521</v>
      </c>
      <c r="AA192" s="21">
        <f>EXP(-LN(2)/25)*AA191+(1-EXP(-LN(2)/25))/(LN(2)/25)*Calculateur!V192*Calculateur!X192*VLOOKUP('Données projet'!$B$9,Paramètres!$A$1:$I$89,3,0)*0.475*44/12</f>
        <v>0.49957642436212735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8.0944421738922792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425.99999999999983</v>
      </c>
      <c r="AJ192" s="13">
        <f>AI192*VLOOKUP('Données projet'!$B$10,Paramètres!$A$1:$I$89,3,0)*VLOOKUP('Données projet'!$B$10,Paramètres!$A$1:$I$89,5,0)</f>
        <v>232.59599999999992</v>
      </c>
      <c r="AK192" s="13">
        <f t="shared" si="164"/>
        <v>56.843630236302218</v>
      </c>
      <c r="AL192" s="20">
        <f t="shared" si="165"/>
        <v>504.10735599489294</v>
      </c>
      <c r="AM192" s="59">
        <f t="shared" si="113"/>
        <v>797.4406893282262</v>
      </c>
      <c r="AN192" s="59">
        <f ca="1">AVERAGE(OFFSET($AM$3,0,0,'Données projet'!$E$10+1,1))-AVERAGE(OFFSET($H$3,0,0,'Données projet'!$E$10+1,1))</f>
        <v>417.99456559608217</v>
      </c>
      <c r="AO192" s="59">
        <f t="shared" si="144"/>
        <v>651.41353014863932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24.457859968526364</v>
      </c>
      <c r="AV192" s="21">
        <f>EXP(-LN(2)/25)*AV191+(1-EXP(-LN(2)/25))/(LN(2)/25)*Calculateur!AQ192*Calculateur!AS192*VLOOKUP('Données projet'!$B$10,Paramètres!$A$1:$I$89,3,0)*0.475*44/12</f>
        <v>0.56388675886219219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25.021746727388557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236.00000000000003</v>
      </c>
      <c r="BE192" s="13">
        <f>BD192*VLOOKUP('Données projet'!$B$11,Paramètres!$A$1:$I$89,3,0)*VLOOKUP('Données projet'!$B$11,Paramètres!$A$1:$I$89,5,0)</f>
        <v>206.16960000000006</v>
      </c>
      <c r="BF192" s="13">
        <f t="shared" si="167"/>
        <v>51.097652263007333</v>
      </c>
      <c r="BG192" s="20">
        <f t="shared" si="168"/>
        <v>448.07379769140448</v>
      </c>
      <c r="BH192" s="59">
        <f t="shared" si="116"/>
        <v>741.40713102473774</v>
      </c>
      <c r="BI192" s="59">
        <f ca="1">AVERAGE(OFFSET($BH$3,0,0,'Données projet'!$E$11+1,1))-AVERAGE(OFFSET($H$3,0,0,'Données projet'!$E$11+1,1))</f>
        <v>247.61330734992077</v>
      </c>
      <c r="BJ192" s="59">
        <f t="shared" si="146"/>
        <v>278.55937893537259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7.6416867557270578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0</v>
      </c>
      <c r="BS192" s="22">
        <f t="shared" si="169"/>
        <v>7.6416867557270578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91.389999999999858</v>
      </c>
      <c r="D193" s="11">
        <f t="shared" si="140"/>
        <v>24.900159909488174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897.67842737148669</v>
      </c>
      <c r="H193" s="66">
        <f t="shared" si="110"/>
        <v>495.87202850902497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636.99999999999977</v>
      </c>
      <c r="O193" s="13">
        <f>N193*VLOOKUP('Données projet'!$B$9,Paramètres!$A$1:$I$89,3,0)*VLOOKUP('Données projet'!$B$9,Paramètres!$A$1:$I$89,5,0)</f>
        <v>356.08299999999991</v>
      </c>
      <c r="P193" s="13">
        <f t="shared" si="141"/>
        <v>82.813805255716545</v>
      </c>
      <c r="Q193" s="20">
        <f t="shared" si="162"/>
        <v>764.41193582037283</v>
      </c>
      <c r="R193" s="59">
        <f t="shared" si="109"/>
        <v>1057.7452691537062</v>
      </c>
      <c r="S193" s="59">
        <f ca="1">AVERAGE(OFFSET($R$3,0,0,'Données projet'!$E$9+1,1))-AVERAGE(OFFSET($H$3,0,0,'Données projet'!$E$9+1,1))</f>
        <v>382.55387448074327</v>
      </c>
      <c r="T193" s="59">
        <f t="shared" si="142"/>
        <v>476.29465646955543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7.4459350645925602</v>
      </c>
      <c r="AA193" s="21">
        <f>EXP(-LN(2)/25)*AA192+(1-EXP(-LN(2)/25))/(LN(2)/25)*Calculateur!V193*Calculateur!X193*VLOOKUP('Données projet'!$B$9,Paramètres!$A$1:$I$89,3,0)*0.475*44/12</f>
        <v>0.4859154807663626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7.9318505453589232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425.99999999999983</v>
      </c>
      <c r="AJ193" s="13">
        <f>AI193*VLOOKUP('Données projet'!$B$10,Paramètres!$A$1:$I$89,3,0)*VLOOKUP('Données projet'!$B$10,Paramètres!$A$1:$I$89,5,0)</f>
        <v>232.59599999999992</v>
      </c>
      <c r="AK193" s="13">
        <f t="shared" si="164"/>
        <v>56.843630236302218</v>
      </c>
      <c r="AL193" s="20">
        <f t="shared" si="165"/>
        <v>504.10735599489294</v>
      </c>
      <c r="AM193" s="59">
        <f t="shared" si="113"/>
        <v>797.4406893282262</v>
      </c>
      <c r="AN193" s="59">
        <f ca="1">AVERAGE(OFFSET($AM$3,0,0,'Données projet'!$E$10+1,1))-AVERAGE(OFFSET($H$3,0,0,'Données projet'!$E$10+1,1))</f>
        <v>417.99456559608217</v>
      </c>
      <c r="AO193" s="59">
        <f t="shared" si="144"/>
        <v>651.41353014863932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23.978256252365131</v>
      </c>
      <c r="AV193" s="21">
        <f>EXP(-LN(2)/25)*AV192+(1-EXP(-LN(2)/25))/(LN(2)/25)*Calculateur!AQ193*Calculateur!AS193*VLOOKUP('Données projet'!$B$10,Paramètres!$A$1:$I$89,3,0)*0.475*44/12</f>
        <v>0.54846724578758965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24.52672349815272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236.00000000000003</v>
      </c>
      <c r="BE193" s="13">
        <f>BD193*VLOOKUP('Données projet'!$B$11,Paramètres!$A$1:$I$89,3,0)*VLOOKUP('Données projet'!$B$11,Paramètres!$A$1:$I$89,5,0)</f>
        <v>206.16960000000006</v>
      </c>
      <c r="BF193" s="13">
        <f t="shared" si="167"/>
        <v>51.097652263007333</v>
      </c>
      <c r="BG193" s="20">
        <f t="shared" si="168"/>
        <v>448.07379769140448</v>
      </c>
      <c r="BH193" s="59">
        <f t="shared" si="116"/>
        <v>741.40713102473774</v>
      </c>
      <c r="BI193" s="59">
        <f ca="1">AVERAGE(OFFSET($BH$3,0,0,'Données projet'!$E$11+1,1))-AVERAGE(OFFSET($H$3,0,0,'Données projet'!$E$11+1,1))</f>
        <v>247.61330734992077</v>
      </c>
      <c r="BJ193" s="59">
        <f t="shared" si="146"/>
        <v>278.55937893537259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7.4918379394159391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0</v>
      </c>
      <c r="BS193" s="22">
        <f t="shared" si="169"/>
        <v>7.4918379394159391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91.870999999999853</v>
      </c>
      <c r="D194" s="11">
        <f t="shared" si="140"/>
        <v>25.015923356679352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902.28502240243597</v>
      </c>
      <c r="H194" s="66">
        <f t="shared" si="110"/>
        <v>496.91139151288291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636.99999999999977</v>
      </c>
      <c r="O194" s="13">
        <f>N194*VLOOKUP('Données projet'!$B$9,Paramètres!$A$1:$I$89,3,0)*VLOOKUP('Données projet'!$B$9,Paramètres!$A$1:$I$89,5,0)</f>
        <v>356.08299999999991</v>
      </c>
      <c r="P194" s="13">
        <f t="shared" si="141"/>
        <v>82.813805255716545</v>
      </c>
      <c r="Q194" s="20">
        <f t="shared" si="162"/>
        <v>764.41193582037283</v>
      </c>
      <c r="R194" s="59">
        <f t="shared" si="109"/>
        <v>1057.7452691537062</v>
      </c>
      <c r="S194" s="59">
        <f ca="1">AVERAGE(OFFSET($R$3,0,0,'Données projet'!$E$9+1,1))-AVERAGE(OFFSET($H$3,0,0,'Données projet'!$E$9+1,1))</f>
        <v>382.55387448074327</v>
      </c>
      <c r="T194" s="59">
        <f t="shared" si="142"/>
        <v>476.29465646955543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7.2999248195478463</v>
      </c>
      <c r="AA194" s="21">
        <f>EXP(-LN(2)/25)*AA193+(1-EXP(-LN(2)/25))/(LN(2)/25)*Calculateur!V194*Calculateur!X194*VLOOKUP('Données projet'!$B$9,Paramètres!$A$1:$I$89,3,0)*0.475*44/12</f>
        <v>0.47262809639162184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7.7725529159394684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425.99999999999983</v>
      </c>
      <c r="AJ194" s="13">
        <f>AI194*VLOOKUP('Données projet'!$B$10,Paramètres!$A$1:$I$89,3,0)*VLOOKUP('Données projet'!$B$10,Paramètres!$A$1:$I$89,5,0)</f>
        <v>232.59599999999992</v>
      </c>
      <c r="AK194" s="13">
        <f t="shared" si="164"/>
        <v>56.843630236302218</v>
      </c>
      <c r="AL194" s="20">
        <f t="shared" si="165"/>
        <v>504.10735599489294</v>
      </c>
      <c r="AM194" s="59">
        <f t="shared" si="113"/>
        <v>797.4406893282262</v>
      </c>
      <c r="AN194" s="59">
        <f ca="1">AVERAGE(OFFSET($AM$3,0,0,'Données projet'!$E$10+1,1))-AVERAGE(OFFSET($H$3,0,0,'Données projet'!$E$10+1,1))</f>
        <v>417.99456559608217</v>
      </c>
      <c r="AO194" s="59">
        <f t="shared" si="144"/>
        <v>651.41353014863932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23.508057272548438</v>
      </c>
      <c r="AV194" s="21">
        <f>EXP(-LN(2)/25)*AV193+(1-EXP(-LN(2)/25))/(LN(2)/25)*Calculateur!AQ194*Calculateur!AS194*VLOOKUP('Données projet'!$B$10,Paramètres!$A$1:$I$89,3,0)*0.475*44/12</f>
        <v>0.53346938010888911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24.041526652657328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236.00000000000003</v>
      </c>
      <c r="BE194" s="13">
        <f>BD194*VLOOKUP('Données projet'!$B$11,Paramètres!$A$1:$I$89,3,0)*VLOOKUP('Données projet'!$B$11,Paramètres!$A$1:$I$89,5,0)</f>
        <v>206.16960000000006</v>
      </c>
      <c r="BF194" s="13">
        <f t="shared" si="167"/>
        <v>51.097652263007333</v>
      </c>
      <c r="BG194" s="20">
        <f t="shared" si="168"/>
        <v>448.07379769140448</v>
      </c>
      <c r="BH194" s="59">
        <f t="shared" si="116"/>
        <v>741.40713102473774</v>
      </c>
      <c r="BI194" s="59">
        <f ca="1">AVERAGE(OFFSET($BH$3,0,0,'Données projet'!$E$11+1,1))-AVERAGE(OFFSET($H$3,0,0,'Données projet'!$E$11+1,1))</f>
        <v>247.61330734992077</v>
      </c>
      <c r="BJ194" s="59">
        <f t="shared" si="146"/>
        <v>278.55937893537259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7.3449275669939285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0</v>
      </c>
      <c r="BS194" s="22">
        <f t="shared" si="169"/>
        <v>7.3449275669939285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92.351999999999848</v>
      </c>
      <c r="D195" s="11">
        <f t="shared" si="140"/>
        <v>25.131616275989707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906.89107300763874</v>
      </c>
      <c r="H195" s="66">
        <f t="shared" si="110"/>
        <v>497.95063168068179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636.99999999999977</v>
      </c>
      <c r="O195" s="13">
        <f>N195*VLOOKUP('Données projet'!$B$9,Paramètres!$A$1:$I$89,3,0)*VLOOKUP('Données projet'!$B$9,Paramètres!$A$1:$I$89,5,0)</f>
        <v>356.08299999999991</v>
      </c>
      <c r="P195" s="13">
        <f t="shared" si="141"/>
        <v>82.813805255716545</v>
      </c>
      <c r="Q195" s="20">
        <f t="shared" si="162"/>
        <v>764.41193582037283</v>
      </c>
      <c r="R195" s="59">
        <f t="shared" ref="R195:R203" si="191">Q195+(I195+J195)*44/12</f>
        <v>1057.7452691537062</v>
      </c>
      <c r="S195" s="59">
        <f ca="1">AVERAGE(OFFSET($R$3,0,0,'Données projet'!$E$9+1,1))-AVERAGE(OFFSET($H$3,0,0,'Données projet'!$E$9+1,1))</f>
        <v>382.55387448074327</v>
      </c>
      <c r="T195" s="59">
        <f t="shared" si="142"/>
        <v>476.29465646955543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7.1567777463510041</v>
      </c>
      <c r="AA195" s="21">
        <f>EXP(-LN(2)/25)*AA194+(1-EXP(-LN(2)/25))/(LN(2)/25)*Calculateur!V195*Calculateur!X195*VLOOKUP('Données projet'!$B$9,Paramètres!$A$1:$I$89,3,0)*0.475*44/12</f>
        <v>0.45970405624136157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7.6164818025923653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425.99999999999983</v>
      </c>
      <c r="AJ195" s="13">
        <f>AI195*VLOOKUP('Données projet'!$B$10,Paramètres!$A$1:$I$89,3,0)*VLOOKUP('Données projet'!$B$10,Paramètres!$A$1:$I$89,5,0)</f>
        <v>232.59599999999992</v>
      </c>
      <c r="AK195" s="13">
        <f t="shared" si="164"/>
        <v>56.843630236302218</v>
      </c>
      <c r="AL195" s="20">
        <f t="shared" si="165"/>
        <v>504.10735599489294</v>
      </c>
      <c r="AM195" s="59">
        <f t="shared" si="113"/>
        <v>797.4406893282262</v>
      </c>
      <c r="AN195" s="59">
        <f ca="1">AVERAGE(OFFSET($AM$3,0,0,'Données projet'!$E$10+1,1))-AVERAGE(OFFSET($H$3,0,0,'Données projet'!$E$10+1,1))</f>
        <v>417.99456559608217</v>
      </c>
      <c r="AO195" s="59">
        <f t="shared" si="144"/>
        <v>651.41353014863932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23.047078607932889</v>
      </c>
      <c r="AV195" s="21">
        <f>EXP(-LN(2)/25)*AV194+(1-EXP(-LN(2)/25))/(LN(2)/25)*Calculateur!AQ195*Calculateur!AS195*VLOOKUP('Données projet'!$B$10,Paramètres!$A$1:$I$89,3,0)*0.475*44/12</f>
        <v>0.5188816318558761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23.565960239788765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236.00000000000003</v>
      </c>
      <c r="BE195" s="13">
        <f>BD195*VLOOKUP('Données projet'!$B$11,Paramètres!$A$1:$I$89,3,0)*VLOOKUP('Données projet'!$B$11,Paramètres!$A$1:$I$89,5,0)</f>
        <v>206.16960000000006</v>
      </c>
      <c r="BF195" s="13">
        <f t="shared" si="167"/>
        <v>51.097652263007333</v>
      </c>
      <c r="BG195" s="20">
        <f t="shared" si="168"/>
        <v>448.07379769140448</v>
      </c>
      <c r="BH195" s="59">
        <f t="shared" si="116"/>
        <v>741.40713102473774</v>
      </c>
      <c r="BI195" s="59">
        <f ca="1">AVERAGE(OFFSET($BH$3,0,0,'Données projet'!$E$11+1,1))-AVERAGE(OFFSET($H$3,0,0,'Données projet'!$E$11+1,1))</f>
        <v>247.61330734992077</v>
      </c>
      <c r="BJ195" s="59">
        <f t="shared" si="146"/>
        <v>278.55937893537259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7.2008980173686341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0</v>
      </c>
      <c r="BS195" s="22">
        <f t="shared" si="169"/>
        <v>7.2008980173686341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92.832999999999842</v>
      </c>
      <c r="D196" s="11">
        <f t="shared" si="140"/>
        <v>25.247239077388915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911.49658235177287</v>
      </c>
      <c r="H196" s="66">
        <f t="shared" ref="H196:H203" si="192">(B196+E196+F196)*44/12+(C196+D196)*0.475*44/12</f>
        <v>498.98974972645203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636.99999999999977</v>
      </c>
      <c r="O196" s="13">
        <f>N196*VLOOKUP('Données projet'!$B$9,Paramètres!$A$1:$I$89,3,0)*VLOOKUP('Données projet'!$B$9,Paramètres!$A$1:$I$89,5,0)</f>
        <v>356.08299999999991</v>
      </c>
      <c r="P196" s="13">
        <f t="shared" si="141"/>
        <v>82.813805255716545</v>
      </c>
      <c r="Q196" s="20">
        <f t="shared" si="162"/>
        <v>764.41193582037283</v>
      </c>
      <c r="R196" s="59">
        <f t="shared" si="191"/>
        <v>1057.7452691537062</v>
      </c>
      <c r="S196" s="59">
        <f ca="1">AVERAGE(OFFSET($R$3,0,0,'Données projet'!$E$9+1,1))-AVERAGE(OFFSET($H$3,0,0,'Données projet'!$E$9+1,1))</f>
        <v>382.55387448074327</v>
      </c>
      <c r="T196" s="59">
        <f t="shared" si="142"/>
        <v>476.29465646955543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7.0164376999484581</v>
      </c>
      <c r="AA196" s="21">
        <f>EXP(-LN(2)/25)*AA195+(1-EXP(-LN(2)/25))/(LN(2)/25)*Calculateur!V196*Calculateur!X196*VLOOKUP('Données projet'!$B$9,Paramètres!$A$1:$I$89,3,0)*0.475*44/12</f>
        <v>0.44713342464865591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7.4635711245971139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425.99999999999983</v>
      </c>
      <c r="AJ196" s="13">
        <f>AI196*VLOOKUP('Données projet'!$B$10,Paramètres!$A$1:$I$89,3,0)*VLOOKUP('Données projet'!$B$10,Paramètres!$A$1:$I$89,5,0)</f>
        <v>232.59599999999992</v>
      </c>
      <c r="AK196" s="13">
        <f t="shared" si="164"/>
        <v>56.843630236302218</v>
      </c>
      <c r="AL196" s="20">
        <f t="shared" si="165"/>
        <v>504.10735599489294</v>
      </c>
      <c r="AM196" s="59">
        <f t="shared" ref="AM196:AM203" si="193">AL196+(AD196+AE196)*44/12</f>
        <v>797.4406893282262</v>
      </c>
      <c r="AN196" s="59">
        <f ca="1">AVERAGE(OFFSET($AM$3,0,0,'Données projet'!$E$10+1,1))-AVERAGE(OFFSET($H$3,0,0,'Données projet'!$E$10+1,1))</f>
        <v>417.99456559608217</v>
      </c>
      <c r="AO196" s="59">
        <f t="shared" si="144"/>
        <v>651.41353014863932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22.595139453761231</v>
      </c>
      <c r="AV196" s="21">
        <f>EXP(-LN(2)/25)*AV195+(1-EXP(-LN(2)/25))/(LN(2)/25)*Calculateur!AQ196*Calculateur!AS196*VLOOKUP('Données projet'!$B$10,Paramètres!$A$1:$I$89,3,0)*0.475*44/12</f>
        <v>0.50469278634597803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23.099832240107208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236.00000000000003</v>
      </c>
      <c r="BE196" s="13">
        <f>BD196*VLOOKUP('Données projet'!$B$11,Paramètres!$A$1:$I$89,3,0)*VLOOKUP('Données projet'!$B$11,Paramètres!$A$1:$I$89,5,0)</f>
        <v>206.16960000000006</v>
      </c>
      <c r="BF196" s="13">
        <f t="shared" si="167"/>
        <v>51.097652263007333</v>
      </c>
      <c r="BG196" s="20">
        <f t="shared" si="168"/>
        <v>448.07379769140448</v>
      </c>
      <c r="BH196" s="59">
        <f t="shared" ref="BH196:BH203" si="194">BG196+(AY196+AZ196)*44/12</f>
        <v>741.40713102473774</v>
      </c>
      <c r="BI196" s="59">
        <f ca="1">AVERAGE(OFFSET($BH$3,0,0,'Données projet'!$E$11+1,1))-AVERAGE(OFFSET($H$3,0,0,'Données projet'!$E$11+1,1))</f>
        <v>247.61330734992077</v>
      </c>
      <c r="BJ196" s="59">
        <f t="shared" si="146"/>
        <v>278.55937893537259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7.0596927993621401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0</v>
      </c>
      <c r="BS196" s="22">
        <f t="shared" si="169"/>
        <v>7.0596927993621401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93.313999999999837</v>
      </c>
      <c r="D197" s="11">
        <f t="shared" ref="D197:D203" si="202">IFERROR(EXP(-1.0587+0.8836*LN(C197)+0.284),0)</f>
        <v>25.362792166352278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916.10155356482335</v>
      </c>
      <c r="H197" s="66">
        <f t="shared" si="192"/>
        <v>500.0287463563966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636.99999999999977</v>
      </c>
      <c r="O197" s="13">
        <f>N197*VLOOKUP('Données projet'!$B$9,Paramètres!$A$1:$I$89,3,0)*VLOOKUP('Données projet'!$B$9,Paramètres!$A$1:$I$89,5,0)</f>
        <v>356.08299999999991</v>
      </c>
      <c r="P197" s="13">
        <f t="shared" ref="P197:P203" si="203">EXP(-1.0587+0.8836*LN(O197)+0.284)</f>
        <v>82.813805255716545</v>
      </c>
      <c r="Q197" s="20">
        <f t="shared" si="162"/>
        <v>764.41193582037283</v>
      </c>
      <c r="R197" s="59">
        <f t="shared" si="191"/>
        <v>1057.7452691537062</v>
      </c>
      <c r="S197" s="59">
        <f ca="1">AVERAGE(OFFSET($R$3,0,0,'Données projet'!$E$9+1,1))-AVERAGE(OFFSET($H$3,0,0,'Données projet'!$E$9+1,1))</f>
        <v>382.55387448074327</v>
      </c>
      <c r="T197" s="59">
        <f t="shared" ref="T197:T203" si="204">$T$3</f>
        <v>476.29465646955543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6.8788496362568896</v>
      </c>
      <c r="AA197" s="21">
        <f>EXP(-LN(2)/25)*AA196+(1-EXP(-LN(2)/25))/(LN(2)/25)*Calculateur!V197*Calculateur!X197*VLOOKUP('Données projet'!$B$9,Paramètres!$A$1:$I$89,3,0)*0.475*44/12</f>
        <v>0.43490653763791354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7.3137561738948031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425.99999999999983</v>
      </c>
      <c r="AJ197" s="13">
        <f>AI197*VLOOKUP('Données projet'!$B$10,Paramètres!$A$1:$I$89,3,0)*VLOOKUP('Données projet'!$B$10,Paramètres!$A$1:$I$89,5,0)</f>
        <v>232.59599999999992</v>
      </c>
      <c r="AK197" s="13">
        <f t="shared" si="164"/>
        <v>56.843630236302218</v>
      </c>
      <c r="AL197" s="20">
        <f t="shared" si="165"/>
        <v>504.10735599489294</v>
      </c>
      <c r="AM197" s="59">
        <f t="shared" si="193"/>
        <v>797.4406893282262</v>
      </c>
      <c r="AN197" s="59">
        <f ca="1">AVERAGE(OFFSET($AM$3,0,0,'Données projet'!$E$10+1,1))-AVERAGE(OFFSET($H$3,0,0,'Données projet'!$E$10+1,1))</f>
        <v>417.99456559608217</v>
      </c>
      <c r="AO197" s="59">
        <f t="shared" ref="AO197:AO203" si="205">$AO$3</f>
        <v>651.41353014863932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22.152062550747214</v>
      </c>
      <c r="AV197" s="21">
        <f>EXP(-LN(2)/25)*AV196+(1-EXP(-LN(2)/25))/(LN(2)/25)*Calculateur!AQ197*Calculateur!AS197*VLOOKUP('Données projet'!$B$10,Paramètres!$A$1:$I$89,3,0)*0.475*44/12</f>
        <v>0.4908919355627071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22.642954486309922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236.00000000000003</v>
      </c>
      <c r="BE197" s="13">
        <f>BD197*VLOOKUP('Données projet'!$B$11,Paramètres!$A$1:$I$89,3,0)*VLOOKUP('Données projet'!$B$11,Paramètres!$A$1:$I$89,5,0)</f>
        <v>206.16960000000006</v>
      </c>
      <c r="BF197" s="13">
        <f t="shared" si="167"/>
        <v>51.097652263007333</v>
      </c>
      <c r="BG197" s="20">
        <f t="shared" si="168"/>
        <v>448.07379769140448</v>
      </c>
      <c r="BH197" s="59">
        <f t="shared" si="194"/>
        <v>741.40713102473774</v>
      </c>
      <c r="BI197" s="59">
        <f ca="1">AVERAGE(OFFSET($BH$3,0,0,'Données projet'!$E$11+1,1))-AVERAGE(OFFSET($H$3,0,0,'Données projet'!$E$11+1,1))</f>
        <v>247.61330734992077</v>
      </c>
      <c r="BJ197" s="59">
        <f t="shared" ref="BJ197:BJ203" si="206">$BJ$3</f>
        <v>278.55937893537259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6.9212565295540749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0</v>
      </c>
      <c r="BS197" s="22">
        <f t="shared" si="169"/>
        <v>6.9212565295540749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93.794999999999831</v>
      </c>
      <c r="D198" s="11">
        <f t="shared" si="202"/>
        <v>25.478275943932946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920.70598974263896</v>
      </c>
      <c r="H198" s="66">
        <f t="shared" si="192"/>
        <v>501.06762226901623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636.99999999999977</v>
      </c>
      <c r="O198" s="13">
        <f>N198*VLOOKUP('Données projet'!$B$9,Paramètres!$A$1:$I$89,3,0)*VLOOKUP('Données projet'!$B$9,Paramètres!$A$1:$I$89,5,0)</f>
        <v>356.08299999999991</v>
      </c>
      <c r="P198" s="13">
        <f t="shared" si="203"/>
        <v>82.813805255716545</v>
      </c>
      <c r="Q198" s="20">
        <f t="shared" si="162"/>
        <v>764.41193582037283</v>
      </c>
      <c r="R198" s="59">
        <f t="shared" si="191"/>
        <v>1057.7452691537062</v>
      </c>
      <c r="S198" s="59">
        <f ca="1">AVERAGE(OFFSET($R$3,0,0,'Données projet'!$E$9+1,1))-AVERAGE(OFFSET($H$3,0,0,'Données projet'!$E$9+1,1))</f>
        <v>382.55387448074327</v>
      </c>
      <c r="T198" s="59">
        <f t="shared" si="204"/>
        <v>476.29465646955543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6.7439595905738807</v>
      </c>
      <c r="AA198" s="21">
        <f>EXP(-LN(2)/25)*AA197+(1-EXP(-LN(2)/25))/(LN(2)/25)*Calculateur!V198*Calculateur!X198*VLOOKUP('Données projet'!$B$9,Paramètres!$A$1:$I$89,3,0)*0.475*44/12</f>
        <v>0.42301399549546398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7.1669735860693446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425.99999999999983</v>
      </c>
      <c r="AJ198" s="13">
        <f>AI198*VLOOKUP('Données projet'!$B$10,Paramètres!$A$1:$I$89,3,0)*VLOOKUP('Données projet'!$B$10,Paramètres!$A$1:$I$89,5,0)</f>
        <v>232.59599999999992</v>
      </c>
      <c r="AK198" s="13">
        <f t="shared" si="164"/>
        <v>56.843630236302218</v>
      </c>
      <c r="AL198" s="20">
        <f t="shared" si="165"/>
        <v>504.10735599489294</v>
      </c>
      <c r="AM198" s="59">
        <f t="shared" si="193"/>
        <v>797.4406893282262</v>
      </c>
      <c r="AN198" s="59">
        <f ca="1">AVERAGE(OFFSET($AM$3,0,0,'Données projet'!$E$10+1,1))-AVERAGE(OFFSET($H$3,0,0,'Données projet'!$E$10+1,1))</f>
        <v>417.99456559608217</v>
      </c>
      <c r="AO198" s="59">
        <f t="shared" si="205"/>
        <v>651.41353014863932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21.717674115551073</v>
      </c>
      <c r="AV198" s="21">
        <f>EXP(-LN(2)/25)*AV197+(1-EXP(-LN(2)/25))/(LN(2)/25)*Calculateur!AQ198*Calculateur!AS198*VLOOKUP('Données projet'!$B$10,Paramètres!$A$1:$I$89,3,0)*0.475*44/12</f>
        <v>0.47746846976985996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22.195142585320934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236.00000000000003</v>
      </c>
      <c r="BE198" s="13">
        <f>BD198*VLOOKUP('Données projet'!$B$11,Paramètres!$A$1:$I$89,3,0)*VLOOKUP('Données projet'!$B$11,Paramètres!$A$1:$I$89,5,0)</f>
        <v>206.16960000000006</v>
      </c>
      <c r="BF198" s="13">
        <f t="shared" si="167"/>
        <v>51.097652263007333</v>
      </c>
      <c r="BG198" s="20">
        <f t="shared" si="168"/>
        <v>448.07379769140448</v>
      </c>
      <c r="BH198" s="59">
        <f t="shared" si="194"/>
        <v>741.40713102473774</v>
      </c>
      <c r="BI198" s="59">
        <f ca="1">AVERAGE(OFFSET($BH$3,0,0,'Données projet'!$E$11+1,1))-AVERAGE(OFFSET($H$3,0,0,'Données projet'!$E$11+1,1))</f>
        <v>247.61330734992077</v>
      </c>
      <c r="BJ198" s="59">
        <f t="shared" si="206"/>
        <v>278.55937893537259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6.7855349105591589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0</v>
      </c>
      <c r="BS198" s="22">
        <f t="shared" si="169"/>
        <v>6.7855349105591589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94.275999999999826</v>
      </c>
      <c r="D199" s="11">
        <f t="shared" si="202"/>
        <v>25.593690806832573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925.30989394747814</v>
      </c>
      <c r="H199" s="66">
        <f t="shared" si="192"/>
        <v>502.10637815523307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636.99999999999977</v>
      </c>
      <c r="O199" s="13">
        <f>N199*VLOOKUP('Données projet'!$B$9,Paramètres!$A$1:$I$89,3,0)*VLOOKUP('Données projet'!$B$9,Paramètres!$A$1:$I$89,5,0)</f>
        <v>356.08299999999991</v>
      </c>
      <c r="P199" s="13">
        <f t="shared" si="203"/>
        <v>82.813805255716545</v>
      </c>
      <c r="Q199" s="20">
        <f t="shared" si="162"/>
        <v>764.41193582037283</v>
      </c>
      <c r="R199" s="59">
        <f t="shared" si="191"/>
        <v>1057.7452691537062</v>
      </c>
      <c r="S199" s="59">
        <f ca="1">AVERAGE(OFFSET($R$3,0,0,'Données projet'!$E$9+1,1))-AVERAGE(OFFSET($H$3,0,0,'Données projet'!$E$9+1,1))</f>
        <v>382.55387448074327</v>
      </c>
      <c r="T199" s="59">
        <f t="shared" si="204"/>
        <v>476.29465646955543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6.6117146564119116</v>
      </c>
      <c r="AA199" s="21">
        <f>EXP(-LN(2)/25)*AA198+(1-EXP(-LN(2)/25))/(LN(2)/25)*Calculateur!V199*Calculateur!X199*VLOOKUP('Données projet'!$B$9,Paramètres!$A$1:$I$89,3,0)*0.475*44/12</f>
        <v>0.41144665554330129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7.0231613119552128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425.99999999999983</v>
      </c>
      <c r="AJ199" s="13">
        <f>AI199*VLOOKUP('Données projet'!$B$10,Paramètres!$A$1:$I$89,3,0)*VLOOKUP('Données projet'!$B$10,Paramètres!$A$1:$I$89,5,0)</f>
        <v>232.59599999999992</v>
      </c>
      <c r="AK199" s="13">
        <f t="shared" si="164"/>
        <v>56.843630236302218</v>
      </c>
      <c r="AL199" s="20">
        <f t="shared" si="165"/>
        <v>504.10735599489294</v>
      </c>
      <c r="AM199" s="59">
        <f t="shared" si="193"/>
        <v>797.4406893282262</v>
      </c>
      <c r="AN199" s="59">
        <f ca="1">AVERAGE(OFFSET($AM$3,0,0,'Données projet'!$E$10+1,1))-AVERAGE(OFFSET($H$3,0,0,'Données projet'!$E$10+1,1))</f>
        <v>417.99456559608217</v>
      </c>
      <c r="AO199" s="59">
        <f t="shared" si="205"/>
        <v>651.41353014863932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21.291803772618348</v>
      </c>
      <c r="AV199" s="21">
        <f>EXP(-LN(2)/25)*AV198+(1-EXP(-LN(2)/25))/(LN(2)/25)*Calculateur!AQ199*Calculateur!AS199*VLOOKUP('Données projet'!$B$10,Paramètres!$A$1:$I$89,3,0)*0.475*44/12</f>
        <v>0.4644120693550276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21.756215841973376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236.00000000000003</v>
      </c>
      <c r="BE199" s="13">
        <f>BD199*VLOOKUP('Données projet'!$B$11,Paramètres!$A$1:$I$89,3,0)*VLOOKUP('Données projet'!$B$11,Paramètres!$A$1:$I$89,5,0)</f>
        <v>206.16960000000006</v>
      </c>
      <c r="BF199" s="13">
        <f t="shared" si="167"/>
        <v>51.097652263007333</v>
      </c>
      <c r="BG199" s="20">
        <f t="shared" si="168"/>
        <v>448.07379769140448</v>
      </c>
      <c r="BH199" s="59">
        <f t="shared" si="194"/>
        <v>741.40713102473774</v>
      </c>
      <c r="BI199" s="59">
        <f ca="1">AVERAGE(OFFSET($BH$3,0,0,'Données projet'!$E$11+1,1))-AVERAGE(OFFSET($H$3,0,0,'Données projet'!$E$11+1,1))</f>
        <v>247.61330734992077</v>
      </c>
      <c r="BJ199" s="59">
        <f t="shared" si="206"/>
        <v>278.55937893537259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6.6524747097307202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0</v>
      </c>
      <c r="BS199" s="22">
        <f t="shared" si="169"/>
        <v>6.6524747097307202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94.75699999999982</v>
      </c>
      <c r="D200" s="11">
        <f t="shared" si="202"/>
        <v>25.709037147470404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929.91326920854192</v>
      </c>
      <c r="H200" s="66">
        <f t="shared" si="192"/>
        <v>503.14501469851064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636.99999999999977</v>
      </c>
      <c r="O200" s="13">
        <f>N200*VLOOKUP('Données projet'!$B$9,Paramètres!$A$1:$I$89,3,0)*VLOOKUP('Données projet'!$B$9,Paramètres!$A$1:$I$89,5,0)</f>
        <v>356.08299999999991</v>
      </c>
      <c r="P200" s="13">
        <f t="shared" si="203"/>
        <v>82.813805255716545</v>
      </c>
      <c r="Q200" s="20">
        <f t="shared" si="162"/>
        <v>764.41193582037283</v>
      </c>
      <c r="R200" s="59">
        <f t="shared" si="191"/>
        <v>1057.7452691537062</v>
      </c>
      <c r="S200" s="59">
        <f ca="1">AVERAGE(OFFSET($R$3,0,0,'Données projet'!$E$9+1,1))-AVERAGE(OFFSET($H$3,0,0,'Données projet'!$E$9+1,1))</f>
        <v>382.55387448074327</v>
      </c>
      <c r="T200" s="59">
        <f t="shared" si="204"/>
        <v>476.29465646955543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6.4820629647474135</v>
      </c>
      <c r="AA200" s="21">
        <f>EXP(-LN(2)/25)*AA199+(1-EXP(-LN(2)/25))/(LN(2)/25)*Calculateur!V200*Calculateur!X200*VLOOKUP('Données projet'!$B$9,Paramètres!$A$1:$I$89,3,0)*0.475*44/12</f>
        <v>0.4001956251104305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6.8822585898578437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425.99999999999983</v>
      </c>
      <c r="AJ200" s="13">
        <f>AI200*VLOOKUP('Données projet'!$B$10,Paramètres!$A$1:$I$89,3,0)*VLOOKUP('Données projet'!$B$10,Paramètres!$A$1:$I$89,5,0)</f>
        <v>232.59599999999992</v>
      </c>
      <c r="AK200" s="13">
        <f t="shared" si="164"/>
        <v>56.843630236302218</v>
      </c>
      <c r="AL200" s="20">
        <f t="shared" si="165"/>
        <v>504.10735599489294</v>
      </c>
      <c r="AM200" s="59">
        <f t="shared" si="193"/>
        <v>797.4406893282262</v>
      </c>
      <c r="AN200" s="59">
        <f ca="1">AVERAGE(OFFSET($AM$3,0,0,'Données projet'!$E$10+1,1))-AVERAGE(OFFSET($H$3,0,0,'Données projet'!$E$10+1,1))</f>
        <v>417.99456559608217</v>
      </c>
      <c r="AO200" s="59">
        <f t="shared" si="205"/>
        <v>651.41353014863932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20.874284487355272</v>
      </c>
      <c r="AV200" s="21">
        <f>EXP(-LN(2)/25)*AV199+(1-EXP(-LN(2)/25))/(LN(2)/25)*Calculateur!AQ200*Calculateur!AS200*VLOOKUP('Données projet'!$B$10,Paramètres!$A$1:$I$89,3,0)*0.475*44/12</f>
        <v>0.45171269689614507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21.325997184251417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236.00000000000003</v>
      </c>
      <c r="BE200" s="13">
        <f>BD200*VLOOKUP('Données projet'!$B$11,Paramètres!$A$1:$I$89,3,0)*VLOOKUP('Données projet'!$B$11,Paramètres!$A$1:$I$89,5,0)</f>
        <v>206.16960000000006</v>
      </c>
      <c r="BF200" s="13">
        <f t="shared" si="167"/>
        <v>51.097652263007333</v>
      </c>
      <c r="BG200" s="20">
        <f t="shared" si="168"/>
        <v>448.07379769140448</v>
      </c>
      <c r="BH200" s="59">
        <f t="shared" si="194"/>
        <v>741.40713102473774</v>
      </c>
      <c r="BI200" s="59">
        <f ca="1">AVERAGE(OFFSET($BH$3,0,0,'Données projet'!$E$11+1,1))-AVERAGE(OFFSET($H$3,0,0,'Données projet'!$E$11+1,1))</f>
        <v>247.61330734992077</v>
      </c>
      <c r="BJ200" s="59">
        <f t="shared" si="206"/>
        <v>278.55937893537259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6.5220237382818178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0</v>
      </c>
      <c r="BS200" s="22">
        <f t="shared" si="169"/>
        <v>6.5220237382818178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95.237999999999815</v>
      </c>
      <c r="D201" s="11">
        <f t="shared" si="202"/>
        <v>25.824315354051095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934.51611852249823</v>
      </c>
      <c r="H201" s="66">
        <f t="shared" si="192"/>
        <v>504.18353257497199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636.99999999999977</v>
      </c>
      <c r="O201" s="13">
        <f>N201*VLOOKUP('Données projet'!$B$9,Paramètres!$A$1:$I$89,3,0)*VLOOKUP('Données projet'!$B$9,Paramètres!$A$1:$I$89,5,0)</f>
        <v>356.08299999999991</v>
      </c>
      <c r="P201" s="13">
        <f t="shared" si="203"/>
        <v>82.813805255716545</v>
      </c>
      <c r="Q201" s="20">
        <f t="shared" si="162"/>
        <v>764.41193582037283</v>
      </c>
      <c r="R201" s="59">
        <f t="shared" si="191"/>
        <v>1057.7452691537062</v>
      </c>
      <c r="S201" s="59">
        <f ca="1">AVERAGE(OFFSET($R$3,0,0,'Données projet'!$E$9+1,1))-AVERAGE(OFFSET($H$3,0,0,'Données projet'!$E$9+1,1))</f>
        <v>382.55387448074327</v>
      </c>
      <c r="T201" s="59">
        <f t="shared" si="204"/>
        <v>476.29465646955543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6.3549536636767332</v>
      </c>
      <c r="AA201" s="21">
        <f>EXP(-LN(2)/25)*AA200+(1-EXP(-LN(2)/25))/(LN(2)/25)*Calculateur!V201*Calculateur!X201*VLOOKUP('Données projet'!$B$9,Paramètres!$A$1:$I$89,3,0)*0.475*44/12</f>
        <v>0.3892522546964125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6.7442059183731455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425.99999999999983</v>
      </c>
      <c r="AJ201" s="13">
        <f>AI201*VLOOKUP('Données projet'!$B$10,Paramètres!$A$1:$I$89,3,0)*VLOOKUP('Données projet'!$B$10,Paramètres!$A$1:$I$89,5,0)</f>
        <v>232.59599999999992</v>
      </c>
      <c r="AK201" s="13">
        <f t="shared" si="164"/>
        <v>56.843630236302218</v>
      </c>
      <c r="AL201" s="20">
        <f t="shared" si="165"/>
        <v>504.10735599489294</v>
      </c>
      <c r="AM201" s="59">
        <f t="shared" si="193"/>
        <v>797.4406893282262</v>
      </c>
      <c r="AN201" s="59">
        <f ca="1">AVERAGE(OFFSET($AM$3,0,0,'Données projet'!$E$10+1,1))-AVERAGE(OFFSET($H$3,0,0,'Données projet'!$E$10+1,1))</f>
        <v>417.99456559608217</v>
      </c>
      <c r="AO201" s="59">
        <f t="shared" si="205"/>
        <v>651.41353014863932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20.464952500614586</v>
      </c>
      <c r="AV201" s="21">
        <f>EXP(-LN(2)/25)*AV200+(1-EXP(-LN(2)/25))/(LN(2)/25)*Calculateur!AQ201*Calculateur!AS201*VLOOKUP('Données projet'!$B$10,Paramètres!$A$1:$I$89,3,0)*0.475*44/12</f>
        <v>0.43936058944498163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20.904313090059567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236.00000000000003</v>
      </c>
      <c r="BE201" s="13">
        <f>BD201*VLOOKUP('Données projet'!$B$11,Paramètres!$A$1:$I$89,3,0)*VLOOKUP('Données projet'!$B$11,Paramètres!$A$1:$I$89,5,0)</f>
        <v>206.16960000000006</v>
      </c>
      <c r="BF201" s="13">
        <f t="shared" si="167"/>
        <v>51.097652263007333</v>
      </c>
      <c r="BG201" s="20">
        <f t="shared" si="168"/>
        <v>448.07379769140448</v>
      </c>
      <c r="BH201" s="59">
        <f t="shared" si="194"/>
        <v>741.40713102473774</v>
      </c>
      <c r="BI201" s="59">
        <f ca="1">AVERAGE(OFFSET($BH$3,0,0,'Données projet'!$E$11+1,1))-AVERAGE(OFFSET($H$3,0,0,'Données projet'!$E$11+1,1))</f>
        <v>247.61330734992077</v>
      </c>
      <c r="BJ201" s="59">
        <f t="shared" si="206"/>
        <v>278.55937893537259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6.3941308308157927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0</v>
      </c>
      <c r="BS201" s="22">
        <f t="shared" si="169"/>
        <v>6.3941308308157927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95.718999999999809</v>
      </c>
      <c r="D202" s="11">
        <f t="shared" si="202"/>
        <v>25.939525810630993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939.11844485399217</v>
      </c>
      <c r="H202" s="66">
        <f t="shared" si="192"/>
        <v>505.22193245351531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636.99999999999977</v>
      </c>
      <c r="O202" s="13">
        <f>N202*VLOOKUP('Données projet'!$B$9,Paramètres!$A$1:$I$89,3,0)*VLOOKUP('Données projet'!$B$9,Paramètres!$A$1:$I$89,5,0)</f>
        <v>356.08299999999991</v>
      </c>
      <c r="P202" s="13">
        <f t="shared" si="203"/>
        <v>82.813805255716545</v>
      </c>
      <c r="Q202" s="20">
        <f t="shared" si="162"/>
        <v>764.41193582037283</v>
      </c>
      <c r="R202" s="59">
        <f t="shared" si="191"/>
        <v>1057.7452691537062</v>
      </c>
      <c r="S202" s="59">
        <f ca="1">AVERAGE(OFFSET($R$3,0,0,'Données projet'!$E$9+1,1))-AVERAGE(OFFSET($H$3,0,0,'Données projet'!$E$9+1,1))</f>
        <v>382.55387448074327</v>
      </c>
      <c r="T202" s="59">
        <f t="shared" si="204"/>
        <v>476.29465646955543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6.2303368984710303</v>
      </c>
      <c r="AA202" s="21">
        <f>EXP(-LN(2)/25)*AA201+(1-EXP(-LN(2)/25))/(LN(2)/25)*Calculateur!V202*Calculateur!X202*VLOOKUP('Données projet'!$B$9,Paramètres!$A$1:$I$89,3,0)*0.475*44/12</f>
        <v>0.37860813132185267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6.6089450297928831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425.99999999999983</v>
      </c>
      <c r="AJ202" s="13">
        <f>AI202*VLOOKUP('Données projet'!$B$10,Paramètres!$A$1:$I$89,3,0)*VLOOKUP('Données projet'!$B$10,Paramètres!$A$1:$I$89,5,0)</f>
        <v>232.59599999999992</v>
      </c>
      <c r="AK202" s="13">
        <f t="shared" si="164"/>
        <v>56.843630236302218</v>
      </c>
      <c r="AL202" s="20">
        <f t="shared" si="165"/>
        <v>504.10735599489294</v>
      </c>
      <c r="AM202" s="59">
        <f t="shared" si="193"/>
        <v>797.4406893282262</v>
      </c>
      <c r="AN202" s="59">
        <f ca="1">AVERAGE(OFFSET($AM$3,0,0,'Données projet'!$E$10+1,1))-AVERAGE(OFFSET($H$3,0,0,'Données projet'!$E$10+1,1))</f>
        <v>417.99456559608217</v>
      </c>
      <c r="AO202" s="59">
        <f t="shared" si="205"/>
        <v>651.41353014863932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20.063647264466027</v>
      </c>
      <c r="AV202" s="21">
        <f>EXP(-LN(2)/25)*AV201+(1-EXP(-LN(2)/25))/(LN(2)/25)*Calculateur!AQ202*Calculateur!AS202*VLOOKUP('Données projet'!$B$10,Paramètres!$A$1:$I$89,3,0)*0.475*44/12</f>
        <v>0.42734625102163937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20.490993515487666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236.00000000000003</v>
      </c>
      <c r="BE202" s="13">
        <f>BD202*VLOOKUP('Données projet'!$B$11,Paramètres!$A$1:$I$89,3,0)*VLOOKUP('Données projet'!$B$11,Paramètres!$A$1:$I$89,5,0)</f>
        <v>206.16960000000006</v>
      </c>
      <c r="BF202" s="13">
        <f t="shared" si="167"/>
        <v>51.097652263007333</v>
      </c>
      <c r="BG202" s="20">
        <f t="shared" si="168"/>
        <v>448.07379769140448</v>
      </c>
      <c r="BH202" s="59">
        <f t="shared" si="194"/>
        <v>741.40713102473774</v>
      </c>
      <c r="BI202" s="59">
        <f ca="1">AVERAGE(OFFSET($BH$3,0,0,'Données projet'!$E$11+1,1))-AVERAGE(OFFSET($H$3,0,0,'Données projet'!$E$11+1,1))</f>
        <v>247.61330734992077</v>
      </c>
      <c r="BJ202" s="59">
        <f t="shared" si="206"/>
        <v>278.55937893537259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6.2687458252582058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0</v>
      </c>
      <c r="BS202" s="22">
        <f t="shared" si="169"/>
        <v>6.2687458252582058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96.199999999999804</v>
      </c>
      <c r="D203" s="11">
        <f t="shared" si="202"/>
        <v>26.054668897183067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943.72025113614848</v>
      </c>
      <c r="H203" s="66">
        <f t="shared" si="192"/>
        <v>506.26021499592679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636.99999999999977</v>
      </c>
      <c r="O203" s="13">
        <f>N203*VLOOKUP('Données projet'!$B$9,Paramètres!$A$1:$I$89,3,0)*VLOOKUP('Données projet'!$B$9,Paramètres!$A$1:$I$89,5,0)</f>
        <v>356.08299999999991</v>
      </c>
      <c r="P203" s="13">
        <f t="shared" si="203"/>
        <v>82.813805255716545</v>
      </c>
      <c r="Q203" s="20">
        <f t="shared" si="162"/>
        <v>764.41193582037283</v>
      </c>
      <c r="R203" s="59">
        <f t="shared" si="191"/>
        <v>1057.7452691537062</v>
      </c>
      <c r="S203" s="59">
        <f ca="1">AVERAGE(OFFSET($R$3,0,0,'Données projet'!$E$9+1,1))-AVERAGE(OFFSET($H$3,0,0,'Données projet'!$E$9+1,1))</f>
        <v>382.55387448074327</v>
      </c>
      <c r="T203" s="59">
        <f t="shared" si="204"/>
        <v>476.29465646955543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6.1081637920222898</v>
      </c>
      <c r="AA203" s="21">
        <f>EXP(-LN(2)/25)*AA202+(1-EXP(-LN(2)/25))/(LN(2)/25)*Calculateur!V203*Calculateur!X203*VLOOKUP('Données projet'!$B$9,Paramètres!$A$1:$I$89,3,0)*0.475*44/12</f>
        <v>0.36825507206072028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6.4764188640830103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425.99999999999983</v>
      </c>
      <c r="AJ203" s="13">
        <f>AI203*VLOOKUP('Données projet'!$B$10,Paramètres!$A$1:$I$89,3,0)*VLOOKUP('Données projet'!$B$10,Paramètres!$A$1:$I$89,5,0)</f>
        <v>232.59599999999992</v>
      </c>
      <c r="AK203" s="13">
        <f t="shared" si="164"/>
        <v>56.843630236302218</v>
      </c>
      <c r="AL203" s="20">
        <f t="shared" si="165"/>
        <v>504.10735599489294</v>
      </c>
      <c r="AM203" s="59">
        <f t="shared" si="193"/>
        <v>797.4406893282262</v>
      </c>
      <c r="AN203" s="59">
        <f ca="1">AVERAGE(OFFSET($AM$3,0,0,'Données projet'!$E$10+1,1))-AVERAGE(OFFSET($H$3,0,0,'Données projet'!$E$10+1,1))</f>
        <v>417.99456559608217</v>
      </c>
      <c r="AO203" s="59">
        <f t="shared" si="205"/>
        <v>651.41353014863932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19.670211379226316</v>
      </c>
      <c r="AV203" s="21">
        <f>EXP(-LN(2)/25)*AV202+(1-EXP(-LN(2)/25))/(LN(2)/25)*Calculateur!AQ203*Calculateur!AS203*VLOOKUP('Données projet'!$B$10,Paramètres!$A$1:$I$89,3,0)*0.475*44/12</f>
        <v>0.41566044531429003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20.085871824540607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236.00000000000003</v>
      </c>
      <c r="BE203" s="13">
        <f>BD203*VLOOKUP('Données projet'!$B$11,Paramètres!$A$1:$I$89,3,0)*VLOOKUP('Données projet'!$B$11,Paramètres!$A$1:$I$89,5,0)</f>
        <v>206.16960000000006</v>
      </c>
      <c r="BF203" s="13">
        <f t="shared" si="167"/>
        <v>51.097652263007333</v>
      </c>
      <c r="BG203" s="20">
        <f t="shared" si="168"/>
        <v>448.07379769140448</v>
      </c>
      <c r="BH203" s="59">
        <f t="shared" si="194"/>
        <v>741.40713102473774</v>
      </c>
      <c r="BI203" s="59">
        <f ca="1">AVERAGE(OFFSET($BH$3,0,0,'Données projet'!$E$11+1,1))-AVERAGE(OFFSET($H$3,0,0,'Données projet'!$E$11+1,1))</f>
        <v>247.61330734992077</v>
      </c>
      <c r="BJ203" s="59">
        <f t="shared" si="206"/>
        <v>278.55937893537259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6.1458195431823013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0</v>
      </c>
      <c r="BS203" s="22">
        <f t="shared" si="169"/>
        <v>6.1458195431823013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1.3070441688874561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1.4714192565876152</v>
      </c>
      <c r="BA205" s="81">
        <f>EXP(LN('Données projet'!B88)/'Données projet'!A88)</f>
        <v>1.2765231539157764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2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3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2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4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4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3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2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3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3"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3" t="s">
        <v>271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5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Douglas</v>
      </c>
      <c r="B6" s="144">
        <f>'Données projet'!D9</f>
        <v>0.61666666660500002</v>
      </c>
      <c r="C6" s="145">
        <f ca="1">IF(OR('Données projet'!B9="",'Données projet'!C9="",'Données projet'!C9=0%),0,Calculateur!S3)</f>
        <v>382.55387448074327</v>
      </c>
      <c r="D6" s="145">
        <f>IF(OR('Données projet'!B9="",'Données projet'!C9="",'Données projet'!C9=0%),0,Calculateur!T3)</f>
        <v>476.29465646955543</v>
      </c>
      <c r="E6" s="145">
        <f ca="1">MIN(C6,D6)</f>
        <v>382.55387448074327</v>
      </c>
      <c r="F6" s="145">
        <f ca="1">E6*B6</f>
        <v>235.90822257286754</v>
      </c>
      <c r="G6" s="145">
        <f ca="1">F6*(100%-'Données projet'!$C$24)*(100%-'Données projet'!$C$25)*(100%-'Données projet'!$C$26)*(100%-'Données projet'!$C$27)</f>
        <v>212.31740031558078</v>
      </c>
      <c r="H6" s="146">
        <f>IF(OR('Données projet'!B9="",'Données projet'!C9="",'Données projet'!C9=0%),0,AVERAGE(Calculateur!$AC$3:$AC$33)*B6)</f>
        <v>2.8821089474444554</v>
      </c>
      <c r="I6" s="147">
        <f>H6*(100%-'Données projet'!$C$24)*(100%-'Données projet'!$C$25)*(100%-'Données projet'!$C$26)*(100%-'Données projet'!$C$27)</f>
        <v>2.5938980527000099</v>
      </c>
      <c r="J6" s="148">
        <f>IF(OR('Données projet'!B9="",'Données projet'!C9="",'Données projet'!C9=0%),0,SUM(Calculateur!$V$3:$V$33)*VLOOKUP('Données projet'!$B$9,Paramètres!$A$1:$I$89,9,0)*B6)</f>
        <v>28.637999997136198</v>
      </c>
      <c r="K6" s="149">
        <f>J6*(100%-'Données projet'!$C$24)*(100%-'Données projet'!$C$25)*(100%-'Données projet'!$C$26)*(100%-'Données projet'!$C$27)</f>
        <v>25.774199997422578</v>
      </c>
      <c r="L6" s="150">
        <f ca="1">G6+I6+K6</f>
        <v>240.68549836570338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Mélèze hybride</v>
      </c>
      <c r="B7" s="152">
        <f>'Données projet'!D10</f>
        <v>0.61666666660500002</v>
      </c>
      <c r="C7" s="145">
        <f ca="1">IF(OR('Données projet'!B10="",'Données projet'!C10="",'Données projet'!C10=0%),0,Calculateur!AN3)</f>
        <v>417.99456559608217</v>
      </c>
      <c r="D7" s="145">
        <f>IF(OR('Données projet'!B10="",'Données projet'!C10="",'Données projet'!C10=0%),0,Calculateur!AO3)</f>
        <v>651.41353014863932</v>
      </c>
      <c r="E7" s="145">
        <f t="shared" ref="E7:E15" ca="1" si="0">MIN(C7,D7)</f>
        <v>417.99456559608217</v>
      </c>
      <c r="F7" s="145">
        <f t="shared" ref="F7:F15" ca="1" si="1">E7*B7</f>
        <v>257.763315425141</v>
      </c>
      <c r="G7" s="145">
        <f ca="1">F7*(100%-'Données projet'!$C$24)*(100%-'Données projet'!$C$25)*(100%-'Données projet'!$C$26)*(100%-'Données projet'!$C$27)</f>
        <v>231.9869838826269</v>
      </c>
      <c r="H7" s="153">
        <f>IF(OR('Données projet'!B10="",'Données projet'!C10="",'Données projet'!C10=0%),0,AVERAGE(Calculateur!$AX$3:$AX$33)*B7)</f>
        <v>0.92136444466699086</v>
      </c>
      <c r="I7" s="147">
        <f>H7*(100%-'Données projet'!$C$24)*(100%-'Données projet'!$C$25)*(100%-'Données projet'!$C$26)*(100%-'Données projet'!$C$27)</f>
        <v>0.82922800020029175</v>
      </c>
      <c r="J7" s="148">
        <f>IF(OR('Données projet'!B10="",'Données projet'!C10="",'Données projet'!C10=0%),0,SUM(Calculateur!$AQ$3:$AQ$33)*VLOOKUP('Données projet'!$B$10,Paramètres!$A$1:$I$89,9,0)*B7)</f>
        <v>28.37283333049605</v>
      </c>
      <c r="K7" s="149">
        <f>J7*(100%-'Données projet'!$C$24)*(100%-'Données projet'!$C$25)*(100%-'Données projet'!$C$26)*(100%-'Données projet'!$C$27)</f>
        <v>25.535549997446445</v>
      </c>
      <c r="L7" s="150">
        <f t="shared" ref="L7:L15" ca="1" si="2">G7+I7+K7</f>
        <v>258.35176188027361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>Chêne rouge d'Amérique</v>
      </c>
      <c r="B8" s="152">
        <f>'Données projet'!D11</f>
        <v>0.61666666660500002</v>
      </c>
      <c r="C8" s="145">
        <f ca="1">IF(OR('Données projet'!B11="",'Données projet'!C11="",'Données projet'!C11=0%),0,Calculateur!BI3)</f>
        <v>247.61330734992077</v>
      </c>
      <c r="D8" s="145">
        <f>IF(OR('Données projet'!B11="",'Données projet'!C11="",'Données projet'!C11=0%),0,Calculateur!BJ3)</f>
        <v>278.55937893537259</v>
      </c>
      <c r="E8" s="145">
        <f t="shared" ca="1" si="0"/>
        <v>247.61330734992077</v>
      </c>
      <c r="F8" s="145">
        <f t="shared" ca="1" si="1"/>
        <v>152.694872850515</v>
      </c>
      <c r="G8" s="145">
        <f ca="1">F8*(100%-'Données projet'!$C$24)*(100%-'Données projet'!$C$25)*(100%-'Données projet'!$C$26)*(100%-'Données projet'!$C$27)</f>
        <v>137.4253855654635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19.116666664755002</v>
      </c>
      <c r="K8" s="149">
        <f>J8*(100%-'Données projet'!$C$24)*(100%-'Données projet'!$C$25)*(100%-'Données projet'!$C$26)*(100%-'Données projet'!$C$27)</f>
        <v>17.204999998279501</v>
      </c>
      <c r="L8" s="150">
        <f t="shared" ca="1" si="2"/>
        <v>154.630385563743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646.36641084852351</v>
      </c>
      <c r="G16" s="164">
        <f t="shared" ca="1" si="3"/>
        <v>581.72976976367113</v>
      </c>
      <c r="H16" s="165">
        <f t="shared" si="3"/>
        <v>3.8034733921114463</v>
      </c>
      <c r="I16" s="165">
        <f t="shared" si="3"/>
        <v>3.4231260529003018</v>
      </c>
      <c r="J16" s="166">
        <f t="shared" si="3"/>
        <v>76.127499992387243</v>
      </c>
      <c r="K16" s="166">
        <f t="shared" si="3"/>
        <v>68.514749993148527</v>
      </c>
      <c r="L16" s="167">
        <f t="shared" ca="1" si="3"/>
        <v>653.66764580971994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5" t="s">
        <v>246</v>
      </c>
      <c r="G17" s="296"/>
      <c r="H17" s="296"/>
      <c r="I17" s="296"/>
      <c r="J17" s="296"/>
      <c r="K17" s="296"/>
      <c r="L17" s="296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2"/>
      <c r="G18" s="282"/>
      <c r="H18" s="282"/>
      <c r="I18" s="282"/>
      <c r="J18" s="282"/>
      <c r="K18" s="282"/>
      <c r="L18" s="282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Douglas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Mélèze hybride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>Chêne rouge d'Amérique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A3" zoomScale="70" zoomScaleNormal="70" workbookViewId="0">
      <selection activeCell="E79" sqref="E79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3" t="s">
        <v>272</v>
      </c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5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9" t="s">
        <v>315</v>
      </c>
      <c r="I4" s="269"/>
      <c r="K4" s="311" t="s">
        <v>253</v>
      </c>
      <c r="L4" s="312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3" t="s">
        <v>310</v>
      </c>
      <c r="S7" s="304"/>
      <c r="T7" s="304"/>
      <c r="U7" s="304"/>
      <c r="V7" s="305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Douglas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-1606.3054694201355</v>
      </c>
      <c r="U10" s="176">
        <f>'Données projet'!D9</f>
        <v>0.61666666660500002</v>
      </c>
      <c r="V10" s="175">
        <f>U10*T10</f>
        <v>-990.55503937669482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Mélèze hybride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-1575.8199834075067</v>
      </c>
      <c r="U11" s="176">
        <f>'Données projet'!D10</f>
        <v>0.61666666660500002</v>
      </c>
      <c r="V11" s="175">
        <f t="shared" ref="V11" si="0">U11*T11</f>
        <v>-971.75565633745362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>Chêne rouge d'Amérique</v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-1440.7773654739233</v>
      </c>
      <c r="U12" s="176">
        <f>'Données projet'!D11</f>
        <v>0.61666666660500002</v>
      </c>
      <c r="V12" s="175">
        <f t="shared" ref="V12:V19" si="1">U12*T12</f>
        <v>-888.4793752867381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Douglas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314" t="s">
        <v>318</v>
      </c>
      <c r="H15" s="188">
        <v>0</v>
      </c>
      <c r="I15" s="189"/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4"/>
      <c r="H16" s="188"/>
      <c r="I16" s="189"/>
      <c r="J16" s="200"/>
      <c r="K16" s="206"/>
      <c r="L16" s="311" t="s">
        <v>254</v>
      </c>
      <c r="M16" s="312"/>
      <c r="N16" s="2">
        <v>60</v>
      </c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>
        <v>1930.16</v>
      </c>
      <c r="F17" s="228"/>
      <c r="G17" s="314"/>
      <c r="J17" s="200"/>
      <c r="K17" s="206"/>
      <c r="L17" s="271" t="s">
        <v>289</v>
      </c>
      <c r="M17" s="273"/>
      <c r="N17" s="173">
        <f>VLOOKUP(N16,Calculateur!$A$2:$H$153,3,0)/VLOOKUP('Scénario référence'!$G$15,Paramètres!A1:I89,3,0)/VLOOKUP('Scénario référence'!$G$15,Paramètres!A1:I89,5,0)</f>
        <v>60.000000000000085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4"/>
      <c r="J18" s="200"/>
      <c r="K18" s="206"/>
      <c r="L18" s="271" t="s">
        <v>255</v>
      </c>
      <c r="M18" s="273"/>
      <c r="N18" s="190">
        <v>25</v>
      </c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4"/>
      <c r="H19" s="210" t="s">
        <v>178</v>
      </c>
      <c r="I19" s="210" t="s">
        <v>287</v>
      </c>
      <c r="J19" s="91"/>
      <c r="K19" s="171"/>
      <c r="L19" s="311" t="s">
        <v>288</v>
      </c>
      <c r="M19" s="312"/>
      <c r="N19" s="177">
        <f>N17*N18</f>
        <v>1500.000000000002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4"/>
      <c r="H20" s="188">
        <v>0</v>
      </c>
      <c r="I20" s="189">
        <v>5712.03</v>
      </c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>
        <v>480</v>
      </c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19</v>
      </c>
      <c r="B23" s="179">
        <f>'Données projet'!D36</f>
        <v>0</v>
      </c>
      <c r="C23" s="191">
        <v>10</v>
      </c>
      <c r="D23" s="180">
        <f>B23*C23</f>
        <v>0</v>
      </c>
      <c r="E23" s="191"/>
      <c r="F23" s="228"/>
      <c r="H23" s="188">
        <v>3</v>
      </c>
      <c r="I23" s="189">
        <v>336</v>
      </c>
      <c r="K23" s="206"/>
      <c r="L23" s="313" t="s">
        <v>260</v>
      </c>
      <c r="M23" s="313"/>
      <c r="N23" s="313"/>
      <c r="O23" s="23"/>
      <c r="P23" s="23"/>
      <c r="Q23" s="232"/>
      <c r="R23" s="23"/>
      <c r="S23" s="36" t="s">
        <v>264</v>
      </c>
      <c r="T23" s="30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-15311.315876136483</v>
      </c>
      <c r="U23" s="308"/>
      <c r="V23" s="308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25</v>
      </c>
      <c r="B24" s="179">
        <f>'Données projet'!D37</f>
        <v>54</v>
      </c>
      <c r="C24" s="191">
        <v>10</v>
      </c>
      <c r="D24" s="180">
        <f t="shared" ref="D24:D42" si="2">B24*C24</f>
        <v>540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9">
        <f ca="1">'Scénario référence'!$B$8*$M$30*'Données projet'!$C$5+('Scénario référence'!B9+'Scénario référence'!B10+'Scénario référence'!F8+'Scénario référence'!F9)*$N$19/(1+M4)^N16*'Données projet'!$C$5</f>
        <v>197.82699797905337</v>
      </c>
      <c r="U24" s="309"/>
      <c r="V24" s="309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30</v>
      </c>
      <c r="B25" s="179">
        <f>'Données projet'!D38</f>
        <v>54</v>
      </c>
      <c r="C25" s="191">
        <v>10</v>
      </c>
      <c r="D25" s="180">
        <f t="shared" si="2"/>
        <v>540</v>
      </c>
      <c r="E25" s="191"/>
      <c r="F25" s="231"/>
      <c r="H25" s="188">
        <v>5</v>
      </c>
      <c r="I25" s="189">
        <v>336</v>
      </c>
      <c r="K25" s="206"/>
      <c r="L25" s="128" t="s">
        <v>285</v>
      </c>
      <c r="M25" s="128"/>
      <c r="N25" s="128"/>
      <c r="O25" s="128"/>
      <c r="P25" s="190">
        <v>0</v>
      </c>
      <c r="Q25" s="232"/>
      <c r="R25" s="23"/>
      <c r="S25" s="184" t="s">
        <v>266</v>
      </c>
      <c r="T25" s="310">
        <f ca="1">T23-T24</f>
        <v>-15509.142874115536</v>
      </c>
      <c r="U25" s="310"/>
      <c r="V25" s="310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35</v>
      </c>
      <c r="B26" s="179">
        <f>'Données projet'!D39</f>
        <v>69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7" t="s">
        <v>258</v>
      </c>
      <c r="M26" s="298"/>
      <c r="N26" s="298"/>
      <c r="O26" s="298"/>
      <c r="P26" s="299"/>
      <c r="Q26" s="232"/>
      <c r="R26" s="23"/>
      <c r="S26" s="184" t="s">
        <v>265</v>
      </c>
      <c r="T26" s="307" t="str">
        <f ca="1">IF(T25&lt;0,"Votre projet est additionnel","Votre projet n'est pas additionnel")</f>
        <v>Votre projet est additionnel</v>
      </c>
      <c r="U26" s="307"/>
      <c r="V26" s="307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40</v>
      </c>
      <c r="B27" s="179">
        <f>'Données projet'!D40</f>
        <v>72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300"/>
      <c r="M27" s="301"/>
      <c r="N27" s="301"/>
      <c r="O27" s="301"/>
      <c r="P27" s="302"/>
      <c r="Q27" s="232"/>
      <c r="R27" s="23"/>
      <c r="S27" s="306" t="s">
        <v>267</v>
      </c>
      <c r="T27" s="306"/>
      <c r="U27" s="306"/>
      <c r="V27" s="306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45</v>
      </c>
      <c r="B28" s="179">
        <f>'Données projet'!D41</f>
        <v>66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50</v>
      </c>
      <c r="B29" s="179">
        <f>'Données projet'!D42</f>
        <v>48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55</v>
      </c>
      <c r="B30" s="179">
        <f>'Données projet'!D43</f>
        <v>35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60</v>
      </c>
      <c r="B31" s="179">
        <f>'Données projet'!D44</f>
        <v>29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0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0</v>
      </c>
      <c r="B34" s="179">
        <f>'Données projet'!D47</f>
        <v>0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0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0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0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0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0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0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0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0</v>
      </c>
      <c r="B42" s="179">
        <f>'Données projet'!D55</f>
        <v>0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Mélèze hybride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>
        <v>1861.51</v>
      </c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12</v>
      </c>
      <c r="B54" s="179">
        <f>'Données projet'!D62</f>
        <v>0</v>
      </c>
      <c r="C54" s="189">
        <v>10</v>
      </c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18</v>
      </c>
      <c r="B55" s="179">
        <f>'Données projet'!D63</f>
        <v>0</v>
      </c>
      <c r="C55" s="189">
        <v>10</v>
      </c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24</v>
      </c>
      <c r="B56" s="179">
        <f>'Données projet'!D64</f>
        <v>0</v>
      </c>
      <c r="C56" s="189">
        <v>10</v>
      </c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30</v>
      </c>
      <c r="B57" s="179">
        <f>'Données projet'!D65</f>
        <v>107</v>
      </c>
      <c r="C57" s="189">
        <v>10</v>
      </c>
      <c r="D57" s="177">
        <f t="shared" si="4"/>
        <v>1070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36</v>
      </c>
      <c r="B58" s="179">
        <f>'Données projet'!D66</f>
        <v>119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42</v>
      </c>
      <c r="B59" s="179">
        <f>'Données projet'!D67</f>
        <v>121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48</v>
      </c>
      <c r="B60" s="179">
        <f>'Données projet'!D68</f>
        <v>123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54</v>
      </c>
      <c r="B61" s="179">
        <f>'Données projet'!D69</f>
        <v>119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60</v>
      </c>
      <c r="B62" s="179">
        <f>'Données projet'!D70</f>
        <v>112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66</v>
      </c>
      <c r="B63" s="179">
        <f>'Données projet'!D71</f>
        <v>109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72</v>
      </c>
      <c r="B64" s="179">
        <f>'Données projet'!D72</f>
        <v>101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>
        <f>IF(O63+1&lt;=MIN('Données projet'!$E$9:$E$18),O63+1,"STOP")</f>
        <v>31</v>
      </c>
      <c r="P64" s="183">
        <f t="shared" si="3"/>
        <v>0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78</v>
      </c>
      <c r="B65" s="179">
        <f>'Données projet'!D73</f>
        <v>0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>
        <f>IF(O64+1&lt;=MIN('Données projet'!$E$9:$E$18),O64+1,"STOP")</f>
        <v>32</v>
      </c>
      <c r="P65" s="183">
        <f t="shared" ref="P65:P96" si="5">$P$25/(1+$M$4)^O65</f>
        <v>0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0</v>
      </c>
      <c r="B66" s="179">
        <f>'Données projet'!D74</f>
        <v>0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>
        <f>IF(O65+1&lt;=MIN('Données projet'!$E$9:$E$18),O65+1,"STOP")</f>
        <v>33</v>
      </c>
      <c r="P66" s="183">
        <f t="shared" si="5"/>
        <v>0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0</v>
      </c>
      <c r="B67" s="179">
        <f>'Données projet'!D75</f>
        <v>0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>
        <f>IF(O66+1&lt;=MIN('Données projet'!$E$9:$E$18),O66+1,"STOP")</f>
        <v>34</v>
      </c>
      <c r="P67" s="183">
        <f t="shared" si="5"/>
        <v>0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0</v>
      </c>
      <c r="B68" s="179">
        <f>'Données projet'!D76</f>
        <v>0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>
        <f>IF(O67+1&lt;=MIN('Données projet'!$E$9:$E$18),O67+1,"STOP")</f>
        <v>35</v>
      </c>
      <c r="P68" s="183">
        <f t="shared" si="5"/>
        <v>0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0</v>
      </c>
      <c r="B69" s="179">
        <f>'Données projet'!D77</f>
        <v>0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>
        <f>IF(O68+1&lt;=MIN('Données projet'!$E$9:$E$18),O68+1,"STOP")</f>
        <v>36</v>
      </c>
      <c r="P69" s="183">
        <f t="shared" si="5"/>
        <v>0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0</v>
      </c>
      <c r="B70" s="179">
        <f>'Données projet'!D78</f>
        <v>0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>
        <f>IF(O69+1&lt;=MIN('Données projet'!$E$9:$E$18),O69+1,"STOP")</f>
        <v>37</v>
      </c>
      <c r="P70" s="183">
        <f t="shared" si="5"/>
        <v>0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0</v>
      </c>
      <c r="B71" s="179">
        <f>'Données projet'!D79</f>
        <v>0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>
        <f>IF(O70+1&lt;=MIN('Données projet'!$E$9:$E$18),O70+1,"STOP")</f>
        <v>38</v>
      </c>
      <c r="P71" s="183">
        <f t="shared" si="5"/>
        <v>0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0</v>
      </c>
      <c r="B72" s="179">
        <f>'Données projet'!D80</f>
        <v>0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>
        <f>IF(O71+1&lt;=MIN('Données projet'!$E$9:$E$18),O71+1,"STOP")</f>
        <v>39</v>
      </c>
      <c r="P72" s="183">
        <f t="shared" si="5"/>
        <v>0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>
        <f>IF(O72+1&lt;=MIN('Données projet'!$E$9:$E$18),O72+1,"STOP")</f>
        <v>40</v>
      </c>
      <c r="P73" s="183">
        <f t="shared" si="5"/>
        <v>0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>
        <f>IF(O73+1&lt;=MIN('Données projet'!$E$9:$E$18),O73+1,"STOP")</f>
        <v>41</v>
      </c>
      <c r="P74" s="183">
        <f t="shared" si="5"/>
        <v>0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>
        <f>IF(O74+1&lt;=MIN('Données projet'!$E$9:$E$18),O74+1,"STOP")</f>
        <v>42</v>
      </c>
      <c r="P75" s="183">
        <f t="shared" si="5"/>
        <v>0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>Chêne rouge d'Amérique</v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>
        <f>IF(O75+1&lt;=MIN('Données projet'!$E$9:$E$18),O75+1,"STOP")</f>
        <v>43</v>
      </c>
      <c r="P76" s="183">
        <f t="shared" si="5"/>
        <v>0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>
        <f>IF(O76+1&lt;=MIN('Données projet'!$E$9:$E$18),O76+1,"STOP")</f>
        <v>44</v>
      </c>
      <c r="P77" s="183">
        <f t="shared" si="5"/>
        <v>0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>
        <f>IF(O77+1&lt;=MIN('Données projet'!$E$9:$E$18),O77+1,"STOP")</f>
        <v>45</v>
      </c>
      <c r="P78" s="183">
        <f t="shared" si="5"/>
        <v>0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>
        <v>2084.61</v>
      </c>
      <c r="F79" s="229"/>
      <c r="G79" s="204"/>
      <c r="H79" s="188"/>
      <c r="I79" s="189"/>
      <c r="J79" s="4"/>
      <c r="K79" s="171"/>
      <c r="L79" s="4"/>
      <c r="M79" s="4"/>
      <c r="N79" s="4"/>
      <c r="O79" s="192">
        <f>IF(O78+1&lt;=MIN('Données projet'!$E$9:$E$18),O78+1,"STOP")</f>
        <v>46</v>
      </c>
      <c r="P79" s="183">
        <f t="shared" si="5"/>
        <v>0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>
        <f>IF(O79+1&lt;=MIN('Données projet'!$E$9:$E$18),O79+1,"STOP")</f>
        <v>47</v>
      </c>
      <c r="P80" s="183">
        <f t="shared" si="5"/>
        <v>0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>
        <f>IF(O80+1&lt;=MIN('Données projet'!$E$9:$E$18),O80+1,"STOP")</f>
        <v>48</v>
      </c>
      <c r="P81" s="183">
        <f t="shared" si="5"/>
        <v>0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>
        <f>IF(O81+1&lt;=MIN('Données projet'!$E$9:$E$18),O81+1,"STOP")</f>
        <v>49</v>
      </c>
      <c r="P82" s="183">
        <f t="shared" si="5"/>
        <v>0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>
        <f>IF(O82+1&lt;=MIN('Données projet'!$E$9:$E$18),O82+1,"STOP")</f>
        <v>50</v>
      </c>
      <c r="P83" s="183">
        <f t="shared" si="5"/>
        <v>0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>
        <f>IF(O83+1&lt;=MIN('Données projet'!$E$9:$E$18),O83+1,"STOP")</f>
        <v>51</v>
      </c>
      <c r="P84" s="183">
        <f t="shared" si="5"/>
        <v>0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20</v>
      </c>
      <c r="B85" s="179">
        <f>'Données projet'!D88</f>
        <v>50</v>
      </c>
      <c r="C85" s="189">
        <v>15</v>
      </c>
      <c r="D85" s="177">
        <f>B85*C85</f>
        <v>750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>
        <f>IF(O84+1&lt;=MIN('Données projet'!$E$9:$E$18),O84+1,"STOP")</f>
        <v>52</v>
      </c>
      <c r="P85" s="183">
        <f t="shared" si="5"/>
        <v>0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25</v>
      </c>
      <c r="B86" s="179">
        <f>'Données projet'!D89</f>
        <v>37</v>
      </c>
      <c r="C86" s="189">
        <v>15</v>
      </c>
      <c r="D86" s="177">
        <f t="shared" ref="D86:D104" si="6">B86*C86</f>
        <v>555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>
        <f>IF(O85+1&lt;=MIN('Données projet'!$E$9:$E$18),O85+1,"STOP")</f>
        <v>53</v>
      </c>
      <c r="P86" s="183">
        <f t="shared" si="5"/>
        <v>0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30</v>
      </c>
      <c r="B87" s="179">
        <f>'Données projet'!D90</f>
        <v>37</v>
      </c>
      <c r="C87" s="189">
        <v>15</v>
      </c>
      <c r="D87" s="177">
        <f t="shared" si="6"/>
        <v>555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>
        <f>IF(O86+1&lt;=MIN('Données projet'!$E$9:$E$18),O86+1,"STOP")</f>
        <v>54</v>
      </c>
      <c r="P87" s="183">
        <f t="shared" si="5"/>
        <v>0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35</v>
      </c>
      <c r="B88" s="179">
        <f>'Données projet'!D91</f>
        <v>36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>
        <f>IF(O87+1&lt;=MIN('Données projet'!$E$9:$E$18),O87+1,"STOP")</f>
        <v>55</v>
      </c>
      <c r="P88" s="183">
        <f t="shared" si="5"/>
        <v>0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40</v>
      </c>
      <c r="B89" s="179">
        <f>'Données projet'!D92</f>
        <v>33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>
        <f>IF(O88+1&lt;=MIN('Données projet'!$E$9:$E$18),O88+1,"STOP")</f>
        <v>56</v>
      </c>
      <c r="P89" s="183">
        <f t="shared" si="5"/>
        <v>0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45</v>
      </c>
      <c r="B90" s="179">
        <f>'Données projet'!D93</f>
        <v>31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>
        <f>IF(O89+1&lt;=MIN('Données projet'!$E$9:$E$18),O89+1,"STOP")</f>
        <v>57</v>
      </c>
      <c r="P90" s="183">
        <f t="shared" si="5"/>
        <v>0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50</v>
      </c>
      <c r="B91" s="179">
        <f>'Données projet'!D94</f>
        <v>28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>
        <f>IF(O90+1&lt;=MIN('Données projet'!$E$9:$E$18),O90+1,"STOP")</f>
        <v>58</v>
      </c>
      <c r="P91" s="183">
        <f t="shared" si="5"/>
        <v>0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55</v>
      </c>
      <c r="B92" s="179">
        <f>'Données projet'!D95</f>
        <v>25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>
        <f>IF(O91+1&lt;=MIN('Données projet'!$E$9:$E$18),O91+1,"STOP")</f>
        <v>59</v>
      </c>
      <c r="P92" s="183">
        <f t="shared" si="5"/>
        <v>0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60</v>
      </c>
      <c r="B93" s="179">
        <f>'Données projet'!D96</f>
        <v>22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>
        <f>IF(O92+1&lt;=MIN('Données projet'!$E$9:$E$18),O92+1,"STOP")</f>
        <v>60</v>
      </c>
      <c r="P93" s="183">
        <f t="shared" si="5"/>
        <v>0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65</v>
      </c>
      <c r="B94" s="179">
        <f>'Données projet'!D97</f>
        <v>20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str">
        <f>IF(O93+1&lt;=MIN('Données projet'!$E$9:$E$18),O93+1,"STOP")</f>
        <v>STOP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70</v>
      </c>
      <c r="B95" s="179">
        <f>'Données projet'!D98</f>
        <v>17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75</v>
      </c>
      <c r="B96" s="179">
        <f>'Données projet'!D99</f>
        <v>15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80</v>
      </c>
      <c r="B97" s="179">
        <f>'Données projet'!D100</f>
        <v>13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85</v>
      </c>
      <c r="B98" s="179">
        <f>'Données projet'!D101</f>
        <v>12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90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2023-09-20T11:44:04Z</dcterms:modified>
</cp:coreProperties>
</file>