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Naudet GF BDMC_Arleuf (58)\Dossier d'instruction\"/>
    </mc:Choice>
  </mc:AlternateContent>
  <xr:revisionPtr revIDLastSave="0" documentId="13_ncr:1_{323A6B51-F314-49B9-A98C-F8DDF4031F2D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AH163" i="2" l="1" a="1"/>
  <c r="AH163" i="2" s="1"/>
  <c r="AH62" i="2" a="1"/>
  <c r="AH62" i="2" s="1"/>
  <c r="AH19" i="2" a="1"/>
  <c r="AH19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<sst xmlns="http://schemas.openxmlformats.org/spreadsheetml/2006/main" count="1172" uniqueCount="324">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</sst>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2.0607196240867185</c:v>
                </c:pt>
                <c:pt idx="2">
                  <c:v>2.9893948055540753</c:v>
                </c:pt>
                <c:pt idx="3">
                  <c:v>4.3384621350851766</c:v>
                </c:pt>
                <c:pt idx="4">
                  <c:v>6.2990240910460562</c:v>
                </c:pt>
                <c:pt idx="5">
                  <c:v>9.1493934850154712</c:v>
                </c:pt>
                <c:pt idx="6">
                  <c:v>13.29503508330191</c:v>
                </c:pt>
                <c:pt idx="7">
                  <c:v>19.326860189100952</c:v>
                </c:pt>
                <c:pt idx="8">
                  <c:v>28.106332401580133</c:v>
                </c:pt>
                <c:pt idx="9">
                  <c:v>40.889751340617188</c:v>
                </c:pt>
                <c:pt idx="10">
                  <c:v>59.509800226654647</c:v>
                </c:pt>
                <c:pt idx="11">
                  <c:v>86.640813317060122</c:v>
                </c:pt>
                <c:pt idx="12">
                  <c:v>126.18647172443542</c:v>
                </c:pt>
                <c:pt idx="13">
                  <c:v>157.71824086556347</c:v>
                </c:pt>
                <c:pt idx="14">
                  <c:v>189.09987078266829</c:v>
                </c:pt>
                <c:pt idx="15">
                  <c:v>220.35985745933877</c:v>
                </c:pt>
                <c:pt idx="16">
                  <c:v>251.51790458784345</c:v>
                </c:pt>
                <c:pt idx="17">
                  <c:v>282.58841873546118</c:v>
                </c:pt>
                <c:pt idx="18">
                  <c:v>313.5823736447677</c:v>
                </c:pt>
                <c:pt idx="19">
                  <c:v>344.89699962209301</c:v>
                </c:pt>
                <c:pt idx="20">
                  <c:v>376.14917567149308</c:v>
                </c:pt>
                <c:pt idx="21">
                  <c:v>407.34481392391916</c:v>
                </c:pt>
                <c:pt idx="22">
                  <c:v>438.48884746820949</c:v>
                </c:pt>
                <c:pt idx="23">
                  <c:v>469.58545194351694</c:v>
                </c:pt>
                <c:pt idx="24">
                  <c:v>500.63820532506946</c:v>
                </c:pt>
                <c:pt idx="25">
                  <c:v>531.45770490349082</c:v>
                </c:pt>
                <c:pt idx="26">
                  <c:v>562.23961549828152</c:v>
                </c:pt>
                <c:pt idx="27">
                  <c:v>592.98628128561154</c:v>
                </c:pt>
                <c:pt idx="28">
                  <c:v>623.69978384942158</c:v>
                </c:pt>
                <c:pt idx="29">
                  <c:v>654.38198333446974</c:v>
                </c:pt>
                <c:pt idx="30">
                  <c:v>685.03455148539751</c:v>
                </c:pt>
                <c:pt idx="31">
                  <c:v>589.72105713243729</c:v>
                </c:pt>
                <c:pt idx="32">
                  <c:v>617.55964420585894</c:v>
                </c:pt>
                <c:pt idx="33">
                  <c:v>645.37223239465152</c:v>
                </c:pt>
                <c:pt idx="34">
                  <c:v>673.16009810386652</c:v>
                </c:pt>
                <c:pt idx="35">
                  <c:v>700.9244039153624</c:v>
                </c:pt>
                <c:pt idx="36">
                  <c:v>728.66621293330593</c:v>
                </c:pt>
                <c:pt idx="37">
                  <c:v>613.52949058574461</c:v>
                </c:pt>
                <c:pt idx="38">
                  <c:v>635.20918338672129</c:v>
                </c:pt>
                <c:pt idx="39">
                  <c:v>656.87358917001859</c:v>
                </c:pt>
                <c:pt idx="40">
                  <c:v>678.52328253057647</c:v>
                </c:pt>
                <c:pt idx="41">
                  <c:v>700.15879844739709</c:v>
                </c:pt>
                <c:pt idx="42">
                  <c:v>721.78063617918542</c:v>
                </c:pt>
                <c:pt idx="43">
                  <c:v>602.97171294385669</c:v>
                </c:pt>
                <c:pt idx="44">
                  <c:v>623.31606193343498</c:v>
                </c:pt>
                <c:pt idx="45">
                  <c:v>643.64666599719283</c:v>
                </c:pt>
                <c:pt idx="46">
                  <c:v>663.96401997733767</c:v>
                </c:pt>
                <c:pt idx="47">
                  <c:v>684.26858599320337</c:v>
                </c:pt>
                <c:pt idx="48">
                  <c:v>704.56079653148981</c:v>
                </c:pt>
                <c:pt idx="49">
                  <c:v>581.46027451778127</c:v>
                </c:pt>
                <c:pt idx="50">
                  <c:v>599.89964131400052</c:v>
                </c:pt>
                <c:pt idx="51">
                  <c:v>618.32723058708575</c:v>
                </c:pt>
                <c:pt idx="52">
                  <c:v>636.74344246671978</c:v>
                </c:pt>
                <c:pt idx="53">
                  <c:v>655.14865206958962</c:v>
                </c:pt>
                <c:pt idx="54">
                  <c:v>673.54321173604603</c:v>
                </c:pt>
                <c:pt idx="55">
                  <c:v>551.85477188223149</c:v>
                </c:pt>
                <c:pt idx="56">
                  <c:v>567.23828915823242</c:v>
                </c:pt>
                <c:pt idx="57">
                  <c:v>582.61308793264277</c:v>
                </c:pt>
                <c:pt idx="58">
                  <c:v>597.97943056582483</c:v>
                </c:pt>
                <c:pt idx="59">
                  <c:v>613.33756484248352</c:v>
                </c:pt>
                <c:pt idx="60">
                  <c:v>628.68772513366332</c:v>
                </c:pt>
                <c:pt idx="61">
                  <c:v>514.89705740807574</c:v>
                </c:pt>
                <c:pt idx="62">
                  <c:v>530.3026675905711</c:v>
                </c:pt>
                <c:pt idx="63">
                  <c:v>545.6988620323956</c:v>
                </c:pt>
                <c:pt idx="64">
                  <c:v>561.08594367871183</c:v>
                </c:pt>
                <c:pt idx="65">
                  <c:v>576.46419751222754</c:v>
                </c:pt>
                <c:pt idx="66">
                  <c:v>591.83389207891116</c:v>
                </c:pt>
                <c:pt idx="67">
                  <c:v>479.4266278701495</c:v>
                </c:pt>
                <c:pt idx="68">
                  <c:v>492.92715337500175</c:v>
                </c:pt>
                <c:pt idx="69">
                  <c:v>506.41984231344003</c:v>
                </c:pt>
                <c:pt idx="70">
                  <c:v>519.90493284545062</c:v>
                </c:pt>
                <c:pt idx="71">
                  <c:v>533.38264977204346</c:v>
                </c:pt>
                <c:pt idx="72">
                  <c:v>546.85320561027572</c:v>
                </c:pt>
                <c:pt idx="73">
                  <c:v>442.35428155420988</c:v>
                </c:pt>
                <c:pt idx="74">
                  <c:v>454.71884141798836</c:v>
                </c:pt>
                <c:pt idx="75">
                  <c:v>467.07621791591777</c:v>
                </c:pt>
                <c:pt idx="76">
                  <c:v>479.4266278701495</c:v>
                </c:pt>
                <c:pt idx="77">
                  <c:v>491.77027602140174</c:v>
                </c:pt>
                <c:pt idx="78">
                  <c:v>504.10735599489294</c:v>
                </c:pt>
                <c:pt idx="79">
                  <c:v>504.10735599489294</c:v>
                </c:pt>
                <c:pt idx="80">
                  <c:v>504.10735599489294</c:v>
                </c:pt>
                <c:pt idx="81">
                  <c:v>504.10735599489294</c:v>
                </c:pt>
                <c:pt idx="82">
                  <c:v>504.10735599489294</c:v>
                </c:pt>
                <c:pt idx="83">
                  <c:v>504.10735599489294</c:v>
                </c:pt>
                <c:pt idx="84">
                  <c:v>504.10735599489294</c:v>
                </c:pt>
                <c:pt idx="85">
                  <c:v>504.10735599489294</c:v>
                </c:pt>
                <c:pt idx="86">
                  <c:v>504.10735599489294</c:v>
                </c:pt>
                <c:pt idx="87">
                  <c:v>504.10735599489294</c:v>
                </c:pt>
                <c:pt idx="88">
                  <c:v>504.10735599489294</c:v>
                </c:pt>
                <c:pt idx="89">
                  <c:v>504.10735599489294</c:v>
                </c:pt>
                <c:pt idx="90">
                  <c:v>504.10735599489294</c:v>
                </c:pt>
                <c:pt idx="91">
                  <c:v>504.10735599489294</c:v>
                </c:pt>
                <c:pt idx="92">
                  <c:v>504.10735599489294</c:v>
                </c:pt>
                <c:pt idx="93">
                  <c:v>504.10735599489294</c:v>
                </c:pt>
                <c:pt idx="94">
                  <c:v>504.10735599489294</c:v>
                </c:pt>
                <c:pt idx="95">
                  <c:v>504.10735599489294</c:v>
                </c:pt>
                <c:pt idx="96">
                  <c:v>504.10735599489294</c:v>
                </c:pt>
                <c:pt idx="97">
                  <c:v>504.10735599489294</c:v>
                </c:pt>
                <c:pt idx="98">
                  <c:v>504.10735599489294</c:v>
                </c:pt>
                <c:pt idx="99">
                  <c:v>504.10735599489294</c:v>
                </c:pt>
                <c:pt idx="100">
                  <c:v>504.10735599489294</c:v>
                </c:pt>
                <c:pt idx="101">
                  <c:v>504.10735599489294</c:v>
                </c:pt>
                <c:pt idx="102">
                  <c:v>504.10735599489294</c:v>
                </c:pt>
                <c:pt idx="103">
                  <c:v>504.10735599489294</c:v>
                </c:pt>
                <c:pt idx="104">
                  <c:v>504.10735599489294</c:v>
                </c:pt>
                <c:pt idx="105">
                  <c:v>504.10735599489294</c:v>
                </c:pt>
                <c:pt idx="106">
                  <c:v>504.10735599489294</c:v>
                </c:pt>
                <c:pt idx="107">
                  <c:v>504.10735599489294</c:v>
                </c:pt>
                <c:pt idx="108">
                  <c:v>504.10735599489294</c:v>
                </c:pt>
                <c:pt idx="109">
                  <c:v>504.10735599489294</c:v>
                </c:pt>
                <c:pt idx="110">
                  <c:v>504.10735599489294</c:v>
                </c:pt>
                <c:pt idx="111">
                  <c:v>504.10735599489294</c:v>
                </c:pt>
                <c:pt idx="112">
                  <c:v>504.10735599489294</c:v>
                </c:pt>
                <c:pt idx="113">
                  <c:v>504.10735599489294</c:v>
                </c:pt>
                <c:pt idx="114">
                  <c:v>504.10735599489294</c:v>
                </c:pt>
                <c:pt idx="115">
                  <c:v>504.10735599489294</c:v>
                </c:pt>
                <c:pt idx="116">
                  <c:v>504.10735599489294</c:v>
                </c:pt>
                <c:pt idx="117">
                  <c:v>504.10735599489294</c:v>
                </c:pt>
                <c:pt idx="118">
                  <c:v>504.10735599489294</c:v>
                </c:pt>
                <c:pt idx="119">
                  <c:v>504.10735599489294</c:v>
                </c:pt>
                <c:pt idx="120">
                  <c:v>504.10735599489294</c:v>
                </c:pt>
                <c:pt idx="121">
                  <c:v>504.10735599489294</c:v>
                </c:pt>
                <c:pt idx="122">
                  <c:v>504.10735599489294</c:v>
                </c:pt>
                <c:pt idx="123">
                  <c:v>504.10735599489294</c:v>
                </c:pt>
                <c:pt idx="124">
                  <c:v>504.10735599489294</c:v>
                </c:pt>
                <c:pt idx="125">
                  <c:v>504.10735599489294</c:v>
                </c:pt>
                <c:pt idx="126">
                  <c:v>504.10735599489294</c:v>
                </c:pt>
                <c:pt idx="127">
                  <c:v>504.10735599489294</c:v>
                </c:pt>
                <c:pt idx="128">
                  <c:v>504.10735599489294</c:v>
                </c:pt>
                <c:pt idx="129">
                  <c:v>504.10735599489294</c:v>
                </c:pt>
                <c:pt idx="130">
                  <c:v>504.10735599489294</c:v>
                </c:pt>
                <c:pt idx="131">
                  <c:v>504.10735599489294</c:v>
                </c:pt>
                <c:pt idx="132">
                  <c:v>504.10735599489294</c:v>
                </c:pt>
                <c:pt idx="133">
                  <c:v>504.10735599489294</c:v>
                </c:pt>
                <c:pt idx="134">
                  <c:v>504.10735599489294</c:v>
                </c:pt>
                <c:pt idx="135">
                  <c:v>504.10735599489294</c:v>
                </c:pt>
                <c:pt idx="136">
                  <c:v>504.10735599489294</c:v>
                </c:pt>
                <c:pt idx="137">
                  <c:v>504.10735599489294</c:v>
                </c:pt>
                <c:pt idx="138">
                  <c:v>504.10735599489294</c:v>
                </c:pt>
                <c:pt idx="139">
                  <c:v>504.10735599489294</c:v>
                </c:pt>
                <c:pt idx="140">
                  <c:v>504.10735599489294</c:v>
                </c:pt>
                <c:pt idx="141">
                  <c:v>504.10735599489294</c:v>
                </c:pt>
                <c:pt idx="142">
                  <c:v>504.10735599489294</c:v>
                </c:pt>
                <c:pt idx="143">
                  <c:v>504.10735599489294</c:v>
                </c:pt>
                <c:pt idx="144">
                  <c:v>504.10735599489294</c:v>
                </c:pt>
                <c:pt idx="145">
                  <c:v>504.10735599489294</c:v>
                </c:pt>
                <c:pt idx="146">
                  <c:v>504.10735599489294</c:v>
                </c:pt>
                <c:pt idx="147">
                  <c:v>504.10735599489294</c:v>
                </c:pt>
                <c:pt idx="148">
                  <c:v>504.10735599489294</c:v>
                </c:pt>
                <c:pt idx="149">
                  <c:v>504.10735599489294</c:v>
                </c:pt>
                <c:pt idx="150">
                  <c:v>504.10735599489294</c:v>
                </c:pt>
                <c:pt idx="151">
                  <c:v>504.10735599489294</c:v>
                </c:pt>
                <c:pt idx="152">
                  <c:v>504.10735599489294</c:v>
                </c:pt>
                <c:pt idx="153">
                  <c:v>504.10735599489294</c:v>
                </c:pt>
                <c:pt idx="154">
                  <c:v>504.10735599489294</c:v>
                </c:pt>
                <c:pt idx="155">
                  <c:v>504.10735599489294</c:v>
                </c:pt>
                <c:pt idx="156">
                  <c:v>504.10735599489294</c:v>
                </c:pt>
                <c:pt idx="157">
                  <c:v>504.10735599489294</c:v>
                </c:pt>
                <c:pt idx="158">
                  <c:v>504.10735599489294</c:v>
                </c:pt>
                <c:pt idx="159">
                  <c:v>504.10735599489294</c:v>
                </c:pt>
                <c:pt idx="160">
                  <c:v>504.10735599489294</c:v>
                </c:pt>
                <c:pt idx="161">
                  <c:v>504.10735599489294</c:v>
                </c:pt>
                <c:pt idx="162">
                  <c:v>504.10735599489294</c:v>
                </c:pt>
                <c:pt idx="163">
                  <c:v>504.10735599489294</c:v>
                </c:pt>
                <c:pt idx="164">
                  <c:v>504.10735599489294</c:v>
                </c:pt>
                <c:pt idx="165">
                  <c:v>504.10735599489294</c:v>
                </c:pt>
                <c:pt idx="166">
                  <c:v>504.10735599489294</c:v>
                </c:pt>
                <c:pt idx="167">
                  <c:v>504.10735599489294</c:v>
                </c:pt>
                <c:pt idx="168">
                  <c:v>504.10735599489294</c:v>
                </c:pt>
                <c:pt idx="169">
                  <c:v>504.10735599489294</c:v>
                </c:pt>
                <c:pt idx="170">
                  <c:v>504.10735599489294</c:v>
                </c:pt>
                <c:pt idx="171">
                  <c:v>504.10735599489294</c:v>
                </c:pt>
                <c:pt idx="172">
                  <c:v>504.10735599489294</c:v>
                </c:pt>
                <c:pt idx="173">
                  <c:v>504.10735599489294</c:v>
                </c:pt>
                <c:pt idx="174">
                  <c:v>504.10735599489294</c:v>
                </c:pt>
                <c:pt idx="175">
                  <c:v>504.10735599489294</c:v>
                </c:pt>
                <c:pt idx="176">
                  <c:v>504.10735599489294</c:v>
                </c:pt>
                <c:pt idx="177">
                  <c:v>504.10735599489294</c:v>
                </c:pt>
                <c:pt idx="178">
                  <c:v>504.10735599489294</c:v>
                </c:pt>
                <c:pt idx="179">
                  <c:v>504.10735599489294</c:v>
                </c:pt>
                <c:pt idx="180">
                  <c:v>504.10735599489294</c:v>
                </c:pt>
                <c:pt idx="181">
                  <c:v>504.10735599489294</c:v>
                </c:pt>
                <c:pt idx="182">
                  <c:v>504.10735599489294</c:v>
                </c:pt>
                <c:pt idx="183">
                  <c:v>504.10735599489294</c:v>
                </c:pt>
                <c:pt idx="184">
                  <c:v>504.10735599489294</c:v>
                </c:pt>
                <c:pt idx="185">
                  <c:v>504.10735599489294</c:v>
                </c:pt>
                <c:pt idx="186">
                  <c:v>504.10735599489294</c:v>
                </c:pt>
                <c:pt idx="187">
                  <c:v>504.10735599489294</c:v>
                </c:pt>
                <c:pt idx="188">
                  <c:v>504.10735599489294</c:v>
                </c:pt>
                <c:pt idx="189">
                  <c:v>504.10735599489294</c:v>
                </c:pt>
                <c:pt idx="190">
                  <c:v>504.10735599489294</c:v>
                </c:pt>
                <c:pt idx="191">
                  <c:v>504.10735599489294</c:v>
                </c:pt>
                <c:pt idx="192">
                  <c:v>504.10735599489294</c:v>
                </c:pt>
                <c:pt idx="193">
                  <c:v>504.10735599489294</c:v>
                </c:pt>
                <c:pt idx="194">
                  <c:v>504.10735599489294</c:v>
                </c:pt>
                <c:pt idx="195">
                  <c:v>504.10735599489294</c:v>
                </c:pt>
                <c:pt idx="196">
                  <c:v>504.10735599489294</c:v>
                </c:pt>
                <c:pt idx="197">
                  <c:v>504.10735599489294</c:v>
                </c:pt>
                <c:pt idx="198">
                  <c:v>504.10735599489294</c:v>
                </c:pt>
                <c:pt idx="199">
                  <c:v>504.10735599489294</c:v>
                </c:pt>
                <c:pt idx="200">
                  <c:v>504.10735599489294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448.07379769140448</c:v>
                </c:pt>
                <c:pt idx="92">
                  <c:v>448.07379769140448</c:v>
                </c:pt>
                <c:pt idx="93">
                  <c:v>448.07379769140448</c:v>
                </c:pt>
                <c:pt idx="94">
                  <c:v>448.07379769140448</c:v>
                </c:pt>
                <c:pt idx="95">
                  <c:v>448.07379769140448</c:v>
                </c:pt>
                <c:pt idx="96">
                  <c:v>448.07379769140448</c:v>
                </c:pt>
                <c:pt idx="97">
                  <c:v>448.07379769140448</c:v>
                </c:pt>
                <c:pt idx="98">
                  <c:v>448.07379769140448</c:v>
                </c:pt>
                <c:pt idx="99">
                  <c:v>448.07379769140448</c:v>
                </c:pt>
                <c:pt idx="100">
                  <c:v>448.07379769140448</c:v>
                </c:pt>
                <c:pt idx="101">
                  <c:v>448.07379769140448</c:v>
                </c:pt>
                <c:pt idx="102">
                  <c:v>448.07379769140448</c:v>
                </c:pt>
                <c:pt idx="103">
                  <c:v>448.07379769140448</c:v>
                </c:pt>
                <c:pt idx="104">
                  <c:v>448.07379769140448</c:v>
                </c:pt>
                <c:pt idx="105">
                  <c:v>448.07379769140448</c:v>
                </c:pt>
                <c:pt idx="106">
                  <c:v>448.07379769140448</c:v>
                </c:pt>
                <c:pt idx="107">
                  <c:v>448.07379769140448</c:v>
                </c:pt>
                <c:pt idx="108">
                  <c:v>448.07379769140448</c:v>
                </c:pt>
                <c:pt idx="109">
                  <c:v>448.07379769140448</c:v>
                </c:pt>
                <c:pt idx="110">
                  <c:v>448.07379769140448</c:v>
                </c:pt>
                <c:pt idx="111">
                  <c:v>448.07379769140448</c:v>
                </c:pt>
                <c:pt idx="112">
                  <c:v>448.07379769140448</c:v>
                </c:pt>
                <c:pt idx="113">
                  <c:v>448.07379769140448</c:v>
                </c:pt>
                <c:pt idx="114">
                  <c:v>448.07379769140448</c:v>
                </c:pt>
                <c:pt idx="115">
                  <c:v>448.07379769140448</c:v>
                </c:pt>
                <c:pt idx="116">
                  <c:v>448.07379769140448</c:v>
                </c:pt>
                <c:pt idx="117">
                  <c:v>448.07379769140448</c:v>
                </c:pt>
                <c:pt idx="118">
                  <c:v>448.07379769140448</c:v>
                </c:pt>
                <c:pt idx="119">
                  <c:v>448.07379769140448</c:v>
                </c:pt>
                <c:pt idx="120">
                  <c:v>448.07379769140448</c:v>
                </c:pt>
                <c:pt idx="121">
                  <c:v>448.07379769140448</c:v>
                </c:pt>
                <c:pt idx="122">
                  <c:v>448.07379769140448</c:v>
                </c:pt>
                <c:pt idx="123">
                  <c:v>448.07379769140448</c:v>
                </c:pt>
                <c:pt idx="124">
                  <c:v>448.07379769140448</c:v>
                </c:pt>
                <c:pt idx="125">
                  <c:v>448.07379769140448</c:v>
                </c:pt>
                <c:pt idx="126">
                  <c:v>448.07379769140448</c:v>
                </c:pt>
                <c:pt idx="127">
                  <c:v>448.07379769140448</c:v>
                </c:pt>
                <c:pt idx="128">
                  <c:v>448.07379769140448</c:v>
                </c:pt>
                <c:pt idx="129">
                  <c:v>448.07379769140448</c:v>
                </c:pt>
                <c:pt idx="130">
                  <c:v>448.07379769140448</c:v>
                </c:pt>
                <c:pt idx="131">
                  <c:v>448.07379769140448</c:v>
                </c:pt>
                <c:pt idx="132">
                  <c:v>448.07379769140448</c:v>
                </c:pt>
                <c:pt idx="133">
                  <c:v>448.07379769140448</c:v>
                </c:pt>
                <c:pt idx="134">
                  <c:v>448.07379769140448</c:v>
                </c:pt>
                <c:pt idx="135">
                  <c:v>448.07379769140448</c:v>
                </c:pt>
                <c:pt idx="136">
                  <c:v>448.07379769140448</c:v>
                </c:pt>
                <c:pt idx="137">
                  <c:v>448.07379769140448</c:v>
                </c:pt>
                <c:pt idx="138">
                  <c:v>448.07379769140448</c:v>
                </c:pt>
                <c:pt idx="139">
                  <c:v>448.07379769140448</c:v>
                </c:pt>
                <c:pt idx="140">
                  <c:v>448.07379769140448</c:v>
                </c:pt>
                <c:pt idx="141">
                  <c:v>448.07379769140448</c:v>
                </c:pt>
                <c:pt idx="142">
                  <c:v>448.07379769140448</c:v>
                </c:pt>
                <c:pt idx="143">
                  <c:v>448.07379769140448</c:v>
                </c:pt>
                <c:pt idx="144">
                  <c:v>448.07379769140448</c:v>
                </c:pt>
                <c:pt idx="145">
                  <c:v>448.07379769140448</c:v>
                </c:pt>
                <c:pt idx="146">
                  <c:v>448.07379769140448</c:v>
                </c:pt>
                <c:pt idx="147">
                  <c:v>448.07379769140448</c:v>
                </c:pt>
                <c:pt idx="148">
                  <c:v>448.07379769140448</c:v>
                </c:pt>
                <c:pt idx="149">
                  <c:v>448.07379769140448</c:v>
                </c:pt>
                <c:pt idx="150">
                  <c:v>448.07379769140448</c:v>
                </c:pt>
                <c:pt idx="151">
                  <c:v>448.07379769140448</c:v>
                </c:pt>
                <c:pt idx="152">
                  <c:v>448.07379769140448</c:v>
                </c:pt>
                <c:pt idx="153">
                  <c:v>448.07379769140448</c:v>
                </c:pt>
                <c:pt idx="154">
                  <c:v>448.07379769140448</c:v>
                </c:pt>
                <c:pt idx="155">
                  <c:v>448.07379769140448</c:v>
                </c:pt>
                <c:pt idx="156">
                  <c:v>448.07379769140448</c:v>
                </c:pt>
                <c:pt idx="157">
                  <c:v>448.07379769140448</c:v>
                </c:pt>
                <c:pt idx="158">
                  <c:v>448.07379769140448</c:v>
                </c:pt>
                <c:pt idx="159">
                  <c:v>448.07379769140448</c:v>
                </c:pt>
                <c:pt idx="160">
                  <c:v>448.07379769140448</c:v>
                </c:pt>
                <c:pt idx="161">
                  <c:v>448.07379769140448</c:v>
                </c:pt>
                <c:pt idx="162">
                  <c:v>448.07379769140448</c:v>
                </c:pt>
                <c:pt idx="163">
                  <c:v>448.07379769140448</c:v>
                </c:pt>
                <c:pt idx="164">
                  <c:v>448.07379769140448</c:v>
                </c:pt>
                <c:pt idx="165">
                  <c:v>448.07379769140448</c:v>
                </c:pt>
                <c:pt idx="166">
                  <c:v>448.07379769140448</c:v>
                </c:pt>
                <c:pt idx="167">
                  <c:v>448.07379769140448</c:v>
                </c:pt>
                <c:pt idx="168">
                  <c:v>448.07379769140448</c:v>
                </c:pt>
                <c:pt idx="169">
                  <c:v>448.07379769140448</c:v>
                </c:pt>
                <c:pt idx="170">
                  <c:v>448.07379769140448</c:v>
                </c:pt>
                <c:pt idx="171">
                  <c:v>448.07379769140448</c:v>
                </c:pt>
                <c:pt idx="172">
                  <c:v>448.07379769140448</c:v>
                </c:pt>
                <c:pt idx="173">
                  <c:v>448.07379769140448</c:v>
                </c:pt>
                <c:pt idx="174">
                  <c:v>448.07379769140448</c:v>
                </c:pt>
                <c:pt idx="175">
                  <c:v>448.07379769140448</c:v>
                </c:pt>
                <c:pt idx="176">
                  <c:v>448.07379769140448</c:v>
                </c:pt>
                <c:pt idx="177">
                  <c:v>448.07379769140448</c:v>
                </c:pt>
                <c:pt idx="178">
                  <c:v>448.07379769140448</c:v>
                </c:pt>
                <c:pt idx="179">
                  <c:v>448.07379769140448</c:v>
                </c:pt>
                <c:pt idx="180">
                  <c:v>448.07379769140448</c:v>
                </c:pt>
                <c:pt idx="181">
                  <c:v>448.07379769140448</c:v>
                </c:pt>
                <c:pt idx="182">
                  <c:v>448.07379769140448</c:v>
                </c:pt>
                <c:pt idx="183">
                  <c:v>448.07379769140448</c:v>
                </c:pt>
                <c:pt idx="184">
                  <c:v>448.07379769140448</c:v>
                </c:pt>
                <c:pt idx="185">
                  <c:v>448.07379769140448</c:v>
                </c:pt>
                <c:pt idx="186">
                  <c:v>448.07379769140448</c:v>
                </c:pt>
                <c:pt idx="187">
                  <c:v>448.07379769140448</c:v>
                </c:pt>
                <c:pt idx="188">
                  <c:v>448.07379769140448</c:v>
                </c:pt>
                <c:pt idx="189">
                  <c:v>448.07379769140448</c:v>
                </c:pt>
                <c:pt idx="190">
                  <c:v>448.07379769140448</c:v>
                </c:pt>
                <c:pt idx="191">
                  <c:v>448.07379769140448</c:v>
                </c:pt>
                <c:pt idx="192">
                  <c:v>448.07379769140448</c:v>
                </c:pt>
                <c:pt idx="193">
                  <c:v>448.07379769140448</c:v>
                </c:pt>
                <c:pt idx="194">
                  <c:v>448.07379769140448</c:v>
                </c:pt>
                <c:pt idx="195">
                  <c:v>448.07379769140448</c:v>
                </c:pt>
                <c:pt idx="196">
                  <c:v>448.07379769140448</c:v>
                </c:pt>
                <c:pt idx="197">
                  <c:v>448.07379769140448</c:v>
                </c:pt>
                <c:pt idx="198">
                  <c:v>448.07379769140448</c:v>
                </c:pt>
                <c:pt idx="199">
                  <c:v>448.07379769140448</c:v>
                </c:pt>
                <c:pt idx="200">
                  <c:v>448.07379769140448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3" zoomScale="90" zoomScaleNormal="90" workbookViewId="0">
      <selection activeCell="F45" sqref="F4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3" t="s">
        <v>190</v>
      </c>
      <c r="D1" s="273"/>
      <c r="E1" s="27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0.9</v>
      </c>
      <c r="D5" s="280" t="s">
        <v>229</v>
      </c>
      <c r="E5" s="281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0.7</v>
      </c>
      <c r="D9" s="33">
        <f t="shared" ref="D9:D18" si="0">C9*$C$5</f>
        <v>0.63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6">
        <v>0.2</v>
      </c>
      <c r="D10" s="33">
        <f t="shared" si="0"/>
        <v>0.18000000000000002</v>
      </c>
      <c r="E10" s="265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13</v>
      </c>
      <c r="C11" s="266">
        <v>0.1</v>
      </c>
      <c r="D11" s="33">
        <f t="shared" si="0"/>
        <v>9.0000000000000011E-2</v>
      </c>
      <c r="E11" s="265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6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267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267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0.99999999999999989</v>
      </c>
      <c r="D19" s="38">
        <f>SUM(D9:D18)</f>
        <v>0.9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9" t="s">
        <v>186</v>
      </c>
      <c r="D34" s="269"/>
      <c r="E34" s="270" t="s">
        <v>187</v>
      </c>
      <c r="F34" s="271"/>
      <c r="G34" s="271"/>
      <c r="H34" s="272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19</v>
      </c>
      <c r="B36" s="259">
        <v>162</v>
      </c>
      <c r="C36" s="259"/>
      <c r="D36" s="259"/>
      <c r="E36" s="260"/>
      <c r="F36" s="260"/>
      <c r="G36" s="260">
        <v>1</v>
      </c>
      <c r="H36" s="260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335</v>
      </c>
      <c r="C37" s="259">
        <v>1</v>
      </c>
      <c r="D37" s="259">
        <v>54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421</v>
      </c>
      <c r="C38" s="259">
        <v>2</v>
      </c>
      <c r="D38" s="259">
        <v>54</v>
      </c>
      <c r="E38" s="260"/>
      <c r="F38" s="260">
        <v>1</v>
      </c>
      <c r="G38" s="260"/>
      <c r="H38" s="260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505</v>
      </c>
      <c r="C39" s="259">
        <v>3</v>
      </c>
      <c r="D39" s="259">
        <v>69</v>
      </c>
      <c r="E39" s="260">
        <v>1</v>
      </c>
      <c r="F39" s="260"/>
      <c r="G39" s="260"/>
      <c r="H39" s="260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564</v>
      </c>
      <c r="C40" s="259">
        <v>4</v>
      </c>
      <c r="D40" s="259">
        <v>72</v>
      </c>
      <c r="E40" s="260">
        <v>1</v>
      </c>
      <c r="F40" s="260"/>
      <c r="G40" s="260"/>
      <c r="H40" s="260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606</v>
      </c>
      <c r="C41" s="259">
        <v>5</v>
      </c>
      <c r="D41" s="259">
        <v>66</v>
      </c>
      <c r="E41" s="260">
        <v>1</v>
      </c>
      <c r="F41" s="260"/>
      <c r="G41" s="260"/>
      <c r="H41" s="260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629</v>
      </c>
      <c r="C42" s="259">
        <v>6</v>
      </c>
      <c r="D42" s="259">
        <v>48</v>
      </c>
      <c r="E42" s="260">
        <v>1</v>
      </c>
      <c r="F42" s="260"/>
      <c r="G42" s="260"/>
      <c r="H42" s="260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650</v>
      </c>
      <c r="C43" s="259">
        <v>7</v>
      </c>
      <c r="D43" s="259">
        <v>35</v>
      </c>
      <c r="E43" s="260">
        <v>1</v>
      </c>
      <c r="F43" s="260"/>
      <c r="G43" s="260"/>
      <c r="H43" s="260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666</v>
      </c>
      <c r="C44" s="259">
        <v>8</v>
      </c>
      <c r="D44" s="259">
        <v>29</v>
      </c>
      <c r="E44" s="260">
        <v>1</v>
      </c>
      <c r="F44" s="260"/>
      <c r="G44" s="260"/>
      <c r="H44" s="260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9" t="s">
        <v>186</v>
      </c>
      <c r="D60" s="269"/>
      <c r="E60" s="270" t="s">
        <v>187</v>
      </c>
      <c r="F60" s="271"/>
      <c r="G60" s="271"/>
      <c r="H60" s="272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103</v>
      </c>
      <c r="C62" s="261"/>
      <c r="D62" s="261"/>
      <c r="E62" s="260"/>
      <c r="F62" s="260"/>
      <c r="G62" s="260"/>
      <c r="H62" s="260"/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18</v>
      </c>
      <c r="B63" s="261">
        <v>262</v>
      </c>
      <c r="C63" s="261"/>
      <c r="D63" s="261"/>
      <c r="E63" s="260"/>
      <c r="F63" s="260"/>
      <c r="G63" s="260"/>
      <c r="H63" s="260"/>
      <c r="I63" s="49">
        <f>IF(A63&lt;&gt;0,(B63-(B62-D62))/(A63-A62),"")</f>
        <v>26.5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423</v>
      </c>
      <c r="C64" s="261"/>
      <c r="D64" s="261"/>
      <c r="E64" s="260"/>
      <c r="F64" s="260"/>
      <c r="G64" s="260"/>
      <c r="H64" s="260"/>
      <c r="I64" s="49">
        <f>IF(A64&lt;&gt;0,(B64-(B63-D63))/(A64-A63),"")</f>
        <v>26.833333333333332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583</v>
      </c>
      <c r="C65" s="261">
        <v>1</v>
      </c>
      <c r="D65" s="261">
        <v>107</v>
      </c>
      <c r="E65" s="260"/>
      <c r="F65" s="260">
        <v>1</v>
      </c>
      <c r="G65" s="260"/>
      <c r="H65" s="260"/>
      <c r="I65" s="49">
        <f>IF(A65&lt;&gt;0,(B65-(B64-D64))/(A65-A64),"")</f>
        <v>26.666666666666668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621</v>
      </c>
      <c r="C66" s="261">
        <v>2</v>
      </c>
      <c r="D66" s="261">
        <v>119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24.166666666666668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615</v>
      </c>
      <c r="C67" s="261">
        <v>3</v>
      </c>
      <c r="D67" s="261">
        <v>121</v>
      </c>
      <c r="E67" s="260">
        <v>1</v>
      </c>
      <c r="F67" s="260"/>
      <c r="G67" s="260"/>
      <c r="H67" s="260"/>
      <c r="I67" s="49">
        <f t="shared" si="2"/>
        <v>18.833333333333332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600</v>
      </c>
      <c r="C68" s="261">
        <v>4</v>
      </c>
      <c r="D68" s="261">
        <v>123</v>
      </c>
      <c r="E68" s="260">
        <v>1</v>
      </c>
      <c r="F68" s="260"/>
      <c r="G68" s="260"/>
      <c r="H68" s="260"/>
      <c r="I68" s="49">
        <f t="shared" si="2"/>
        <v>17.666666666666668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54</v>
      </c>
      <c r="B69" s="261">
        <v>573</v>
      </c>
      <c r="C69" s="261">
        <v>5</v>
      </c>
      <c r="D69" s="261">
        <v>119</v>
      </c>
      <c r="E69" s="260">
        <v>1</v>
      </c>
      <c r="F69" s="260"/>
      <c r="G69" s="260"/>
      <c r="H69" s="260"/>
      <c r="I69" s="49">
        <f t="shared" si="2"/>
        <v>16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534</v>
      </c>
      <c r="C70" s="261">
        <v>6</v>
      </c>
      <c r="D70" s="261">
        <v>112</v>
      </c>
      <c r="E70" s="260">
        <v>1</v>
      </c>
      <c r="F70" s="260"/>
      <c r="G70" s="260"/>
      <c r="H70" s="260"/>
      <c r="I70" s="49">
        <f t="shared" si="2"/>
        <v>13.333333333333334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66</v>
      </c>
      <c r="B71" s="261">
        <v>502</v>
      </c>
      <c r="C71" s="261">
        <v>7</v>
      </c>
      <c r="D71" s="261">
        <v>109</v>
      </c>
      <c r="E71" s="260">
        <v>1</v>
      </c>
      <c r="F71" s="260"/>
      <c r="G71" s="260"/>
      <c r="H71" s="260"/>
      <c r="I71" s="49">
        <f t="shared" si="2"/>
        <v>13.333333333333334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72</v>
      </c>
      <c r="B72" s="261">
        <v>463</v>
      </c>
      <c r="C72" s="261">
        <v>8</v>
      </c>
      <c r="D72" s="261">
        <v>101</v>
      </c>
      <c r="E72" s="260">
        <v>1</v>
      </c>
      <c r="F72" s="260"/>
      <c r="G72" s="260"/>
      <c r="H72" s="260"/>
      <c r="I72" s="49">
        <f t="shared" si="2"/>
        <v>11.666666666666666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78</v>
      </c>
      <c r="B73" s="261">
        <v>426</v>
      </c>
      <c r="C73" s="261"/>
      <c r="D73" s="261"/>
      <c r="E73" s="260"/>
      <c r="F73" s="260"/>
      <c r="G73" s="260"/>
      <c r="H73" s="260"/>
      <c r="I73" s="49">
        <f t="shared" si="2"/>
        <v>10.666666666666666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9" t="s">
        <v>186</v>
      </c>
      <c r="D86" s="269"/>
      <c r="E86" s="270" t="s">
        <v>187</v>
      </c>
      <c r="F86" s="271"/>
      <c r="G86" s="271"/>
      <c r="H86" s="272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132</v>
      </c>
      <c r="C88" s="261">
        <v>1</v>
      </c>
      <c r="D88" s="261">
        <v>50</v>
      </c>
      <c r="E88" s="260"/>
      <c r="F88" s="260"/>
      <c r="G88" s="260"/>
      <c r="H88" s="260">
        <v>1</v>
      </c>
      <c r="I88" s="53">
        <f>IFERROR(B88/A88,"")</f>
        <v>6.6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143</v>
      </c>
      <c r="C89" s="261">
        <v>2</v>
      </c>
      <c r="D89" s="261">
        <v>37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12.2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163</v>
      </c>
      <c r="C90" s="261">
        <v>3</v>
      </c>
      <c r="D90" s="261">
        <v>37</v>
      </c>
      <c r="E90" s="260"/>
      <c r="F90" s="260"/>
      <c r="G90" s="260"/>
      <c r="H90" s="260">
        <v>1</v>
      </c>
      <c r="I90" s="53">
        <f t="shared" si="3"/>
        <v>11.4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179</v>
      </c>
      <c r="C91" s="261">
        <v>4</v>
      </c>
      <c r="D91" s="261">
        <v>36</v>
      </c>
      <c r="E91" s="260">
        <v>1</v>
      </c>
      <c r="F91" s="260"/>
      <c r="G91" s="260"/>
      <c r="H91" s="260"/>
      <c r="I91" s="53">
        <f t="shared" si="3"/>
        <v>10.6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191</v>
      </c>
      <c r="C92" s="261">
        <v>5</v>
      </c>
      <c r="D92" s="261">
        <v>33</v>
      </c>
      <c r="E92" s="260">
        <v>1</v>
      </c>
      <c r="F92" s="260"/>
      <c r="G92" s="260"/>
      <c r="H92" s="260"/>
      <c r="I92" s="53">
        <f t="shared" si="3"/>
        <v>9.6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201</v>
      </c>
      <c r="C93" s="261">
        <v>6</v>
      </c>
      <c r="D93" s="261">
        <v>31</v>
      </c>
      <c r="E93" s="260">
        <v>1</v>
      </c>
      <c r="F93" s="260"/>
      <c r="G93" s="260"/>
      <c r="H93" s="260"/>
      <c r="I93" s="53">
        <f t="shared" si="3"/>
        <v>8.6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209</v>
      </c>
      <c r="C94" s="261">
        <v>7</v>
      </c>
      <c r="D94" s="261">
        <v>28</v>
      </c>
      <c r="E94" s="260">
        <v>1</v>
      </c>
      <c r="F94" s="260"/>
      <c r="G94" s="260"/>
      <c r="H94" s="260"/>
      <c r="I94" s="53">
        <f t="shared" si="3"/>
        <v>7.8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215</v>
      </c>
      <c r="C95" s="261">
        <v>8</v>
      </c>
      <c r="D95" s="261">
        <v>25</v>
      </c>
      <c r="E95" s="260">
        <v>1</v>
      </c>
      <c r="F95" s="260"/>
      <c r="G95" s="260"/>
      <c r="H95" s="260"/>
      <c r="I95" s="53">
        <f t="shared" si="3"/>
        <v>6.8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220</v>
      </c>
      <c r="C96" s="261">
        <v>9</v>
      </c>
      <c r="D96" s="261">
        <v>22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224</v>
      </c>
      <c r="C97" s="261">
        <v>10</v>
      </c>
      <c r="D97" s="261">
        <v>20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227</v>
      </c>
      <c r="C98" s="261">
        <v>11</v>
      </c>
      <c r="D98" s="261">
        <v>17</v>
      </c>
      <c r="E98" s="260">
        <v>1</v>
      </c>
      <c r="F98" s="260"/>
      <c r="G98" s="260"/>
      <c r="H98" s="260"/>
      <c r="I98" s="53">
        <f t="shared" si="3"/>
        <v>4.5999999999999996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230</v>
      </c>
      <c r="C99" s="261">
        <v>12</v>
      </c>
      <c r="D99" s="261">
        <v>15</v>
      </c>
      <c r="E99" s="260">
        <v>1</v>
      </c>
      <c r="F99" s="260"/>
      <c r="G99" s="260"/>
      <c r="H99" s="260"/>
      <c r="I99" s="53">
        <f t="shared" si="3"/>
        <v>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232</v>
      </c>
      <c r="C100" s="261">
        <v>13</v>
      </c>
      <c r="D100" s="261">
        <v>13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234</v>
      </c>
      <c r="C101" s="261">
        <v>14</v>
      </c>
      <c r="D101" s="261">
        <v>12</v>
      </c>
      <c r="E101" s="260">
        <v>1</v>
      </c>
      <c r="F101" s="260"/>
      <c r="G101" s="260"/>
      <c r="H101" s="260"/>
      <c r="I101" s="53">
        <f t="shared" si="3"/>
        <v>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236</v>
      </c>
      <c r="C102" s="261"/>
      <c r="D102" s="261"/>
      <c r="E102" s="260"/>
      <c r="F102" s="260"/>
      <c r="G102" s="260"/>
      <c r="H102" s="260"/>
      <c r="I102" s="53">
        <f t="shared" si="3"/>
        <v>2.8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9" t="s">
        <v>186</v>
      </c>
      <c r="D112" s="269"/>
      <c r="E112" s="270" t="s">
        <v>187</v>
      </c>
      <c r="F112" s="271"/>
      <c r="G112" s="271"/>
      <c r="H112" s="272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9" t="s">
        <v>186</v>
      </c>
      <c r="D138" s="269"/>
      <c r="E138" s="270" t="s">
        <v>187</v>
      </c>
      <c r="F138" s="271"/>
      <c r="G138" s="271"/>
      <c r="H138" s="272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9" t="s">
        <v>186</v>
      </c>
      <c r="D164" s="269"/>
      <c r="E164" s="270" t="s">
        <v>187</v>
      </c>
      <c r="F164" s="271"/>
      <c r="G164" s="271"/>
      <c r="H164" s="272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9" t="s">
        <v>186</v>
      </c>
      <c r="D190" s="269"/>
      <c r="E190" s="270" t="s">
        <v>187</v>
      </c>
      <c r="F190" s="271"/>
      <c r="G190" s="271"/>
      <c r="H190" s="272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9" t="s">
        <v>186</v>
      </c>
      <c r="D216" s="269"/>
      <c r="E216" s="270" t="s">
        <v>187</v>
      </c>
      <c r="F216" s="271"/>
      <c r="G216" s="271"/>
      <c r="H216" s="272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9" t="s">
        <v>186</v>
      </c>
      <c r="D242" s="269"/>
      <c r="E242" s="270" t="s">
        <v>187</v>
      </c>
      <c r="F242" s="271"/>
      <c r="G242" s="271"/>
      <c r="H242" s="272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9" t="s">
        <v>186</v>
      </c>
      <c r="D268" s="269"/>
      <c r="E268" s="270" t="s">
        <v>187</v>
      </c>
      <c r="F268" s="271"/>
      <c r="G268" s="271"/>
      <c r="H268" s="272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Douglas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Mélèze hybride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>Chêne rouge d'Amérique</v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/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/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/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/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/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/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/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382.55387448074327</v>
      </c>
      <c r="T3" s="59">
        <f>IF('Données projet'!E9&gt;30,$R$33-$H$33,LOOKUP('Données projet'!$E$9,$A$3:$A$203,R3:R203)-LOOKUP('Données projet'!$E$9,$A$3:$A$203,$H$3:$H$203))</f>
        <v>476.29465646955543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417.99456559608217</v>
      </c>
      <c r="AO3" s="59">
        <f>IF('Données projet'!E10&gt;30,$AM$33-$H$33,LOOKUP('Données projet'!$E$10,$A$3:$A$203,AM3:AM203)-LOOKUP('Données projet'!$E$10,$A$3:$A$203,$H$3:$H$203))</f>
        <v>651.41353014863932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247.61330734992077</v>
      </c>
      <c r="BJ3" s="59">
        <f>IF('Données projet'!E11&gt;30,$BH$33-$H$33,LOOKUP('Données projet'!$E$11,$A$3:$A$203,BH3:BH203)-LOOKUP('Données projet'!$E$11,$A$3:$A$203,$H$3:$H$203))</f>
        <v>278.55937893537259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382.55387448074327</v>
      </c>
      <c r="T4" s="59">
        <f>$T$3</f>
        <v>476.29465646955543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0.80339491409683794</v>
      </c>
      <c r="AK4" s="13">
        <f>EXP(-1.0587+0.8836*LN(AJ4)+0.284)</f>
        <v>0.37979338681419667</v>
      </c>
      <c r="AL4" s="20">
        <f t="shared" ref="AL4:AL67" si="4">(AJ4+AK4)*0.475*44/12</f>
        <v>2.0607196240867185</v>
      </c>
      <c r="AM4" s="59">
        <f t="shared" ref="AM4:AM67" si="5">AL4+(AD4+AE4)*44/12</f>
        <v>295.39405295742006</v>
      </c>
      <c r="AN4" s="59">
        <f ca="1">AVERAGE(OFFSET($AM$3,0,0,'Données projet'!$E$10+1,1))-AVERAGE(OFFSET($H$3,0,0,'Données projet'!$E$10+1,1))</f>
        <v>417.99456559608217</v>
      </c>
      <c r="AO4" s="59">
        <f>$AO$3</f>
        <v>651.41353014863932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6.6</v>
      </c>
      <c r="BD4" s="12">
        <f>IF('Données projet'!$A$88&gt;35,BD3+BC4-BL3,IF(A4&lt;'Données projet'!$A$88,$BA$205^A4,IF(A4='Données projet'!$A$88,'Données projet'!$B$88,BD3+BC4-BL3)))</f>
        <v>1.2765231539157764</v>
      </c>
      <c r="BE4" s="13">
        <f>BD4*VLOOKUP('Données projet'!$B$11,Paramètres!$A$1:$I$89,3,0)*VLOOKUP('Données projet'!$B$11,Paramètres!$A$1:$I$89,5,0)</f>
        <v>1.1151706272608224</v>
      </c>
      <c r="BF4" s="13">
        <f>EXP(-1.0587+0.8836*LN(BE4)+0.284)</f>
        <v>0.50743784838663863</v>
      </c>
      <c r="BG4" s="20">
        <f t="shared" ref="BG4:BG67" si="7">(BE4+BF4)*0.475*44/12</f>
        <v>2.8260430950859945</v>
      </c>
      <c r="BH4" s="59">
        <f t="shared" ref="BH4:BH67" si="8">BG4+(AY4+AZ4)*44/12</f>
        <v>296.15937642841931</v>
      </c>
      <c r="BI4" s="59">
        <f ca="1">AVERAGE(OFFSET($BH$3,0,0,'Données projet'!$E$11+1,1))-AVERAGE(OFFSET($H$3,0,0,'Données projet'!$E$11+1,1))</f>
        <v>247.61330734992077</v>
      </c>
      <c r="BJ4" s="59">
        <f>$BJ$3</f>
        <v>278.55937893537259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382.55387448074327</v>
      </c>
      <c r="T5" s="59">
        <f t="shared" ref="T5:T68" si="34">$T$3</f>
        <v>476.29465646955543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1.1821307472466402</v>
      </c>
      <c r="AK5" s="13">
        <f t="shared" ref="AK5:AK68" si="35">EXP(-1.0587+0.8836*LN(AJ5)+0.284)</f>
        <v>0.53426818417196775</v>
      </c>
      <c r="AL5" s="20">
        <f t="shared" si="4"/>
        <v>2.9893948055540753</v>
      </c>
      <c r="AM5" s="59">
        <f t="shared" si="5"/>
        <v>296.32272813888738</v>
      </c>
      <c r="AN5" s="59">
        <f ca="1">AVERAGE(OFFSET($AM$3,0,0,'Données projet'!$E$10+1,1))-AVERAGE(OFFSET($H$3,0,0,'Données projet'!$E$10+1,1))</f>
        <v>417.99456559608217</v>
      </c>
      <c r="AO5" s="59">
        <f t="shared" ref="AO5:AO68" si="36">$AO$3</f>
        <v>651.41353014863932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6.6</v>
      </c>
      <c r="BD5" s="12">
        <f>IF('Données projet'!$A$88&gt;35,BD4+BC5-BL4,IF(A5&lt;'Données projet'!$A$88,$BA$205^A5,IF(A5='Données projet'!$A$88,'Données projet'!$B$88,BD4+BC5-BL4)))</f>
        <v>1.629511362483081</v>
      </c>
      <c r="BE5" s="13">
        <f>BD5*VLOOKUP('Données projet'!$B$11,Paramètres!$A$1:$I$89,3,0)*VLOOKUP('Données projet'!$B$11,Paramètres!$A$1:$I$89,5,0)</f>
        <v>1.4235411262652198</v>
      </c>
      <c r="BF5" s="13">
        <f t="shared" ref="BF5:BF68" si="37">EXP(-1.0587+0.8836*LN(BE5)+0.284)</f>
        <v>0.62960738463416654</v>
      </c>
      <c r="BG5" s="20">
        <f t="shared" si="7"/>
        <v>3.5759003231497637</v>
      </c>
      <c r="BH5" s="59">
        <f t="shared" si="8"/>
        <v>296.90923365648308</v>
      </c>
      <c r="BI5" s="59">
        <f ca="1">AVERAGE(OFFSET($BH$3,0,0,'Données projet'!$E$11+1,1))-AVERAGE(OFFSET($H$3,0,0,'Données projet'!$E$11+1,1))</f>
        <v>247.61330734992077</v>
      </c>
      <c r="BJ5" s="59">
        <f t="shared" ref="BJ5:BJ68" si="38">$BJ$3</f>
        <v>278.55937893537259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382.55387448074327</v>
      </c>
      <c r="T6" s="59">
        <f t="shared" si="34"/>
        <v>476.29465646955543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1.7394099453030136</v>
      </c>
      <c r="AK6" s="13">
        <f t="shared" si="35"/>
        <v>0.75157309876503064</v>
      </c>
      <c r="AL6" s="20">
        <f t="shared" si="4"/>
        <v>4.3384621350851766</v>
      </c>
      <c r="AM6" s="59">
        <f t="shared" si="5"/>
        <v>297.67179546841851</v>
      </c>
      <c r="AN6" s="59">
        <f ca="1">AVERAGE(OFFSET($AM$3,0,0,'Données projet'!$E$10+1,1))-AVERAGE(OFFSET($H$3,0,0,'Données projet'!$E$10+1,1))</f>
        <v>417.99456559608217</v>
      </c>
      <c r="AO6" s="59">
        <f t="shared" si="36"/>
        <v>651.41353014863932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6.6</v>
      </c>
      <c r="BD6" s="12">
        <f>IF('Données projet'!$A$88&gt;35,BD5+BC6-BL5,IF(A6&lt;'Données projet'!$A$88,$BA$205^A6,IF(A6='Données projet'!$A$88,'Données projet'!$B$88,BD5+BC6-BL5)))</f>
        <v>2.0801089837784965</v>
      </c>
      <c r="BE6" s="13">
        <f>BD6*VLOOKUP('Données projet'!$B$11,Paramètres!$A$1:$I$89,3,0)*VLOOKUP('Données projet'!$B$11,Paramètres!$A$1:$I$89,5,0)</f>
        <v>1.8171832082288948</v>
      </c>
      <c r="BF6" s="13">
        <f t="shared" si="37"/>
        <v>0.7811901694881791</v>
      </c>
      <c r="BG6" s="20">
        <f t="shared" si="7"/>
        <v>4.5255002995239044</v>
      </c>
      <c r="BH6" s="59">
        <f t="shared" si="8"/>
        <v>297.85883363285723</v>
      </c>
      <c r="BI6" s="59">
        <f ca="1">AVERAGE(OFFSET($BH$3,0,0,'Données projet'!$E$11+1,1))-AVERAGE(OFFSET($H$3,0,0,'Données projet'!$E$11+1,1))</f>
        <v>247.61330734992077</v>
      </c>
      <c r="BJ6" s="59">
        <f t="shared" si="38"/>
        <v>278.55937893537259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382.55387448074327</v>
      </c>
      <c r="T7" s="59">
        <f t="shared" si="34"/>
        <v>476.29465646955543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2.5594012886188646</v>
      </c>
      <c r="AK7" s="13">
        <f t="shared" si="35"/>
        <v>1.057263261264038</v>
      </c>
      <c r="AL7" s="20">
        <f t="shared" si="4"/>
        <v>6.2990240910460562</v>
      </c>
      <c r="AM7" s="59">
        <f t="shared" si="5"/>
        <v>299.63235742437939</v>
      </c>
      <c r="AN7" s="59">
        <f ca="1">AVERAGE(OFFSET($AM$3,0,0,'Données projet'!$E$10+1,1))-AVERAGE(OFFSET($H$3,0,0,'Données projet'!$E$10+1,1))</f>
        <v>417.99456559608217</v>
      </c>
      <c r="AO7" s="59">
        <f t="shared" si="36"/>
        <v>651.41353014863932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6.6</v>
      </c>
      <c r="BD7" s="12">
        <f>IF('Données projet'!$A$88&gt;35,BD6+BC7-BL6,IF(A7&lt;'Données projet'!$A$88,$BA$205^A7,IF(A7='Données projet'!$A$88,'Données projet'!$B$88,BD6+BC7-BL6)))</f>
        <v>2.655307280461467</v>
      </c>
      <c r="BE7" s="13">
        <f>BD7*VLOOKUP('Données projet'!$B$11,Paramètres!$A$1:$I$89,3,0)*VLOOKUP('Données projet'!$B$11,Paramètres!$A$1:$I$89,5,0)</f>
        <v>2.3196764402111376</v>
      </c>
      <c r="BF7" s="13">
        <f t="shared" si="37"/>
        <v>0.96926766711854973</v>
      </c>
      <c r="BG7" s="20">
        <f t="shared" si="7"/>
        <v>5.7282443202658717</v>
      </c>
      <c r="BH7" s="59">
        <f t="shared" si="8"/>
        <v>299.06157765359916</v>
      </c>
      <c r="BI7" s="59">
        <f ca="1">AVERAGE(OFFSET($BH$3,0,0,'Données projet'!$E$11+1,1))-AVERAGE(OFFSET($H$3,0,0,'Données projet'!$E$11+1,1))</f>
        <v>247.61330734992077</v>
      </c>
      <c r="BJ7" s="59">
        <f t="shared" si="38"/>
        <v>278.55937893537259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382.55387448074327</v>
      </c>
      <c r="T8" s="59">
        <f t="shared" si="34"/>
        <v>476.29465646955543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3.7659523414089544</v>
      </c>
      <c r="AK8" s="13">
        <f t="shared" si="35"/>
        <v>1.487287937068829</v>
      </c>
      <c r="AL8" s="20">
        <f t="shared" si="4"/>
        <v>9.1493934850154712</v>
      </c>
      <c r="AM8" s="59">
        <f t="shared" si="5"/>
        <v>302.48272681834879</v>
      </c>
      <c r="AN8" s="59">
        <f ca="1">AVERAGE(OFFSET($AM$3,0,0,'Données projet'!$E$10+1,1))-AVERAGE(OFFSET($H$3,0,0,'Données projet'!$E$10+1,1))</f>
        <v>417.99456559608217</v>
      </c>
      <c r="AO8" s="59">
        <f t="shared" si="36"/>
        <v>651.41353014863932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6.6</v>
      </c>
      <c r="BD8" s="12">
        <f>IF('Données projet'!$A$88&gt;35,BD7+BC8-BL7,IF(A8&lt;'Données projet'!$A$88,$BA$205^A8,IF(A8='Données projet'!$A$88,'Données projet'!$B$88,BD7+BC8-BL7)))</f>
        <v>3.3895612242701949</v>
      </c>
      <c r="BE8" s="13">
        <f>BD8*VLOOKUP('Données projet'!$B$11,Paramètres!$A$1:$I$89,3,0)*VLOOKUP('Données projet'!$B$11,Paramètres!$A$1:$I$89,5,0)</f>
        <v>2.9611206855224426</v>
      </c>
      <c r="BF8" s="13">
        <f t="shared" si="37"/>
        <v>1.2026262582604759</v>
      </c>
      <c r="BG8" s="20">
        <f t="shared" si="7"/>
        <v>7.2518592604219156</v>
      </c>
      <c r="BH8" s="59">
        <f t="shared" si="8"/>
        <v>300.58519259375521</v>
      </c>
      <c r="BI8" s="59">
        <f ca="1">AVERAGE(OFFSET($BH$3,0,0,'Données projet'!$E$11+1,1))-AVERAGE(OFFSET($H$3,0,0,'Données projet'!$E$11+1,1))</f>
        <v>247.61330734992077</v>
      </c>
      <c r="BJ8" s="59">
        <f t="shared" si="38"/>
        <v>278.55937893537259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382.55387448074327</v>
      </c>
      <c r="T9" s="59">
        <f t="shared" si="34"/>
        <v>476.29465646955543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5.5412947945403523</v>
      </c>
      <c r="AK9" s="13">
        <f t="shared" si="35"/>
        <v>2.0922181719487822</v>
      </c>
      <c r="AL9" s="20">
        <f t="shared" si="4"/>
        <v>13.29503508330191</v>
      </c>
      <c r="AM9" s="59">
        <f t="shared" si="5"/>
        <v>306.62836841663523</v>
      </c>
      <c r="AN9" s="59">
        <f ca="1">AVERAGE(OFFSET($AM$3,0,0,'Données projet'!$E$10+1,1))-AVERAGE(OFFSET($H$3,0,0,'Données projet'!$E$10+1,1))</f>
        <v>417.99456559608217</v>
      </c>
      <c r="AO9" s="59">
        <f t="shared" si="36"/>
        <v>651.41353014863932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6.6</v>
      </c>
      <c r="BD9" s="12">
        <f>IF('Données projet'!$A$88&gt;35,BD8+BC9-BL8,IF(A9&lt;'Données projet'!$A$88,$BA$205^A9,IF(A9='Données projet'!$A$88,'Données projet'!$B$88,BD8+BC9-BL8)))</f>
        <v>4.32685338439601</v>
      </c>
      <c r="BE9" s="13">
        <f>BD9*VLOOKUP('Données projet'!$B$11,Paramètres!$A$1:$I$89,3,0)*VLOOKUP('Données projet'!$B$11,Paramètres!$A$1:$I$89,5,0)</f>
        <v>3.7799391166083551</v>
      </c>
      <c r="BF9" s="13">
        <f t="shared" si="37"/>
        <v>1.4921677118944865</v>
      </c>
      <c r="BG9" s="20">
        <f t="shared" si="7"/>
        <v>9.1822527263091143</v>
      </c>
      <c r="BH9" s="59">
        <f t="shared" si="8"/>
        <v>302.51558605964243</v>
      </c>
      <c r="BI9" s="59">
        <f ca="1">AVERAGE(OFFSET($BH$3,0,0,'Données projet'!$E$11+1,1))-AVERAGE(OFFSET($H$3,0,0,'Données projet'!$E$11+1,1))</f>
        <v>247.61330734992077</v>
      </c>
      <c r="BJ9" s="59">
        <f t="shared" si="38"/>
        <v>278.55937893537259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382.55387448074327</v>
      </c>
      <c r="T10" s="59">
        <f t="shared" si="34"/>
        <v>476.29465646955543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8.1535678671153864</v>
      </c>
      <c r="AK10" s="13">
        <f t="shared" si="35"/>
        <v>2.9431939639473623</v>
      </c>
      <c r="AL10" s="20">
        <f t="shared" si="4"/>
        <v>19.326860189100952</v>
      </c>
      <c r="AM10" s="59">
        <f t="shared" si="5"/>
        <v>312.66019352243427</v>
      </c>
      <c r="AN10" s="59">
        <f ca="1">AVERAGE(OFFSET($AM$3,0,0,'Données projet'!$E$10+1,1))-AVERAGE(OFFSET($H$3,0,0,'Données projet'!$E$10+1,1))</f>
        <v>417.99456559608217</v>
      </c>
      <c r="AO10" s="59">
        <f t="shared" si="36"/>
        <v>651.41353014863932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6.6</v>
      </c>
      <c r="BD10" s="12">
        <f>IF('Données projet'!$A$88&gt;35,BD9+BC10-BL9,IF(A10&lt;'Données projet'!$A$88,$BA$205^A10,IF(A10='Données projet'!$A$88,'Données projet'!$B$88,BD9+BC10-BL9)))</f>
        <v>5.5233285287803451</v>
      </c>
      <c r="BE10" s="13">
        <f>BD10*VLOOKUP('Données projet'!$B$11,Paramètres!$A$1:$I$89,3,0)*VLOOKUP('Données projet'!$B$11,Paramètres!$A$1:$I$89,5,0)</f>
        <v>4.8251798027425101</v>
      </c>
      <c r="BF10" s="13">
        <f t="shared" si="37"/>
        <v>1.8514184811173284</v>
      </c>
      <c r="BG10" s="20">
        <f t="shared" si="7"/>
        <v>11.628408677722552</v>
      </c>
      <c r="BH10" s="59">
        <f t="shared" si="8"/>
        <v>304.96174201105589</v>
      </c>
      <c r="BI10" s="59">
        <f ca="1">AVERAGE(OFFSET($BH$3,0,0,'Données projet'!$E$11+1,1))-AVERAGE(OFFSET($H$3,0,0,'Données projet'!$E$11+1,1))</f>
        <v>247.61330734992077</v>
      </c>
      <c r="BJ10" s="59">
        <f t="shared" si="38"/>
        <v>278.55937893537259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382.55387448074327</v>
      </c>
      <c r="T11" s="59">
        <f t="shared" si="34"/>
        <v>476.29465646955543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11.997316769567593</v>
      </c>
      <c r="AK11" s="13">
        <f t="shared" si="35"/>
        <v>4.1402903509568842</v>
      </c>
      <c r="AL11" s="20">
        <f t="shared" si="4"/>
        <v>28.106332401580133</v>
      </c>
      <c r="AM11" s="59">
        <f t="shared" si="5"/>
        <v>321.43966573491343</v>
      </c>
      <c r="AN11" s="59">
        <f ca="1">AVERAGE(OFFSET($AM$3,0,0,'Données projet'!$E$10+1,1))-AVERAGE(OFFSET($H$3,0,0,'Données projet'!$E$10+1,1))</f>
        <v>417.99456559608217</v>
      </c>
      <c r="AO11" s="59">
        <f t="shared" si="36"/>
        <v>651.41353014863932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6.6</v>
      </c>
      <c r="BD11" s="12">
        <f>IF('Données projet'!$A$88&gt;35,BD10+BC11-BL10,IF(A11&lt;'Données projet'!$A$88,$BA$205^A11,IF(A11='Données projet'!$A$88,'Données projet'!$B$88,BD10+BC11-BL10)))</f>
        <v>7.0506567536716718</v>
      </c>
      <c r="BE11" s="13">
        <f>BD11*VLOOKUP('Données projet'!$B$11,Paramètres!$A$1:$I$89,3,0)*VLOOKUP('Données projet'!$B$11,Paramètres!$A$1:$I$89,5,0)</f>
        <v>6.1594537400075735</v>
      </c>
      <c r="BF11" s="13">
        <f t="shared" si="37"/>
        <v>2.2971616158822084</v>
      </c>
      <c r="BG11" s="20">
        <f t="shared" si="7"/>
        <v>14.728605078174702</v>
      </c>
      <c r="BH11" s="59">
        <f t="shared" si="8"/>
        <v>308.06193841150804</v>
      </c>
      <c r="BI11" s="59">
        <f ca="1">AVERAGE(OFFSET($BH$3,0,0,'Données projet'!$E$11+1,1))-AVERAGE(OFFSET($H$3,0,0,'Données projet'!$E$11+1,1))</f>
        <v>247.61330734992077</v>
      </c>
      <c r="BJ11" s="59">
        <f t="shared" si="38"/>
        <v>278.55937893537259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382.55387448074327</v>
      </c>
      <c r="T12" s="59">
        <f t="shared" si="34"/>
        <v>476.29465646955543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17.653082922123275</v>
      </c>
      <c r="AK12" s="13">
        <f t="shared" si="35"/>
        <v>5.8242862686617167</v>
      </c>
      <c r="AL12" s="20">
        <f t="shared" si="4"/>
        <v>40.889751340617188</v>
      </c>
      <c r="AM12" s="59">
        <f t="shared" si="5"/>
        <v>334.2230846739505</v>
      </c>
      <c r="AN12" s="59">
        <f ca="1">AVERAGE(OFFSET($AM$3,0,0,'Données projet'!$E$10+1,1))-AVERAGE(OFFSET($H$3,0,0,'Données projet'!$E$10+1,1))</f>
        <v>417.99456559608217</v>
      </c>
      <c r="AO12" s="59">
        <f t="shared" si="36"/>
        <v>651.41353014863932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6.6</v>
      </c>
      <c r="BD12" s="12">
        <f>IF('Données projet'!$A$88&gt;35,BD11+BC12-BL11,IF(A12&lt;'Données projet'!$A$88,$BA$205^A12,IF(A12='Données projet'!$A$88,'Données projet'!$B$88,BD11+BC12-BL11)))</f>
        <v>9.0003265963745314</v>
      </c>
      <c r="BE12" s="13">
        <f>BD12*VLOOKUP('Données projet'!$B$11,Paramètres!$A$1:$I$89,3,0)*VLOOKUP('Données projet'!$B$11,Paramètres!$A$1:$I$89,5,0)</f>
        <v>7.8626853145927917</v>
      </c>
      <c r="BF12" s="13">
        <f t="shared" si="37"/>
        <v>2.8502208135558442</v>
      </c>
      <c r="BG12" s="20">
        <f t="shared" si="7"/>
        <v>18.658311506525539</v>
      </c>
      <c r="BH12" s="59">
        <f t="shared" si="8"/>
        <v>311.99164483985885</v>
      </c>
      <c r="BI12" s="59">
        <f ca="1">AVERAGE(OFFSET($BH$3,0,0,'Données projet'!$E$11+1,1))-AVERAGE(OFFSET($H$3,0,0,'Données projet'!$E$11+1,1))</f>
        <v>247.61330734992077</v>
      </c>
      <c r="BJ12" s="59">
        <f t="shared" si="38"/>
        <v>278.55937893537259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382.55387448074327</v>
      </c>
      <c r="T13" s="59">
        <f t="shared" si="34"/>
        <v>476.29465646955543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25.975086149750155</v>
      </c>
      <c r="AK13" s="13">
        <f t="shared" si="35"/>
        <v>8.1932202004821804</v>
      </c>
      <c r="AL13" s="20">
        <f t="shared" si="4"/>
        <v>59.509800226654647</v>
      </c>
      <c r="AM13" s="59">
        <f t="shared" si="5"/>
        <v>352.84313355998796</v>
      </c>
      <c r="AN13" s="59">
        <f ca="1">AVERAGE(OFFSET($AM$3,0,0,'Données projet'!$E$10+1,1))-AVERAGE(OFFSET($H$3,0,0,'Données projet'!$E$10+1,1))</f>
        <v>417.99456559608217</v>
      </c>
      <c r="AO13" s="59">
        <f t="shared" si="36"/>
        <v>651.41353014863932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6.6</v>
      </c>
      <c r="BD13" s="12">
        <f>IF('Données projet'!$A$88&gt;35,BD12+BC13-BL12,IF(A13&lt;'Données projet'!$A$88,$BA$205^A13,IF(A13='Données projet'!$A$88,'Données projet'!$B$88,BD12+BC13-BL12)))</f>
        <v>11.489125293076063</v>
      </c>
      <c r="BE13" s="13">
        <f>BD13*VLOOKUP('Données projet'!$B$11,Paramètres!$A$1:$I$89,3,0)*VLOOKUP('Données projet'!$B$11,Paramètres!$A$1:$I$89,5,0)</f>
        <v>10.036899856031249</v>
      </c>
      <c r="BF13" s="13">
        <f t="shared" si="37"/>
        <v>3.5364332356333024</v>
      </c>
      <c r="BG13" s="20">
        <f t="shared" si="7"/>
        <v>23.640221801315761</v>
      </c>
      <c r="BH13" s="59">
        <f t="shared" si="8"/>
        <v>316.97355513464908</v>
      </c>
      <c r="BI13" s="59">
        <f ca="1">AVERAGE(OFFSET($BH$3,0,0,'Données projet'!$E$11+1,1))-AVERAGE(OFFSET($H$3,0,0,'Données projet'!$E$11+1,1))</f>
        <v>247.61330734992077</v>
      </c>
      <c r="BJ13" s="59">
        <f t="shared" si="38"/>
        <v>278.55937893537259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382.55387448074327</v>
      </c>
      <c r="T14" s="59">
        <f t="shared" si="34"/>
        <v>476.29465646955543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38.220241952264637</v>
      </c>
      <c r="AK14" s="13">
        <f t="shared" si="35"/>
        <v>11.525679569492377</v>
      </c>
      <c r="AL14" s="20">
        <f t="shared" si="4"/>
        <v>86.640813317060122</v>
      </c>
      <c r="AM14" s="59">
        <f t="shared" si="5"/>
        <v>379.97414665039344</v>
      </c>
      <c r="AN14" s="59">
        <f ca="1">AVERAGE(OFFSET($AM$3,0,0,'Données projet'!$E$10+1,1))-AVERAGE(OFFSET($H$3,0,0,'Données projet'!$E$10+1,1))</f>
        <v>417.99456559608217</v>
      </c>
      <c r="AO14" s="59">
        <f t="shared" si="36"/>
        <v>651.41353014863932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6.6</v>
      </c>
      <c r="BD14" s="12">
        <f>IF('Données projet'!$A$88&gt;35,BD13+BC14-BL13,IF(A14&lt;'Données projet'!$A$88,$BA$205^A14,IF(A14='Données projet'!$A$88,'Données projet'!$B$88,BD13+BC14-BL13)))</f>
        <v>14.666134454850974</v>
      </c>
      <c r="BE14" s="13">
        <f>BD14*VLOOKUP('Données projet'!$B$11,Paramètres!$A$1:$I$89,3,0)*VLOOKUP('Données projet'!$B$11,Paramètres!$A$1:$I$89,5,0)</f>
        <v>12.812335059757812</v>
      </c>
      <c r="BF14" s="13">
        <f t="shared" si="37"/>
        <v>4.3878565375042955</v>
      </c>
      <c r="BG14" s="20">
        <f t="shared" si="7"/>
        <v>29.957000365231504</v>
      </c>
      <c r="BH14" s="59">
        <f t="shared" si="8"/>
        <v>323.29033369856484</v>
      </c>
      <c r="BI14" s="59">
        <f ca="1">AVERAGE(OFFSET($BH$3,0,0,'Données projet'!$E$11+1,1))-AVERAGE(OFFSET($H$3,0,0,'Données projet'!$E$11+1,1))</f>
        <v>247.61330734992077</v>
      </c>
      <c r="BJ14" s="59">
        <f t="shared" si="38"/>
        <v>278.55937893537259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382.55387448074327</v>
      </c>
      <c r="T15" s="59">
        <f t="shared" si="34"/>
        <v>476.29465646955543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56.238</v>
      </c>
      <c r="AK15" s="13">
        <f t="shared" si="35"/>
        <v>16.213562712594502</v>
      </c>
      <c r="AL15" s="20">
        <f t="shared" si="4"/>
        <v>126.18647172443542</v>
      </c>
      <c r="AM15" s="59">
        <f t="shared" si="5"/>
        <v>419.51980505776874</v>
      </c>
      <c r="AN15" s="59">
        <f ca="1">AVERAGE(OFFSET($AM$3,0,0,'Données projet'!$E$10+1,1))-AVERAGE(OFFSET($H$3,0,0,'Données projet'!$E$10+1,1))</f>
        <v>417.99456559608217</v>
      </c>
      <c r="AO15" s="59">
        <f t="shared" si="36"/>
        <v>651.41353014863932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6.6</v>
      </c>
      <c r="BD15" s="12">
        <f>IF('Données projet'!$A$88&gt;35,BD14+BC15-BL14,IF(A15&lt;'Données projet'!$A$88,$BA$205^A15,IF(A15='Données projet'!$A$88,'Données projet'!$B$88,BD14+BC15-BL14)))</f>
        <v>18.721660210059202</v>
      </c>
      <c r="BE15" s="13">
        <f>BD15*VLOOKUP('Données projet'!$B$11,Paramètres!$A$1:$I$89,3,0)*VLOOKUP('Données projet'!$B$11,Paramètres!$A$1:$I$89,5,0)</f>
        <v>16.35524235950772</v>
      </c>
      <c r="BF15" s="13">
        <f t="shared" si="37"/>
        <v>5.4442664998513175</v>
      </c>
      <c r="BG15" s="20">
        <f t="shared" si="7"/>
        <v>37.967477930050322</v>
      </c>
      <c r="BH15" s="59">
        <f t="shared" si="8"/>
        <v>331.30081126338365</v>
      </c>
      <c r="BI15" s="59">
        <f ca="1">AVERAGE(OFFSET($BH$3,0,0,'Données projet'!$E$11+1,1))-AVERAGE(OFFSET($H$3,0,0,'Données projet'!$E$11+1,1))</f>
        <v>247.61330734992077</v>
      </c>
      <c r="BJ15" s="59">
        <f t="shared" si="38"/>
        <v>278.55937893537259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382.55387448074327</v>
      </c>
      <c r="T16" s="59">
        <f t="shared" si="34"/>
        <v>476.29465646955543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26.5</v>
      </c>
      <c r="AI16" s="13">
        <f>IF('Données projet'!$A$62&gt;35,AI15+AH16-AQ15,IF(A16&lt;'Données projet'!$A$62,$AF$205^A16,IF(A16='Données projet'!$A$62,'Données projet'!$B$62,AI15+AH16-AQ15)))</f>
        <v>129.5</v>
      </c>
      <c r="AJ16" s="13">
        <f>AI16*VLOOKUP('Données projet'!$B$10,Paramètres!$A$1:$I$89,3,0)*VLOOKUP('Données projet'!$B$10,Paramètres!$A$1:$I$89,5,0)</f>
        <v>70.707000000000008</v>
      </c>
      <c r="AK16" s="13">
        <f t="shared" si="35"/>
        <v>19.848927769701511</v>
      </c>
      <c r="AL16" s="20">
        <f t="shared" si="4"/>
        <v>157.71824086556347</v>
      </c>
      <c r="AM16" s="59">
        <f t="shared" si="5"/>
        <v>451.05157419889679</v>
      </c>
      <c r="AN16" s="59">
        <f ca="1">AVERAGE(OFFSET($AM$3,0,0,'Données projet'!$E$10+1,1))-AVERAGE(OFFSET($H$3,0,0,'Données projet'!$E$10+1,1))</f>
        <v>417.99456559608217</v>
      </c>
      <c r="AO16" s="59">
        <f t="shared" si="36"/>
        <v>651.41353014863932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6.6</v>
      </c>
      <c r="BD16" s="12">
        <f>IF('Données projet'!$A$88&gt;35,BD15+BC16-BL15,IF(A16&lt;'Données projet'!$A$88,$BA$205^A16,IF(A16='Données projet'!$A$88,'Données projet'!$B$88,BD15+BC16-BL15)))</f>
        <v>23.89863273788427</v>
      </c>
      <c r="BE16" s="13">
        <f>BD16*VLOOKUP('Données projet'!$B$11,Paramètres!$A$1:$I$89,3,0)*VLOOKUP('Données projet'!$B$11,Paramètres!$A$1:$I$89,5,0)</f>
        <v>20.8778455598157</v>
      </c>
      <c r="BF16" s="13">
        <f t="shared" si="37"/>
        <v>6.7550152262411558</v>
      </c>
      <c r="BG16" s="20">
        <f t="shared" si="7"/>
        <v>48.127232535715684</v>
      </c>
      <c r="BH16" s="59">
        <f t="shared" si="8"/>
        <v>341.46056586904899</v>
      </c>
      <c r="BI16" s="59">
        <f ca="1">AVERAGE(OFFSET($BH$3,0,0,'Données projet'!$E$11+1,1))-AVERAGE(OFFSET($H$3,0,0,'Données projet'!$E$11+1,1))</f>
        <v>247.61330734992077</v>
      </c>
      <c r="BJ16" s="59">
        <f t="shared" si="38"/>
        <v>278.55937893537259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382.55387448074327</v>
      </c>
      <c r="T17" s="59">
        <f t="shared" si="34"/>
        <v>476.29465646955543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26.5</v>
      </c>
      <c r="AI17" s="13">
        <f>IF('Données projet'!$A$62&gt;35,AI16+AH17-AQ16,IF(A17&lt;'Données projet'!$A$62,$AF$205^A17,IF(A17='Données projet'!$A$62,'Données projet'!$B$62,AI16+AH17-AQ16)))</f>
        <v>156</v>
      </c>
      <c r="AJ17" s="13">
        <f>AI17*VLOOKUP('Données projet'!$B$10,Paramètres!$A$1:$I$89,3,0)*VLOOKUP('Données projet'!$B$10,Paramètres!$A$1:$I$89,5,0)</f>
        <v>85.176000000000002</v>
      </c>
      <c r="AK17" s="13">
        <f t="shared" si="35"/>
        <v>23.398088487656441</v>
      </c>
      <c r="AL17" s="20">
        <f t="shared" si="4"/>
        <v>189.09987078266829</v>
      </c>
      <c r="AM17" s="59">
        <f t="shared" si="5"/>
        <v>482.4332041160016</v>
      </c>
      <c r="AN17" s="59">
        <f ca="1">AVERAGE(OFFSET($AM$3,0,0,'Données projet'!$E$10+1,1))-AVERAGE(OFFSET($H$3,0,0,'Données projet'!$E$10+1,1))</f>
        <v>417.99456559608217</v>
      </c>
      <c r="AO17" s="59">
        <f t="shared" si="36"/>
        <v>651.41353014863932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6.6</v>
      </c>
      <c r="BD17" s="12">
        <f>IF('Données projet'!$A$88&gt;35,BD16+BC17-BL16,IF(A17&lt;'Données projet'!$A$88,$BA$205^A17,IF(A17='Données projet'!$A$88,'Données projet'!$B$88,BD16+BC17-BL16)))</f>
        <v>30.50715803683886</v>
      </c>
      <c r="BE17" s="13">
        <f>BD17*VLOOKUP('Données projet'!$B$11,Paramètres!$A$1:$I$89,3,0)*VLOOKUP('Données projet'!$B$11,Paramètres!$A$1:$I$89,5,0)</f>
        <v>26.651053260982433</v>
      </c>
      <c r="BF17" s="13">
        <f t="shared" si="37"/>
        <v>8.3813367159737684</v>
      </c>
      <c r="BG17" s="20">
        <f t="shared" si="7"/>
        <v>61.014745876532061</v>
      </c>
      <c r="BH17" s="59">
        <f t="shared" si="8"/>
        <v>354.34807920986538</v>
      </c>
      <c r="BI17" s="59">
        <f ca="1">AVERAGE(OFFSET($BH$3,0,0,'Données projet'!$E$11+1,1))-AVERAGE(OFFSET($H$3,0,0,'Données projet'!$E$11+1,1))</f>
        <v>247.61330734992077</v>
      </c>
      <c r="BJ17" s="59">
        <f t="shared" si="38"/>
        <v>278.55937893537259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382.55387448074327</v>
      </c>
      <c r="T18" s="59">
        <f t="shared" si="34"/>
        <v>476.29465646955543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26.5</v>
      </c>
      <c r="AI18" s="13">
        <f>IF('Données projet'!$A$62&gt;35,AI17+AH18-AQ17,IF(A18&lt;'Données projet'!$A$62,$AF$205^A18,IF(A18='Données projet'!$A$62,'Données projet'!$B$62,AI17+AH18-AQ17)))</f>
        <v>182.5</v>
      </c>
      <c r="AJ18" s="13">
        <f>AI18*VLOOKUP('Données projet'!$B$10,Paramètres!$A$1:$I$89,3,0)*VLOOKUP('Données projet'!$B$10,Paramètres!$A$1:$I$89,5,0)</f>
        <v>99.644999999999996</v>
      </c>
      <c r="AK18" s="13">
        <f t="shared" si="35"/>
        <v>26.877406196749529</v>
      </c>
      <c r="AL18" s="20">
        <f t="shared" si="4"/>
        <v>220.35985745933877</v>
      </c>
      <c r="AM18" s="59">
        <f t="shared" si="5"/>
        <v>513.69319079267211</v>
      </c>
      <c r="AN18" s="59">
        <f ca="1">AVERAGE(OFFSET($AM$3,0,0,'Données projet'!$E$10+1,1))-AVERAGE(OFFSET($H$3,0,0,'Données projet'!$E$10+1,1))</f>
        <v>417.99456559608217</v>
      </c>
      <c r="AO18" s="59">
        <f t="shared" si="36"/>
        <v>651.41353014863932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6.6</v>
      </c>
      <c r="BD18" s="12">
        <f>IF('Données projet'!$A$88&gt;35,BD17+BC18-BL17,IF(A18&lt;'Données projet'!$A$88,$BA$205^A18,IF(A18='Données projet'!$A$88,'Données projet'!$B$88,BD17+BC18-BL17)))</f>
        <v>38.943093594192561</v>
      </c>
      <c r="BE18" s="13">
        <f>BD18*VLOOKUP('Données projet'!$B$11,Paramètres!$A$1:$I$89,3,0)*VLOOKUP('Données projet'!$B$11,Paramètres!$A$1:$I$89,5,0)</f>
        <v>34.02068656388662</v>
      </c>
      <c r="BF18" s="13">
        <f t="shared" si="37"/>
        <v>10.399207521197393</v>
      </c>
      <c r="BG18" s="20">
        <f t="shared" si="7"/>
        <v>77.364648864854644</v>
      </c>
      <c r="BH18" s="59">
        <f t="shared" si="8"/>
        <v>370.69798219818796</v>
      </c>
      <c r="BI18" s="59">
        <f ca="1">AVERAGE(OFFSET($BH$3,0,0,'Données projet'!$E$11+1,1))-AVERAGE(OFFSET($H$3,0,0,'Données projet'!$E$11+1,1))</f>
        <v>247.61330734992077</v>
      </c>
      <c r="BJ18" s="59">
        <f t="shared" si="38"/>
        <v>278.55937893537259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382.55387448074327</v>
      </c>
      <c r="T19" s="59">
        <f t="shared" si="34"/>
        <v>476.29465646955543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26.5</v>
      </c>
      <c r="AI19" s="13">
        <f>IF('Données projet'!$A$62&gt;35,AI18+AH19-AQ18,IF(A19&lt;'Données projet'!$A$62,$AF$205^A19,IF(A19='Données projet'!$A$62,'Données projet'!$B$62,AI18+AH19-AQ18)))</f>
        <v>209</v>
      </c>
      <c r="AJ19" s="13">
        <f>AI19*VLOOKUP('Données projet'!$B$10,Paramètres!$A$1:$I$89,3,0)*VLOOKUP('Données projet'!$B$10,Paramètres!$A$1:$I$89,5,0)</f>
        <v>114.114</v>
      </c>
      <c r="AK19" s="13">
        <f t="shared" si="35"/>
        <v>30.2981940217283</v>
      </c>
      <c r="AL19" s="20">
        <f t="shared" si="4"/>
        <v>251.51790458784345</v>
      </c>
      <c r="AM19" s="59">
        <f t="shared" si="5"/>
        <v>544.85123792117679</v>
      </c>
      <c r="AN19" s="59">
        <f ca="1">AVERAGE(OFFSET($AM$3,0,0,'Données projet'!$E$10+1,1))-AVERAGE(OFFSET($H$3,0,0,'Données projet'!$E$10+1,1))</f>
        <v>417.99456559608217</v>
      </c>
      <c r="AO19" s="59">
        <f t="shared" si="36"/>
        <v>651.41353014863932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6.6</v>
      </c>
      <c r="BD19" s="12">
        <f>IF('Données projet'!$A$88&gt;35,BD18+BC19-BL18,IF(A19&lt;'Données projet'!$A$88,$BA$205^A19,IF(A19='Données projet'!$A$88,'Données projet'!$B$88,BD18+BC19-BL18)))</f>
        <v>49.711760658095955</v>
      </c>
      <c r="BE19" s="13">
        <f>BD19*VLOOKUP('Données projet'!$B$11,Paramètres!$A$1:$I$89,3,0)*VLOOKUP('Données projet'!$B$11,Paramètres!$A$1:$I$89,5,0)</f>
        <v>43.428194110912635</v>
      </c>
      <c r="BF19" s="13">
        <f t="shared" si="37"/>
        <v>12.902896129065022</v>
      </c>
      <c r="BG19" s="20">
        <f t="shared" si="7"/>
        <v>98.109982167961064</v>
      </c>
      <c r="BH19" s="59">
        <f t="shared" si="8"/>
        <v>391.44331550129436</v>
      </c>
      <c r="BI19" s="59">
        <f ca="1">AVERAGE(OFFSET($BH$3,0,0,'Données projet'!$E$11+1,1))-AVERAGE(OFFSET($H$3,0,0,'Données projet'!$E$11+1,1))</f>
        <v>247.61330734992077</v>
      </c>
      <c r="BJ19" s="59">
        <f t="shared" si="38"/>
        <v>278.55937893537259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382.55387448074327</v>
      </c>
      <c r="T20" s="59">
        <f t="shared" si="34"/>
        <v>476.29465646955543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26.5</v>
      </c>
      <c r="AI20" s="13">
        <f>IF('Données projet'!$A$62&gt;35,AI19+AH20-AQ19,IF(A20&lt;'Données projet'!$A$62,$AF$205^A20,IF(A20='Données projet'!$A$62,'Données projet'!$B$62,AI19+AH20-AQ19)))</f>
        <v>235.5</v>
      </c>
      <c r="AJ20" s="13">
        <f>AI20*VLOOKUP('Données projet'!$B$10,Paramètres!$A$1:$I$89,3,0)*VLOOKUP('Données projet'!$B$10,Paramètres!$A$1:$I$89,5,0)</f>
        <v>128.583</v>
      </c>
      <c r="AK20" s="13">
        <f t="shared" si="35"/>
        <v>33.6687236758629</v>
      </c>
      <c r="AL20" s="20">
        <f t="shared" si="4"/>
        <v>282.58841873546118</v>
      </c>
      <c r="AM20" s="59">
        <f t="shared" si="5"/>
        <v>575.92175206879449</v>
      </c>
      <c r="AN20" s="59">
        <f ca="1">AVERAGE(OFFSET($AM$3,0,0,'Données projet'!$E$10+1,1))-AVERAGE(OFFSET($H$3,0,0,'Données projet'!$E$10+1,1))</f>
        <v>417.99456559608217</v>
      </c>
      <c r="AO20" s="59">
        <f t="shared" si="36"/>
        <v>651.41353014863932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6.6</v>
      </c>
      <c r="BD20" s="12">
        <f>IF('Données projet'!$A$88&gt;35,BD19+BC20-BL19,IF(A20&lt;'Données projet'!$A$88,$BA$205^A20,IF(A20='Données projet'!$A$88,'Données projet'!$B$88,BD19+BC20-BL19)))</f>
        <v>63.458213501978861</v>
      </c>
      <c r="BE20" s="13">
        <f>BD20*VLOOKUP('Données projet'!$B$11,Paramètres!$A$1:$I$89,3,0)*VLOOKUP('Données projet'!$B$11,Paramètres!$A$1:$I$89,5,0)</f>
        <v>55.437095315328747</v>
      </c>
      <c r="BF20" s="13">
        <f t="shared" si="37"/>
        <v>16.009366884744278</v>
      </c>
      <c r="BG20" s="20">
        <f t="shared" si="7"/>
        <v>124.4359216651272</v>
      </c>
      <c r="BH20" s="59">
        <f t="shared" si="8"/>
        <v>417.7692549984605</v>
      </c>
      <c r="BI20" s="59">
        <f ca="1">AVERAGE(OFFSET($BH$3,0,0,'Données projet'!$E$11+1,1))-AVERAGE(OFFSET($H$3,0,0,'Données projet'!$E$11+1,1))</f>
        <v>247.61330734992077</v>
      </c>
      <c r="BJ20" s="59">
        <f t="shared" si="38"/>
        <v>278.55937893537259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382.55387448074327</v>
      </c>
      <c r="T21" s="59">
        <f t="shared" si="34"/>
        <v>476.29465646955543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262</v>
      </c>
      <c r="AG21" s="12">
        <f>VLOOKUP(A21,'Données projet'!$A$61:$I$81,9,0)</f>
        <v>26.5</v>
      </c>
      <c r="AH21" s="12">
        <f t="array" ref="AH21">INDEX(AG:AG,MIN(IF(ISNUMBER(AG21:AG217),ROW(AG21:AG217),"")))</f>
        <v>26.5</v>
      </c>
      <c r="AI21" s="13">
        <f>IF('Données projet'!$A$62&gt;35,AI20+AH21-AQ20,IF(A21&lt;'Données projet'!$A$62,$AF$205^A21,IF(A21='Données projet'!$A$62,'Données projet'!$B$62,AI20+AH21-AQ20)))</f>
        <v>262</v>
      </c>
      <c r="AJ21" s="13">
        <f>AI21*VLOOKUP('Données projet'!$B$10,Paramètres!$A$1:$I$89,3,0)*VLOOKUP('Données projet'!$B$10,Paramètres!$A$1:$I$89,5,0)</f>
        <v>143.05199999999999</v>
      </c>
      <c r="AK21" s="13">
        <f t="shared" si="35"/>
        <v>36.995295872593921</v>
      </c>
      <c r="AL21" s="20">
        <f t="shared" si="4"/>
        <v>313.5823736447677</v>
      </c>
      <c r="AM21" s="59">
        <f t="shared" si="5"/>
        <v>606.91570697810107</v>
      </c>
      <c r="AN21" s="59">
        <f ca="1">AVERAGE(OFFSET($AM$3,0,0,'Données projet'!$E$10+1,1))-AVERAGE(OFFSET($H$3,0,0,'Données projet'!$E$10+1,1))</f>
        <v>417.99456559608217</v>
      </c>
      <c r="AO21" s="59">
        <f t="shared" si="36"/>
        <v>651.41353014863932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6.6</v>
      </c>
      <c r="BD21" s="12">
        <f>IF('Données projet'!$A$88&gt;35,BD20+BC21-BL20,IF(A21&lt;'Données projet'!$A$88,$BA$205^A21,IF(A21='Données projet'!$A$88,'Données projet'!$B$88,BD20+BC21-BL20)))</f>
        <v>81.005878841406769</v>
      </c>
      <c r="BE21" s="13">
        <f>BD21*VLOOKUP('Données projet'!$B$11,Paramètres!$A$1:$I$89,3,0)*VLOOKUP('Données projet'!$B$11,Paramètres!$A$1:$I$89,5,0)</f>
        <v>70.766735755852963</v>
      </c>
      <c r="BF21" s="13">
        <f t="shared" si="37"/>
        <v>19.863744192515547</v>
      </c>
      <c r="BG21" s="20">
        <f t="shared" si="7"/>
        <v>157.84808591007513</v>
      </c>
      <c r="BH21" s="59">
        <f t="shared" si="8"/>
        <v>451.18141924340841</v>
      </c>
      <c r="BI21" s="59">
        <f ca="1">AVERAGE(OFFSET($BH$3,0,0,'Données projet'!$E$11+1,1))-AVERAGE(OFFSET($H$3,0,0,'Données projet'!$E$11+1,1))</f>
        <v>247.61330734992077</v>
      </c>
      <c r="BJ21" s="59">
        <f t="shared" si="38"/>
        <v>278.55937893537259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382.55387448074327</v>
      </c>
      <c r="T22" s="59">
        <f t="shared" si="34"/>
        <v>476.29465646955543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1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26.833333333333332</v>
      </c>
      <c r="AI22" s="13">
        <f>IF('Données projet'!$A$62&gt;35,AI21+AH22-AQ21,IF(A22&lt;'Données projet'!$A$62,$AF$205^A22,IF(A22='Données projet'!$A$62,'Données projet'!$B$62,AI21+AH22-AQ21)))</f>
        <v>288.83333333333331</v>
      </c>
      <c r="AJ22" s="13">
        <f>AI22*VLOOKUP('Données projet'!$B$10,Paramètres!$A$1:$I$89,3,0)*VLOOKUP('Données projet'!$B$10,Paramètres!$A$1:$I$89,5,0)</f>
        <v>157.703</v>
      </c>
      <c r="AK22" s="13">
        <f t="shared" si="35"/>
        <v>40.32398542895293</v>
      </c>
      <c r="AL22" s="20">
        <f t="shared" si="4"/>
        <v>344.89699962209301</v>
      </c>
      <c r="AM22" s="59">
        <f t="shared" si="5"/>
        <v>638.23033295542632</v>
      </c>
      <c r="AN22" s="59">
        <f ca="1">AVERAGE(OFFSET($AM$3,0,0,'Données projet'!$E$10+1,1))-AVERAGE(OFFSET($H$3,0,0,'Données projet'!$E$10+1,1))</f>
        <v>417.99456559608217</v>
      </c>
      <c r="AO22" s="59">
        <f t="shared" si="36"/>
        <v>651.41353014863932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6.6</v>
      </c>
      <c r="BD22" s="12">
        <f>IF('Données projet'!$A$88&gt;35,BD21+BC22-BL21,IF(A22&lt;'Données projet'!$A$88,$BA$205^A22,IF(A22='Données projet'!$A$88,'Données projet'!$B$88,BD21+BC22-BL21)))</f>
        <v>103.40587994435182</v>
      </c>
      <c r="BE22" s="13">
        <f>BD22*VLOOKUP('Données projet'!$B$11,Paramètres!$A$1:$I$89,3,0)*VLOOKUP('Données projet'!$B$11,Paramètres!$A$1:$I$89,5,0)</f>
        <v>90.335376719385764</v>
      </c>
      <c r="BF22" s="13">
        <f t="shared" si="37"/>
        <v>24.646092265003244</v>
      </c>
      <c r="BG22" s="20">
        <f t="shared" si="7"/>
        <v>200.25939181447754</v>
      </c>
      <c r="BH22" s="59">
        <f t="shared" si="8"/>
        <v>493.59272514781082</v>
      </c>
      <c r="BI22" s="59">
        <f ca="1">AVERAGE(OFFSET($BH$3,0,0,'Données projet'!$E$11+1,1))-AVERAGE(OFFSET($H$3,0,0,'Données projet'!$E$11+1,1))</f>
        <v>247.61330734992077</v>
      </c>
      <c r="BJ22" s="59">
        <f t="shared" si="38"/>
        <v>278.55937893537259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382.55387448074327</v>
      </c>
      <c r="T23" s="59">
        <f t="shared" si="34"/>
        <v>476.29465646955543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26.833333333333332</v>
      </c>
      <c r="AI23" s="13">
        <f>IF('Données projet'!$A$62&gt;35,AI22+AH23-AQ22,IF(A23&lt;'Données projet'!$A$62,$AF$205^A23,IF(A23='Données projet'!$A$62,'Données projet'!$B$62,AI22+AH23-AQ22)))</f>
        <v>315.66666666666663</v>
      </c>
      <c r="AJ23" s="13">
        <f>AI23*VLOOKUP('Données projet'!$B$10,Paramètres!$A$1:$I$89,3,0)*VLOOKUP('Données projet'!$B$10,Paramètres!$A$1:$I$89,5,0)</f>
        <v>172.35399999999998</v>
      </c>
      <c r="AK23" s="13">
        <f t="shared" si="35"/>
        <v>43.616818567364454</v>
      </c>
      <c r="AL23" s="20">
        <f t="shared" si="4"/>
        <v>376.14917567149308</v>
      </c>
      <c r="AM23" s="59">
        <f t="shared" si="5"/>
        <v>669.4825090048264</v>
      </c>
      <c r="AN23" s="59">
        <f ca="1">AVERAGE(OFFSET($AM$3,0,0,'Données projet'!$E$10+1,1))-AVERAGE(OFFSET($H$3,0,0,'Données projet'!$E$10+1,1))</f>
        <v>417.99456559608217</v>
      </c>
      <c r="AO23" s="59">
        <f t="shared" si="36"/>
        <v>651.41353014863932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132</v>
      </c>
      <c r="BB23" s="12">
        <f>VLOOKUP(A23,'Données projet'!$A$87:$I$107,9,0)</f>
        <v>6.6</v>
      </c>
      <c r="BC23" s="12">
        <f t="array" ref="BC23">INDEX(BB:BB,MIN(IF(ISNUMBER(BB23:BB219),ROW(BB23:BB219),"")))</f>
        <v>6.6</v>
      </c>
      <c r="BD23" s="12">
        <f>IF('Données projet'!$A$88&gt;35,BD22+BC23-BL22,IF(A23&lt;'Données projet'!$A$88,$BA$205^A23,IF(A23='Données projet'!$A$88,'Données projet'!$B$88,BD22+BC23-BL22)))</f>
        <v>132</v>
      </c>
      <c r="BE23" s="13">
        <f>BD23*VLOOKUP('Données projet'!$B$11,Paramètres!$A$1:$I$89,3,0)*VLOOKUP('Données projet'!$B$11,Paramètres!$A$1:$I$89,5,0)</f>
        <v>115.3152</v>
      </c>
      <c r="BF23" s="13">
        <f t="shared" si="37"/>
        <v>30.579827148797317</v>
      </c>
      <c r="BG23" s="20">
        <f t="shared" si="7"/>
        <v>254.10050561748861</v>
      </c>
      <c r="BH23" s="59">
        <f t="shared" si="8"/>
        <v>547.43383895082195</v>
      </c>
      <c r="BI23" s="59">
        <f ca="1">AVERAGE(OFFSET($BH$3,0,0,'Données projet'!$E$11+1,1))-AVERAGE(OFFSET($H$3,0,0,'Données projet'!$E$11+1,1))</f>
        <v>247.61330734992077</v>
      </c>
      <c r="BJ23" s="59">
        <f t="shared" si="38"/>
        <v>278.55937893537259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50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382.55387448074327</v>
      </c>
      <c r="T24" s="59">
        <f t="shared" si="34"/>
        <v>476.29465646955543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26.833333333333332</v>
      </c>
      <c r="AI24" s="13">
        <f>IF('Données projet'!$A$62&gt;35,AI23+AH24-AQ23,IF(A24&lt;'Données projet'!$A$62,$AF$205^A24,IF(A24='Données projet'!$A$62,'Données projet'!$B$62,AI23+AH24-AQ23)))</f>
        <v>342.49999999999994</v>
      </c>
      <c r="AJ24" s="13">
        <f>AI24*VLOOKUP('Données projet'!$B$10,Paramètres!$A$1:$I$89,3,0)*VLOOKUP('Données projet'!$B$10,Paramètres!$A$1:$I$89,5,0)</f>
        <v>187.00499999999997</v>
      </c>
      <c r="AK24" s="13">
        <f t="shared" si="35"/>
        <v>46.877189812776564</v>
      </c>
      <c r="AL24" s="20">
        <f t="shared" si="4"/>
        <v>407.34481392391916</v>
      </c>
      <c r="AM24" s="59">
        <f t="shared" si="5"/>
        <v>700.67814725725248</v>
      </c>
      <c r="AN24" s="59">
        <f ca="1">AVERAGE(OFFSET($AM$3,0,0,'Données projet'!$E$10+1,1))-AVERAGE(OFFSET($H$3,0,0,'Données projet'!$E$10+1,1))</f>
        <v>417.99456559608217</v>
      </c>
      <c r="AO24" s="59">
        <f t="shared" si="36"/>
        <v>651.41353014863932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12.2</v>
      </c>
      <c r="BD24" s="12">
        <f>IF('Données projet'!$A$88&gt;35,BD23+BC24-BL23,IF(A24&lt;'Données projet'!$A$88,$BA$205^A24,IF(A24='Données projet'!$A$88,'Données projet'!$B$88,BD23+BC24-BL23)))</f>
        <v>94.199999999999989</v>
      </c>
      <c r="BE24" s="13">
        <f>BD24*VLOOKUP('Données projet'!$B$11,Paramètres!$A$1:$I$89,3,0)*VLOOKUP('Données projet'!$B$11,Paramètres!$A$1:$I$89,5,0)</f>
        <v>82.293120000000002</v>
      </c>
      <c r="BF24" s="13">
        <f t="shared" si="37"/>
        <v>22.696938367376966</v>
      </c>
      <c r="BG24" s="20">
        <f t="shared" si="7"/>
        <v>182.85768498984825</v>
      </c>
      <c r="BH24" s="59">
        <f t="shared" si="8"/>
        <v>476.19101832318154</v>
      </c>
      <c r="BI24" s="59">
        <f ca="1">AVERAGE(OFFSET($BH$3,0,0,'Données projet'!$E$11+1,1))-AVERAGE(OFFSET($H$3,0,0,'Données projet'!$E$11+1,1))</f>
        <v>247.61330734992077</v>
      </c>
      <c r="BJ24" s="59">
        <f t="shared" si="38"/>
        <v>278.55937893537259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382.55387448074327</v>
      </c>
      <c r="T25" s="59">
        <f t="shared" si="34"/>
        <v>476.29465646955543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26.833333333333332</v>
      </c>
      <c r="AI25" s="13">
        <f>IF('Données projet'!$A$62&gt;35,AI24+AH25-AQ24,IF(A25&lt;'Données projet'!$A$62,$AF$205^A25,IF(A25='Données projet'!$A$62,'Données projet'!$B$62,AI24+AH25-AQ24)))</f>
        <v>369.33333333333326</v>
      </c>
      <c r="AJ25" s="13">
        <f>AI25*VLOOKUP('Données projet'!$B$10,Paramètres!$A$1:$I$89,3,0)*VLOOKUP('Données projet'!$B$10,Paramètres!$A$1:$I$89,5,0)</f>
        <v>201.65599999999998</v>
      </c>
      <c r="AK25" s="13">
        <f t="shared" si="35"/>
        <v>50.107931560694468</v>
      </c>
      <c r="AL25" s="20">
        <f t="shared" si="4"/>
        <v>438.48884746820949</v>
      </c>
      <c r="AM25" s="59">
        <f t="shared" si="5"/>
        <v>731.8221808015428</v>
      </c>
      <c r="AN25" s="59">
        <f ca="1">AVERAGE(OFFSET($AM$3,0,0,'Données projet'!$E$10+1,1))-AVERAGE(OFFSET($H$3,0,0,'Données projet'!$E$10+1,1))</f>
        <v>417.99456559608217</v>
      </c>
      <c r="AO25" s="59">
        <f t="shared" si="36"/>
        <v>651.41353014863932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12.2</v>
      </c>
      <c r="BD25" s="12">
        <f>IF('Données projet'!$A$88&gt;35,BD24+BC25-BL24,IF(A25&lt;'Données projet'!$A$88,$BA$205^A25,IF(A25='Données projet'!$A$88,'Données projet'!$B$88,BD24+BC25-BL24)))</f>
        <v>106.39999999999999</v>
      </c>
      <c r="BE25" s="13">
        <f>BD25*VLOOKUP('Données projet'!$B$11,Paramètres!$A$1:$I$89,3,0)*VLOOKUP('Données projet'!$B$11,Paramètres!$A$1:$I$89,5,0)</f>
        <v>92.951040000000006</v>
      </c>
      <c r="BF25" s="13">
        <f t="shared" si="37"/>
        <v>25.275602869272223</v>
      </c>
      <c r="BG25" s="20">
        <f t="shared" si="7"/>
        <v>205.9114029973158</v>
      </c>
      <c r="BH25" s="59">
        <f t="shared" si="8"/>
        <v>499.24473633064912</v>
      </c>
      <c r="BI25" s="59">
        <f ca="1">AVERAGE(OFFSET($BH$3,0,0,'Données projet'!$E$11+1,1))-AVERAGE(OFFSET($H$3,0,0,'Données projet'!$E$11+1,1))</f>
        <v>247.61330734992077</v>
      </c>
      <c r="BJ25" s="59">
        <f t="shared" si="38"/>
        <v>278.55937893537259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382.55387448074327</v>
      </c>
      <c r="T26" s="59">
        <f t="shared" si="34"/>
        <v>476.29465646955543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26.833333333333332</v>
      </c>
      <c r="AI26" s="13">
        <f>IF('Données projet'!$A$62&gt;35,AI25+AH26-AQ25,IF(A26&lt;'Données projet'!$A$62,$AF$205^A26,IF(A26='Données projet'!$A$62,'Données projet'!$B$62,AI25+AH26-AQ25)))</f>
        <v>396.16666666666657</v>
      </c>
      <c r="AJ26" s="13">
        <f>AI26*VLOOKUP('Données projet'!$B$10,Paramètres!$A$1:$I$89,3,0)*VLOOKUP('Données projet'!$B$10,Paramètres!$A$1:$I$89,5,0)</f>
        <v>216.30699999999996</v>
      </c>
      <c r="AK26" s="13">
        <f t="shared" si="35"/>
        <v>53.311441307282493</v>
      </c>
      <c r="AL26" s="20">
        <f t="shared" si="4"/>
        <v>469.58545194351694</v>
      </c>
      <c r="AM26" s="59">
        <f t="shared" si="5"/>
        <v>762.91878527685026</v>
      </c>
      <c r="AN26" s="59">
        <f ca="1">AVERAGE(OFFSET($AM$3,0,0,'Données projet'!$E$10+1,1))-AVERAGE(OFFSET($H$3,0,0,'Données projet'!$E$10+1,1))</f>
        <v>417.99456559608217</v>
      </c>
      <c r="AO26" s="59">
        <f t="shared" si="36"/>
        <v>651.41353014863932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12.2</v>
      </c>
      <c r="BD26" s="12">
        <f>IF('Données projet'!$A$88&gt;35,BD25+BC26-BL25,IF(A26&lt;'Données projet'!$A$88,$BA$205^A26,IF(A26='Données projet'!$A$88,'Données projet'!$B$88,BD25+BC26-BL25)))</f>
        <v>118.6</v>
      </c>
      <c r="BE26" s="13">
        <f>BD26*VLOOKUP('Données projet'!$B$11,Paramètres!$A$1:$I$89,3,0)*VLOOKUP('Données projet'!$B$11,Paramètres!$A$1:$I$89,5,0)</f>
        <v>103.60896</v>
      </c>
      <c r="BF26" s="13">
        <f t="shared" si="37"/>
        <v>27.820000397643376</v>
      </c>
      <c r="BG26" s="20">
        <f t="shared" si="7"/>
        <v>228.90543935922889</v>
      </c>
      <c r="BH26" s="59">
        <f t="shared" si="8"/>
        <v>522.23877269256218</v>
      </c>
      <c r="BI26" s="59">
        <f ca="1">AVERAGE(OFFSET($BH$3,0,0,'Données projet'!$E$11+1,1))-AVERAGE(OFFSET($H$3,0,0,'Données projet'!$E$11+1,1))</f>
        <v>247.61330734992077</v>
      </c>
      <c r="BJ26" s="59">
        <f t="shared" si="38"/>
        <v>278.55937893537259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382.55387448074327</v>
      </c>
      <c r="T27" s="59">
        <f t="shared" si="34"/>
        <v>476.29465646955543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423</v>
      </c>
      <c r="AG27" s="12">
        <f>VLOOKUP(A27,'Données projet'!$A$61:$I$81,9,0)</f>
        <v>26.833333333333332</v>
      </c>
      <c r="AH27" s="12">
        <f t="array" ref="AH27">INDEX(AG:AG,MIN(IF(ISNUMBER(AG27:AG223),ROW(AG27:AG223),"")))</f>
        <v>26.833333333333332</v>
      </c>
      <c r="AI27" s="13">
        <f>IF('Données projet'!$A$62&gt;35,AI26+AH27-AQ26,IF(A27&lt;'Données projet'!$A$62,$AF$205^A27,IF(A27='Données projet'!$A$62,'Données projet'!$B$62,AI26+AH27-AQ26)))</f>
        <v>422.99999999999989</v>
      </c>
      <c r="AJ27" s="13">
        <f>AI27*VLOOKUP('Données projet'!$B$10,Paramètres!$A$1:$I$89,3,0)*VLOOKUP('Données projet'!$B$10,Paramètres!$A$1:$I$89,5,0)</f>
        <v>230.95799999999994</v>
      </c>
      <c r="AK27" s="13">
        <f t="shared" si="35"/>
        <v>56.489773392384429</v>
      </c>
      <c r="AL27" s="20">
        <f t="shared" si="4"/>
        <v>500.63820532506946</v>
      </c>
      <c r="AM27" s="59">
        <f t="shared" si="5"/>
        <v>793.97153865840278</v>
      </c>
      <c r="AN27" s="59">
        <f ca="1">AVERAGE(OFFSET($AM$3,0,0,'Données projet'!$E$10+1,1))-AVERAGE(OFFSET($H$3,0,0,'Données projet'!$E$10+1,1))</f>
        <v>417.99456559608217</v>
      </c>
      <c r="AO27" s="59">
        <f t="shared" si="36"/>
        <v>651.41353014863932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12.2</v>
      </c>
      <c r="BD27" s="12">
        <f>IF('Données projet'!$A$88&gt;35,BD26+BC27-BL26,IF(A27&lt;'Données projet'!$A$88,$BA$205^A27,IF(A27='Données projet'!$A$88,'Données projet'!$B$88,BD26+BC27-BL26)))</f>
        <v>130.79999999999998</v>
      </c>
      <c r="BE27" s="13">
        <f>BD27*VLOOKUP('Données projet'!$B$11,Paramètres!$A$1:$I$89,3,0)*VLOOKUP('Données projet'!$B$11,Paramètres!$A$1:$I$89,5,0)</f>
        <v>114.26687999999999</v>
      </c>
      <c r="BF27" s="13">
        <f t="shared" si="37"/>
        <v>30.334057329879929</v>
      </c>
      <c r="BG27" s="20">
        <f t="shared" si="7"/>
        <v>251.84663251620748</v>
      </c>
      <c r="BH27" s="59">
        <f t="shared" si="8"/>
        <v>545.17996584954085</v>
      </c>
      <c r="BI27" s="59">
        <f ca="1">AVERAGE(OFFSET($BH$3,0,0,'Données projet'!$E$11+1,1))-AVERAGE(OFFSET($H$3,0,0,'Données projet'!$E$11+1,1))</f>
        <v>247.61330734992077</v>
      </c>
      <c r="BJ27" s="59">
        <f t="shared" si="38"/>
        <v>278.55937893537259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382.55387448074327</v>
      </c>
      <c r="T28" s="59">
        <f t="shared" si="34"/>
        <v>476.29465646955543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21.937304095826462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21.937304095826462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26.666666666666668</v>
      </c>
      <c r="AI28" s="13">
        <f>IF('Données projet'!$A$62&gt;35,AI27+AH28-AQ27,IF(A28&lt;'Données projet'!$A$62,$AF$205^A28,IF(A28='Données projet'!$A$62,'Données projet'!$B$62,AI27+AH28-AQ27)))</f>
        <v>449.66666666666657</v>
      </c>
      <c r="AJ28" s="13">
        <f>AI28*VLOOKUP('Données projet'!$B$10,Paramètres!$A$1:$I$89,3,0)*VLOOKUP('Données projet'!$B$10,Paramètres!$A$1:$I$89,5,0)</f>
        <v>245.51799999999994</v>
      </c>
      <c r="AK28" s="13">
        <f t="shared" si="35"/>
        <v>59.625179848894327</v>
      </c>
      <c r="AL28" s="20">
        <f t="shared" si="4"/>
        <v>531.45770490349082</v>
      </c>
      <c r="AM28" s="59">
        <f t="shared" si="5"/>
        <v>824.79103823682408</v>
      </c>
      <c r="AN28" s="59">
        <f ca="1">AVERAGE(OFFSET($AM$3,0,0,'Données projet'!$E$10+1,1))-AVERAGE(OFFSET($H$3,0,0,'Données projet'!$E$10+1,1))</f>
        <v>417.99456559608217</v>
      </c>
      <c r="AO28" s="59">
        <f t="shared" si="36"/>
        <v>651.41353014863932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143</v>
      </c>
      <c r="BB28" s="12">
        <f>VLOOKUP(A28,'Données projet'!$A$87:$I$107,9,0)</f>
        <v>12.2</v>
      </c>
      <c r="BC28" s="12">
        <f t="array" ref="BC28">INDEX(BB:BB,MIN(IF(ISNUMBER(BB28:BB224),ROW(BB28:BB224),"")))</f>
        <v>12.2</v>
      </c>
      <c r="BD28" s="12">
        <f>IF('Données projet'!$A$88&gt;35,BD27+BC28-BL27,IF(A28&lt;'Données projet'!$A$88,$BA$205^A28,IF(A28='Données projet'!$A$88,'Données projet'!$B$88,BD27+BC28-BL27)))</f>
        <v>142.99999999999997</v>
      </c>
      <c r="BE28" s="13">
        <f>BD28*VLOOKUP('Données projet'!$B$11,Paramètres!$A$1:$I$89,3,0)*VLOOKUP('Données projet'!$B$11,Paramètres!$A$1:$I$89,5,0)</f>
        <v>124.9248</v>
      </c>
      <c r="BF28" s="13">
        <f t="shared" si="37"/>
        <v>32.820925500842712</v>
      </c>
      <c r="BG28" s="20">
        <f t="shared" si="7"/>
        <v>274.74047191396772</v>
      </c>
      <c r="BH28" s="59">
        <f t="shared" si="8"/>
        <v>568.07380524730104</v>
      </c>
      <c r="BI28" s="59">
        <f ca="1">AVERAGE(OFFSET($BH$3,0,0,'Données projet'!$E$11+1,1))-AVERAGE(OFFSET($H$3,0,0,'Données projet'!$E$11+1,1))</f>
        <v>247.61330734992077</v>
      </c>
      <c r="BJ28" s="59">
        <f t="shared" si="38"/>
        <v>278.55937893537259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37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382.55387448074327</v>
      </c>
      <c r="T29" s="59">
        <f t="shared" si="34"/>
        <v>476.29465646955543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21.337427361693404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21.337427361693404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26.666666666666668</v>
      </c>
      <c r="AI29" s="13">
        <f>IF('Données projet'!$A$62&gt;35,AI28+AH29-AQ28,IF(A29&lt;'Données projet'!$A$62,$AF$205^A29,IF(A29='Données projet'!$A$62,'Données projet'!$B$62,AI28+AH29-AQ28)))</f>
        <v>476.33333333333326</v>
      </c>
      <c r="AJ29" s="13">
        <f>AI29*VLOOKUP('Données projet'!$B$10,Paramètres!$A$1:$I$89,3,0)*VLOOKUP('Données projet'!$B$10,Paramètres!$A$1:$I$89,5,0)</f>
        <v>260.07799999999997</v>
      </c>
      <c r="AK29" s="13">
        <f t="shared" si="35"/>
        <v>62.739004113845937</v>
      </c>
      <c r="AL29" s="20">
        <f t="shared" si="4"/>
        <v>562.23961549828152</v>
      </c>
      <c r="AM29" s="59">
        <f t="shared" si="5"/>
        <v>855.57294883161489</v>
      </c>
      <c r="AN29" s="59">
        <f ca="1">AVERAGE(OFFSET($AM$3,0,0,'Données projet'!$E$10+1,1))-AVERAGE(OFFSET($H$3,0,0,'Données projet'!$E$10+1,1))</f>
        <v>417.99456559608217</v>
      </c>
      <c r="AO29" s="59">
        <f t="shared" si="36"/>
        <v>651.41353014863932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11.4</v>
      </c>
      <c r="BD29" s="12">
        <f>IF('Données projet'!$A$88&gt;35,BD28+BC29-BL28,IF(A29&lt;'Données projet'!$A$88,$BA$205^A29,IF(A29='Données projet'!$A$88,'Données projet'!$B$88,BD28+BC29-BL28)))</f>
        <v>117.39999999999998</v>
      </c>
      <c r="BE29" s="13">
        <f>BD29*VLOOKUP('Données projet'!$B$11,Paramètres!$A$1:$I$89,3,0)*VLOOKUP('Données projet'!$B$11,Paramètres!$A$1:$I$89,5,0)</f>
        <v>102.56064000000001</v>
      </c>
      <c r="BF29" s="13">
        <f t="shared" si="37"/>
        <v>27.571134131783779</v>
      </c>
      <c r="BG29" s="20">
        <f t="shared" si="7"/>
        <v>226.64617327952342</v>
      </c>
      <c r="BH29" s="59">
        <f t="shared" si="8"/>
        <v>519.97950661285677</v>
      </c>
      <c r="BI29" s="59">
        <f ca="1">AVERAGE(OFFSET($BH$3,0,0,'Données projet'!$E$11+1,1))-AVERAGE(OFFSET($H$3,0,0,'Données projet'!$E$11+1,1))</f>
        <v>247.61330734992077</v>
      </c>
      <c r="BJ29" s="59">
        <f t="shared" si="38"/>
        <v>278.55937893537259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382.55387448074327</v>
      </c>
      <c r="T30" s="59">
        <f t="shared" si="34"/>
        <v>476.29465646955543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20.75395428840136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20.75395428840136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26.666666666666668</v>
      </c>
      <c r="AI30" s="13">
        <f>IF('Données projet'!$A$62&gt;35,AI29+AH30-AQ29,IF(A30&lt;'Données projet'!$A$62,$AF$205^A30,IF(A30='Données projet'!$A$62,'Données projet'!$B$62,AI29+AH30-AQ29)))</f>
        <v>502.99999999999994</v>
      </c>
      <c r="AJ30" s="13">
        <f>AI30*VLOOKUP('Données projet'!$B$10,Paramètres!$A$1:$I$89,3,0)*VLOOKUP('Données projet'!$B$10,Paramètres!$A$1:$I$89,5,0)</f>
        <v>274.63799999999998</v>
      </c>
      <c r="AK30" s="13">
        <f t="shared" si="35"/>
        <v>65.832592125710022</v>
      </c>
      <c r="AL30" s="20">
        <f t="shared" si="4"/>
        <v>592.98628128561154</v>
      </c>
      <c r="AM30" s="59">
        <f t="shared" si="5"/>
        <v>886.3196146189448</v>
      </c>
      <c r="AN30" s="59">
        <f ca="1">AVERAGE(OFFSET($AM$3,0,0,'Données projet'!$E$10+1,1))-AVERAGE(OFFSET($H$3,0,0,'Données projet'!$E$10+1,1))</f>
        <v>417.99456559608217</v>
      </c>
      <c r="AO30" s="59">
        <f t="shared" si="36"/>
        <v>651.41353014863932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11.4</v>
      </c>
      <c r="BD30" s="12">
        <f>IF('Données projet'!$A$88&gt;35,BD29+BC30-BL29,IF(A30&lt;'Données projet'!$A$88,$BA$205^A30,IF(A30='Données projet'!$A$88,'Données projet'!$B$88,BD29+BC30-BL29)))</f>
        <v>128.79999999999998</v>
      </c>
      <c r="BE30" s="13">
        <f>BD30*VLOOKUP('Données projet'!$B$11,Paramètres!$A$1:$I$89,3,0)*VLOOKUP('Données projet'!$B$11,Paramètres!$A$1:$I$89,5,0)</f>
        <v>112.51968000000001</v>
      </c>
      <c r="BF30" s="13">
        <f t="shared" si="37"/>
        <v>29.923856072189899</v>
      </c>
      <c r="BG30" s="20">
        <f t="shared" si="7"/>
        <v>248.08915865906408</v>
      </c>
      <c r="BH30" s="59">
        <f t="shared" si="8"/>
        <v>541.42249199239745</v>
      </c>
      <c r="BI30" s="59">
        <f ca="1">AVERAGE(OFFSET($BH$3,0,0,'Données projet'!$E$11+1,1))-AVERAGE(OFFSET($H$3,0,0,'Données projet'!$E$11+1,1))</f>
        <v>247.61330734992077</v>
      </c>
      <c r="BJ30" s="59">
        <f t="shared" si="38"/>
        <v>278.55937893537259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382.55387448074327</v>
      </c>
      <c r="T31" s="59">
        <f t="shared" si="34"/>
        <v>476.29465646955543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20.186436316982004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20.186436316982004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26.666666666666668</v>
      </c>
      <c r="AI31" s="13">
        <f>IF('Données projet'!$A$62&gt;35,AI30+AH31-AQ30,IF(A31&lt;'Données projet'!$A$62,$AF$205^A31,IF(A31='Données projet'!$A$62,'Données projet'!$B$62,AI30+AH31-AQ30)))</f>
        <v>529.66666666666663</v>
      </c>
      <c r="AJ31" s="13">
        <f>AI31*VLOOKUP('Données projet'!$B$10,Paramètres!$A$1:$I$89,3,0)*VLOOKUP('Données projet'!$B$10,Paramètres!$A$1:$I$89,5,0)</f>
        <v>289.19799999999998</v>
      </c>
      <c r="AK31" s="13">
        <f t="shared" si="35"/>
        <v>68.907139052299499</v>
      </c>
      <c r="AL31" s="20">
        <f t="shared" si="4"/>
        <v>623.69978384942158</v>
      </c>
      <c r="AM31" s="59">
        <f t="shared" si="5"/>
        <v>917.03311718275495</v>
      </c>
      <c r="AN31" s="59">
        <f ca="1">AVERAGE(OFFSET($AM$3,0,0,'Données projet'!$E$10+1,1))-AVERAGE(OFFSET($H$3,0,0,'Données projet'!$E$10+1,1))</f>
        <v>417.99456559608217</v>
      </c>
      <c r="AO31" s="59">
        <f t="shared" si="36"/>
        <v>651.41353014863932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11.4</v>
      </c>
      <c r="BD31" s="12">
        <f>IF('Données projet'!$A$88&gt;35,BD30+BC31-BL30,IF(A31&lt;'Données projet'!$A$88,$BA$205^A31,IF(A31='Données projet'!$A$88,'Données projet'!$B$88,BD30+BC31-BL30)))</f>
        <v>140.19999999999999</v>
      </c>
      <c r="BE31" s="13">
        <f>BD31*VLOOKUP('Données projet'!$B$11,Paramètres!$A$1:$I$89,3,0)*VLOOKUP('Données projet'!$B$11,Paramètres!$A$1:$I$89,5,0)</f>
        <v>122.47872000000001</v>
      </c>
      <c r="BF31" s="13">
        <f t="shared" si="37"/>
        <v>32.252430308904003</v>
      </c>
      <c r="BG31" s="20">
        <f t="shared" si="7"/>
        <v>269.49008678800777</v>
      </c>
      <c r="BH31" s="59">
        <f t="shared" si="8"/>
        <v>562.82342012134109</v>
      </c>
      <c r="BI31" s="59">
        <f ca="1">AVERAGE(OFFSET($BH$3,0,0,'Données projet'!$E$11+1,1))-AVERAGE(OFFSET($H$3,0,0,'Données projet'!$E$11+1,1))</f>
        <v>247.61330734992077</v>
      </c>
      <c r="BJ31" s="59">
        <f t="shared" si="38"/>
        <v>278.55937893537259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382.55387448074327</v>
      </c>
      <c r="T32" s="59">
        <f t="shared" si="34"/>
        <v>476.29465646955543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19.634437154335583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19.634437154335583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26.666666666666668</v>
      </c>
      <c r="AI32" s="13">
        <f>IF('Données projet'!$A$62&gt;35,AI31+AH32-AQ31,IF(A32&lt;'Données projet'!$A$62,$AF$205^A32,IF(A32='Données projet'!$A$62,'Données projet'!$B$62,AI31+AH32-AQ31)))</f>
        <v>556.33333333333326</v>
      </c>
      <c r="AJ32" s="13">
        <f>AI32*VLOOKUP('Données projet'!$B$10,Paramètres!$A$1:$I$89,3,0)*VLOOKUP('Données projet'!$B$10,Paramètres!$A$1:$I$89,5,0)</f>
        <v>303.75799999999998</v>
      </c>
      <c r="AK32" s="13">
        <f t="shared" si="35"/>
        <v>71.963712919312869</v>
      </c>
      <c r="AL32" s="20">
        <f t="shared" si="4"/>
        <v>654.38198333446974</v>
      </c>
      <c r="AM32" s="59">
        <f t="shared" si="5"/>
        <v>947.71531666780311</v>
      </c>
      <c r="AN32" s="59">
        <f ca="1">AVERAGE(OFFSET($AM$3,0,0,'Données projet'!$E$10+1,1))-AVERAGE(OFFSET($H$3,0,0,'Données projet'!$E$10+1,1))</f>
        <v>417.99456559608217</v>
      </c>
      <c r="AO32" s="59">
        <f t="shared" si="36"/>
        <v>651.41353014863932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11.4</v>
      </c>
      <c r="BD32" s="12">
        <f>IF('Données projet'!$A$88&gt;35,BD31+BC32-BL31,IF(A32&lt;'Données projet'!$A$88,$BA$205^A32,IF(A32='Données projet'!$A$88,'Données projet'!$B$88,BD31+BC32-BL31)))</f>
        <v>151.6</v>
      </c>
      <c r="BE32" s="13">
        <f>BD32*VLOOKUP('Données projet'!$B$11,Paramètres!$A$1:$I$89,3,0)*VLOOKUP('Données projet'!$B$11,Paramètres!$A$1:$I$89,5,0)</f>
        <v>132.43776</v>
      </c>
      <c r="BF32" s="13">
        <f t="shared" si="37"/>
        <v>34.559043580858436</v>
      </c>
      <c r="BG32" s="20">
        <f t="shared" si="7"/>
        <v>290.85276623666175</v>
      </c>
      <c r="BH32" s="59">
        <f t="shared" si="8"/>
        <v>584.18609956999512</v>
      </c>
      <c r="BI32" s="59">
        <f ca="1">AVERAGE(OFFSET($BH$3,0,0,'Données projet'!$E$11+1,1))-AVERAGE(OFFSET($H$3,0,0,'Données projet'!$E$11+1,1))</f>
        <v>247.61330734992077</v>
      </c>
      <c r="BJ32" s="59">
        <f t="shared" si="38"/>
        <v>278.55937893537259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382.55387448074327</v>
      </c>
      <c r="T33" s="59">
        <f t="shared" si="34"/>
        <v>476.29465646955543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41.034836533646569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41.034836533646569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583</v>
      </c>
      <c r="AG33" s="12">
        <f>VLOOKUP(A33,'Données projet'!$A$61:$I$81,9,0)</f>
        <v>26.666666666666668</v>
      </c>
      <c r="AH33" s="12">
        <f t="array" ref="AH33">INDEX(AG:AG,MIN(IF(ISNUMBER(AG33:AG229),ROW(AG33:AG229),"")))</f>
        <v>26.666666666666668</v>
      </c>
      <c r="AI33" s="13">
        <f>IF('Données projet'!$A$62&gt;35,AI32+AH33-AQ32,IF(A33&lt;'Données projet'!$A$62,$AF$205^A33,IF(A33='Données projet'!$A$62,'Données projet'!$B$62,AI32+AH33-AQ32)))</f>
        <v>582.99999999999989</v>
      </c>
      <c r="AJ33" s="13">
        <f>AI33*VLOOKUP('Données projet'!$B$10,Paramètres!$A$1:$I$89,3,0)*VLOOKUP('Données projet'!$B$10,Paramètres!$A$1:$I$89,5,0)</f>
        <v>318.31799999999993</v>
      </c>
      <c r="AK33" s="13">
        <f t="shared" si="35"/>
        <v>75.003273580132586</v>
      </c>
      <c r="AL33" s="20">
        <f t="shared" si="4"/>
        <v>685.03455148539751</v>
      </c>
      <c r="AM33" s="59">
        <f t="shared" si="5"/>
        <v>978.36788481873077</v>
      </c>
      <c r="AN33" s="59">
        <f ca="1">AVERAGE(OFFSET($AM$3,0,0,'Données projet'!$E$10+1,1))-AVERAGE(OFFSET($H$3,0,0,'Données projet'!$E$10+1,1))</f>
        <v>417.99456559608217</v>
      </c>
      <c r="AO33" s="59">
        <f t="shared" si="36"/>
        <v>651.41353014863932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107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46.317239655458827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46.317239655458827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11.4</v>
      </c>
      <c r="BC33" s="12">
        <f t="array" ref="BC33">INDEX(BB:BB,MIN(IF(ISNUMBER(BB33:BB229),ROW(BB33:BB229),"")))</f>
        <v>11.4</v>
      </c>
      <c r="BD33" s="12">
        <f>IF('Données projet'!$A$88&gt;35,BD32+BC33-BL32,IF(A33&lt;'Données projet'!$A$88,$BA$205^A33,IF(A33='Données projet'!$A$88,'Données projet'!$B$88,BD32+BC33-BL32)))</f>
        <v>163</v>
      </c>
      <c r="BE33" s="13">
        <f>BD33*VLOOKUP('Données projet'!$B$11,Paramètres!$A$1:$I$89,3,0)*VLOOKUP('Données projet'!$B$11,Paramètres!$A$1:$I$89,5,0)</f>
        <v>142.39680000000004</v>
      </c>
      <c r="BF33" s="13">
        <f t="shared" si="37"/>
        <v>36.845535084476985</v>
      </c>
      <c r="BG33" s="20">
        <f t="shared" si="7"/>
        <v>312.18040027213078</v>
      </c>
      <c r="BH33" s="59">
        <f t="shared" si="8"/>
        <v>605.51373360546404</v>
      </c>
      <c r="BI33" s="59">
        <f ca="1">AVERAGE(OFFSET($BH$3,0,0,'Données projet'!$E$11+1,1))-AVERAGE(OFFSET($H$3,0,0,'Données projet'!$E$11+1,1))</f>
        <v>247.61330734992077</v>
      </c>
      <c r="BJ33" s="59">
        <f t="shared" si="38"/>
        <v>278.55937893537259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37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382.55387448074327</v>
      </c>
      <c r="T34" s="59">
        <f t="shared" si="34"/>
        <v>476.29465646955543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39.912736770705735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39.912736770705735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24.166666666666668</v>
      </c>
      <c r="AI34" s="13">
        <f>IF('Données projet'!$A$62&gt;35,AI33+AH34-AQ33,IF(A34&lt;'Données projet'!$A$62,$AF$205^A34,IF(A34='Données projet'!$A$62,'Données projet'!$B$62,AI33+AH34-AQ33)))</f>
        <v>500.16666666666652</v>
      </c>
      <c r="AJ34" s="13">
        <f>AI34*VLOOKUP('Données projet'!$B$10,Paramètres!$A$1:$I$89,3,0)*VLOOKUP('Données projet'!$B$10,Paramètres!$A$1:$I$89,5,0)</f>
        <v>273.09099999999995</v>
      </c>
      <c r="AK34" s="13">
        <f t="shared" si="35"/>
        <v>65.504822276997572</v>
      </c>
      <c r="AL34" s="20">
        <f t="shared" si="4"/>
        <v>589.72105713243729</v>
      </c>
      <c r="AM34" s="59">
        <f t="shared" si="5"/>
        <v>883.05439046577067</v>
      </c>
      <c r="AN34" s="59">
        <f ca="1">AVERAGE(OFFSET($AM$3,0,0,'Données projet'!$E$10+1,1))-AVERAGE(OFFSET($H$3,0,0,'Données projet'!$E$10+1,1))</f>
        <v>417.99456559608217</v>
      </c>
      <c r="AO34" s="59">
        <f t="shared" si="36"/>
        <v>651.41353014863932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45.050692301362531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45.050692301362531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10.6</v>
      </c>
      <c r="BD34" s="12">
        <f>IF('Données projet'!$A$88&gt;35,BD33+BC34-BL33,IF(A34&lt;'Données projet'!$A$88,$BA$205^A34,IF(A34='Données projet'!$A$88,'Données projet'!$B$88,BD33+BC34-BL33)))</f>
        <v>136.6</v>
      </c>
      <c r="BE34" s="13">
        <f>BD34*VLOOKUP('Données projet'!$B$11,Paramètres!$A$1:$I$89,3,0)*VLOOKUP('Données projet'!$B$11,Paramètres!$A$1:$I$89,5,0)</f>
        <v>119.33376000000001</v>
      </c>
      <c r="BF34" s="13">
        <f t="shared" si="37"/>
        <v>31.519559440518702</v>
      </c>
      <c r="BG34" s="20">
        <f t="shared" si="7"/>
        <v>262.7361980255701</v>
      </c>
      <c r="BH34" s="59">
        <f t="shared" si="8"/>
        <v>556.06953135890342</v>
      </c>
      <c r="BI34" s="59">
        <f ca="1">AVERAGE(OFFSET($BH$3,0,0,'Données projet'!$E$11+1,1))-AVERAGE(OFFSET($H$3,0,0,'Données projet'!$E$11+1,1))</f>
        <v>247.61330734992077</v>
      </c>
      <c r="BJ34" s="59">
        <f t="shared" si="38"/>
        <v>278.55937893537259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382.55387448074327</v>
      </c>
      <c r="T35" s="59">
        <f t="shared" si="34"/>
        <v>476.29465646955543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38.821320884791184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38.821320884791184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24.166666666666668</v>
      </c>
      <c r="AI35" s="13">
        <f>IF('Données projet'!$A$62&gt;35,AI34+AH35-AQ34,IF(A35&lt;'Données projet'!$A$62,$AF$205^A35,IF(A35='Données projet'!$A$62,'Données projet'!$B$62,AI34+AH35-AQ34)))</f>
        <v>524.33333333333314</v>
      </c>
      <c r="AJ35" s="13">
        <f>AI35*VLOOKUP('Données projet'!$B$10,Paramètres!$A$1:$I$89,3,0)*VLOOKUP('Données projet'!$B$10,Paramètres!$A$1:$I$89,5,0)</f>
        <v>286.28599999999989</v>
      </c>
      <c r="AK35" s="13">
        <f t="shared" si="35"/>
        <v>68.293700022502861</v>
      </c>
      <c r="AL35" s="20">
        <f t="shared" si="4"/>
        <v>617.55964420585894</v>
      </c>
      <c r="AM35" s="59">
        <f t="shared" si="5"/>
        <v>910.89297753919232</v>
      </c>
      <c r="AN35" s="59">
        <f ca="1">AVERAGE(OFFSET($AM$3,0,0,'Données projet'!$E$10+1,1))-AVERAGE(OFFSET($H$3,0,0,'Données projet'!$E$10+1,1))</f>
        <v>417.99456559608217</v>
      </c>
      <c r="AO35" s="59">
        <f t="shared" si="36"/>
        <v>651.41353014863932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43.81877875126883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43.81877875126883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10.6</v>
      </c>
      <c r="BD35" s="12">
        <f>IF('Données projet'!$A$88&gt;35,BD34+BC35-BL34,IF(A35&lt;'Données projet'!$A$88,$BA$205^A35,IF(A35='Données projet'!$A$88,'Données projet'!$B$88,BD34+BC35-BL34)))</f>
        <v>147.19999999999999</v>
      </c>
      <c r="BE35" s="13">
        <f>BD35*VLOOKUP('Données projet'!$B$11,Paramètres!$A$1:$I$89,3,0)*VLOOKUP('Données projet'!$B$11,Paramètres!$A$1:$I$89,5,0)</f>
        <v>128.59392</v>
      </c>
      <c r="BF35" s="13">
        <f t="shared" si="37"/>
        <v>33.671250175837564</v>
      </c>
      <c r="BG35" s="20">
        <f t="shared" si="7"/>
        <v>282.61183805625041</v>
      </c>
      <c r="BH35" s="59">
        <f t="shared" si="8"/>
        <v>575.94517138958372</v>
      </c>
      <c r="BI35" s="59">
        <f ca="1">AVERAGE(OFFSET($BH$3,0,0,'Données projet'!$E$11+1,1))-AVERAGE(OFFSET($H$3,0,0,'Données projet'!$E$11+1,1))</f>
        <v>247.61330734992077</v>
      </c>
      <c r="BJ35" s="59">
        <f t="shared" si="38"/>
        <v>278.55937893537259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382.55387448074327</v>
      </c>
      <c r="T36" s="59">
        <f t="shared" si="34"/>
        <v>476.29465646955543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37.759749823672031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37.759749823672031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24.166666666666668</v>
      </c>
      <c r="AI36" s="13">
        <f>IF('Données projet'!$A$62&gt;35,AI35+AH36-AQ35,IF(A36&lt;'Données projet'!$A$62,$AF$205^A36,IF(A36='Données projet'!$A$62,'Données projet'!$B$62,AI35+AH36-AQ35)))</f>
        <v>548.49999999999977</v>
      </c>
      <c r="AJ36" s="13">
        <f>AI36*VLOOKUP('Données projet'!$B$10,Paramètres!$A$1:$I$89,3,0)*VLOOKUP('Données projet'!$B$10,Paramètres!$A$1:$I$89,5,0)</f>
        <v>299.48099999999988</v>
      </c>
      <c r="AK36" s="13">
        <f t="shared" si="35"/>
        <v>71.067650178747357</v>
      </c>
      <c r="AL36" s="20">
        <f t="shared" si="4"/>
        <v>645.37223239465152</v>
      </c>
      <c r="AM36" s="59">
        <f t="shared" si="5"/>
        <v>938.70556572798478</v>
      </c>
      <c r="AN36" s="59">
        <f ca="1">AVERAGE(OFFSET($AM$3,0,0,'Données projet'!$E$10+1,1))-AVERAGE(OFFSET($H$3,0,0,'Données projet'!$E$10+1,1))</f>
        <v>417.99456559608217</v>
      </c>
      <c r="AO36" s="59">
        <f t="shared" si="36"/>
        <v>651.41353014863932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42.620551941985958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42.620551941985958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10.6</v>
      </c>
      <c r="BD36" s="12">
        <f>IF('Données projet'!$A$88&gt;35,BD35+BC36-BL35,IF(A36&lt;'Données projet'!$A$88,$BA$205^A36,IF(A36='Données projet'!$A$88,'Données projet'!$B$88,BD35+BC36-BL35)))</f>
        <v>157.79999999999998</v>
      </c>
      <c r="BE36" s="13">
        <f>BD36*VLOOKUP('Données projet'!$B$11,Paramètres!$A$1:$I$89,3,0)*VLOOKUP('Données projet'!$B$11,Paramètres!$A$1:$I$89,5,0)</f>
        <v>137.85408000000001</v>
      </c>
      <c r="BF36" s="13">
        <f t="shared" si="37"/>
        <v>35.804964283629964</v>
      </c>
      <c r="BG36" s="20">
        <f t="shared" si="7"/>
        <v>302.45616879398887</v>
      </c>
      <c r="BH36" s="59">
        <f t="shared" si="8"/>
        <v>595.78950212732218</v>
      </c>
      <c r="BI36" s="59">
        <f ca="1">AVERAGE(OFFSET($BH$3,0,0,'Données projet'!$E$11+1,1))-AVERAGE(OFFSET($H$3,0,0,'Données projet'!$E$11+1,1))</f>
        <v>247.61330734992077</v>
      </c>
      <c r="BJ36" s="59">
        <f t="shared" si="38"/>
        <v>278.55937893537259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382.55387448074327</v>
      </c>
      <c r="T37" s="59">
        <f t="shared" si="34"/>
        <v>476.29465646955543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36.727207479044779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36.727207479044779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24.166666666666668</v>
      </c>
      <c r="AI37" s="13">
        <f>IF('Données projet'!$A$62&gt;35,AI36+AH37-AQ36,IF(A37&lt;'Données projet'!$A$62,$AF$205^A37,IF(A37='Données projet'!$A$62,'Données projet'!$B$62,AI36+AH37-AQ36)))</f>
        <v>572.6666666666664</v>
      </c>
      <c r="AJ37" s="13">
        <f>AI37*VLOOKUP('Données projet'!$B$10,Paramètres!$A$1:$I$89,3,0)*VLOOKUP('Données projet'!$B$10,Paramètres!$A$1:$I$89,5,0)</f>
        <v>312.67599999999982</v>
      </c>
      <c r="AK37" s="13">
        <f t="shared" si="35"/>
        <v>73.827405609875768</v>
      </c>
      <c r="AL37" s="20">
        <f t="shared" si="4"/>
        <v>673.16009810386652</v>
      </c>
      <c r="AM37" s="59">
        <f t="shared" si="5"/>
        <v>966.49343143719989</v>
      </c>
      <c r="AN37" s="59">
        <f ca="1">AVERAGE(OFFSET($AM$3,0,0,'Données projet'!$E$10+1,1))-AVERAGE(OFFSET($H$3,0,0,'Données projet'!$E$10+1,1))</f>
        <v>417.99456559608217</v>
      </c>
      <c r="AO37" s="59">
        <f t="shared" si="36"/>
        <v>651.41353014863932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41.455090707814939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41.455090707814939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10.6</v>
      </c>
      <c r="BD37" s="12">
        <f>IF('Données projet'!$A$88&gt;35,BD36+BC37-BL36,IF(A37&lt;'Données projet'!$A$88,$BA$205^A37,IF(A37='Données projet'!$A$88,'Données projet'!$B$88,BD36+BC37-BL36)))</f>
        <v>168.39999999999998</v>
      </c>
      <c r="BE37" s="13">
        <f>BD37*VLOOKUP('Données projet'!$B$11,Paramètres!$A$1:$I$89,3,0)*VLOOKUP('Données projet'!$B$11,Paramètres!$A$1:$I$89,5,0)</f>
        <v>147.11424</v>
      </c>
      <c r="BF37" s="13">
        <f t="shared" si="37"/>
        <v>37.922046712608186</v>
      </c>
      <c r="BG37" s="20">
        <f t="shared" si="7"/>
        <v>322.27153269112591</v>
      </c>
      <c r="BH37" s="59">
        <f t="shared" si="8"/>
        <v>615.60486602445917</v>
      </c>
      <c r="BI37" s="59">
        <f ca="1">AVERAGE(OFFSET($BH$3,0,0,'Données projet'!$E$11+1,1))-AVERAGE(OFFSET($H$3,0,0,'Données projet'!$E$11+1,1))</f>
        <v>247.61330734992077</v>
      </c>
      <c r="BJ37" s="59">
        <f t="shared" si="38"/>
        <v>278.55937893537259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382.55387448074327</v>
      </c>
      <c r="T38" s="59">
        <f t="shared" si="34"/>
        <v>476.29465646955543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35.722900059130396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63.864704745047575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24.166666666666668</v>
      </c>
      <c r="AI38" s="13">
        <f>IF('Données projet'!$A$62&gt;35,AI37+AH38-AQ37,IF(A38&lt;'Données projet'!$A$62,$AF$205^A38,IF(A38='Données projet'!$A$62,'Données projet'!$B$62,AI37+AH38-AQ37)))</f>
        <v>596.83333333333303</v>
      </c>
      <c r="AJ38" s="13">
        <f>AI38*VLOOKUP('Données projet'!$B$10,Paramètres!$A$1:$I$89,3,0)*VLOOKUP('Données projet'!$B$10,Paramètres!$A$1:$I$89,5,0)</f>
        <v>325.87099999999987</v>
      </c>
      <c r="AK38" s="13">
        <f t="shared" si="35"/>
        <v>76.573633827002482</v>
      </c>
      <c r="AL38" s="20">
        <f t="shared" si="4"/>
        <v>700.9244039153624</v>
      </c>
      <c r="AM38" s="59">
        <f t="shared" si="5"/>
        <v>994.25773724869578</v>
      </c>
      <c r="AN38" s="59">
        <f ca="1">AVERAGE(OFFSET($AM$3,0,0,'Données projet'!$E$10+1,1))-AVERAGE(OFFSET($H$3,0,0,'Données projet'!$E$10+1,1))</f>
        <v>417.99456559608217</v>
      </c>
      <c r="AO38" s="59">
        <f t="shared" si="36"/>
        <v>651.41353014863932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40.321499072381265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40.321499072381265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179</v>
      </c>
      <c r="BB38" s="12">
        <f>VLOOKUP(A38,'Données projet'!$A$87:$I$107,9,0)</f>
        <v>10.6</v>
      </c>
      <c r="BC38" s="12">
        <f t="array" ref="BC38">INDEX(BB:BB,MIN(IF(ISNUMBER(BB38:BB234),ROW(BB38:BB234),"")))</f>
        <v>10.6</v>
      </c>
      <c r="BD38" s="12">
        <f>IF('Données projet'!$A$88&gt;35,BD37+BC38-BL37,IF(A38&lt;'Données projet'!$A$88,$BA$205^A38,IF(A38='Données projet'!$A$88,'Données projet'!$B$88,BD37+BC38-BL37)))</f>
        <v>178.99999999999997</v>
      </c>
      <c r="BE38" s="13">
        <f>BD38*VLOOKUP('Données projet'!$B$11,Paramètres!$A$1:$I$89,3,0)*VLOOKUP('Données projet'!$B$11,Paramètres!$A$1:$I$89,5,0)</f>
        <v>156.37440000000001</v>
      </c>
      <c r="BF38" s="13">
        <f t="shared" si="37"/>
        <v>40.023663524293205</v>
      </c>
      <c r="BG38" s="20">
        <f t="shared" si="7"/>
        <v>342.05996063814399</v>
      </c>
      <c r="BH38" s="59">
        <f t="shared" si="8"/>
        <v>635.39329397147731</v>
      </c>
      <c r="BI38" s="59">
        <f ca="1">AVERAGE(OFFSET($BH$3,0,0,'Données projet'!$E$11+1,1))-AVERAGE(OFFSET($H$3,0,0,'Données projet'!$E$11+1,1))</f>
        <v>247.61330734992077</v>
      </c>
      <c r="BJ38" s="59">
        <f t="shared" si="38"/>
        <v>278.55937893537259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36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14.949638536708571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14.949638536708571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382.55387448074327</v>
      </c>
      <c r="T39" s="59">
        <f t="shared" si="34"/>
        <v>476.29465646955543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34.746055478427806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62.336016539260129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621</v>
      </c>
      <c r="AG39" s="12">
        <f>VLOOKUP(A39,'Données projet'!$A$61:$I$81,9,0)</f>
        <v>24.166666666666668</v>
      </c>
      <c r="AH39" s="12">
        <f t="array" ref="AH39">INDEX(AG:AG,MIN(IF(ISNUMBER(AG39:AG235),ROW(AG39:AG235),"")))</f>
        <v>24.166666666666668</v>
      </c>
      <c r="AI39" s="13">
        <f>IF('Données projet'!$A$62&gt;35,AI38+AH39-AQ38,IF(A39&lt;'Données projet'!$A$62,$AF$205^A39,IF(A39='Données projet'!$A$62,'Données projet'!$B$62,AI38+AH39-AQ38)))</f>
        <v>620.99999999999966</v>
      </c>
      <c r="AJ39" s="13">
        <f>AI39*VLOOKUP('Données projet'!$B$10,Paramètres!$A$1:$I$89,3,0)*VLOOKUP('Données projet'!$B$10,Paramètres!$A$1:$I$89,5,0)</f>
        <v>339.0659999999998</v>
      </c>
      <c r="AK39" s="13">
        <f t="shared" si="35"/>
        <v>79.306945224864819</v>
      </c>
      <c r="AL39" s="20">
        <f t="shared" si="4"/>
        <v>728.66621293330593</v>
      </c>
      <c r="AM39" s="59">
        <f t="shared" si="5"/>
        <v>1021.9995462666393</v>
      </c>
      <c r="AN39" s="59">
        <f ca="1">AVERAGE(OFFSET($AM$3,0,0,'Données projet'!$E$10+1,1))-AVERAGE(OFFSET($H$3,0,0,'Données projet'!$E$10+1,1))</f>
        <v>417.99456559608217</v>
      </c>
      <c r="AO39" s="59">
        <f t="shared" si="36"/>
        <v>651.41353014863932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119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51.715319356637217</v>
      </c>
      <c r="AV39" s="21">
        <f>EXP(-LN(2)/25)*AV38+(1-EXP(-LN(2)/25))/(LN(2)/25)*Calculateur!AQ39*Calculateur!AS39*VLOOKUP('Données projet'!$B$10,Paramètres!$A$1:$I$89,3,0)*0.475*44/12</f>
        <v>39.218905559831519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90.934224916468736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152.59999999999997</v>
      </c>
      <c r="BE39" s="13">
        <f>BD39*VLOOKUP('Données projet'!$B$11,Paramètres!$A$1:$I$89,3,0)*VLOOKUP('Données projet'!$B$11,Paramètres!$A$1:$I$89,5,0)</f>
        <v>133.31135999999998</v>
      </c>
      <c r="BF39" s="13">
        <f t="shared" si="37"/>
        <v>34.760393689821633</v>
      </c>
      <c r="BG39" s="20">
        <f t="shared" si="7"/>
        <v>292.72497100977256</v>
      </c>
      <c r="BH39" s="59">
        <f t="shared" si="8"/>
        <v>586.05830434310587</v>
      </c>
      <c r="BI39" s="59">
        <f ca="1">AVERAGE(OFFSET($BH$3,0,0,'Données projet'!$E$11+1,1))-AVERAGE(OFFSET($H$3,0,0,'Données projet'!$E$11+1,1))</f>
        <v>247.61330734992077</v>
      </c>
      <c r="BJ39" s="59">
        <f t="shared" si="38"/>
        <v>278.55937893537259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14.656485243382859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14.656485243382859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382.55387448074327</v>
      </c>
      <c r="T40" s="59">
        <f t="shared" si="34"/>
        <v>476.29465646955543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33.795922764154554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60.844861516798545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18.833333333333332</v>
      </c>
      <c r="AI40" s="13">
        <f>IF('Données projet'!$A$62&gt;35,AI39+AH40-AQ39,IF(A40&lt;'Données projet'!$A$62,$AF$205^A40,IF(A40='Données projet'!$A$62,'Données projet'!$B$62,AI39+AH40-AQ39)))</f>
        <v>520.83333333333303</v>
      </c>
      <c r="AJ40" s="13">
        <f>AI40*VLOOKUP('Données projet'!$B$10,Paramètres!$A$1:$I$89,3,0)*VLOOKUP('Données projet'!$B$10,Paramètres!$A$1:$I$89,5,0)</f>
        <v>284.37499999999983</v>
      </c>
      <c r="AK40" s="13">
        <f t="shared" si="35"/>
        <v>67.89073622148031</v>
      </c>
      <c r="AL40" s="20">
        <f t="shared" si="4"/>
        <v>613.52949058574461</v>
      </c>
      <c r="AM40" s="59">
        <f t="shared" si="5"/>
        <v>906.86282391907798</v>
      </c>
      <c r="AN40" s="59">
        <f ca="1">AVERAGE(OFFSET($AM$3,0,0,'Données projet'!$E$10+1,1))-AVERAGE(OFFSET($H$3,0,0,'Données projet'!$E$10+1,1))</f>
        <v>417.99456559608217</v>
      </c>
      <c r="AO40" s="59">
        <f t="shared" si="36"/>
        <v>651.41353014863932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50.701213487283731</v>
      </c>
      <c r="AV40" s="21">
        <f>EXP(-LN(2)/25)*AV39+(1-EXP(-LN(2)/25))/(LN(2)/25)*Calculateur!AQ40*Calculateur!AS40*VLOOKUP('Données projet'!$B$10,Paramètres!$A$1:$I$89,3,0)*0.475*44/12</f>
        <v>38.146462524865321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88.847676012149051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162.19999999999996</v>
      </c>
      <c r="BE40" s="13">
        <f>BD40*VLOOKUP('Données projet'!$B$11,Paramètres!$A$1:$I$89,3,0)*VLOOKUP('Données projet'!$B$11,Paramètres!$A$1:$I$89,5,0)</f>
        <v>141.69791999999998</v>
      </c>
      <c r="BF40" s="13">
        <f t="shared" si="37"/>
        <v>36.685701801209362</v>
      </c>
      <c r="BG40" s="20">
        <f t="shared" si="7"/>
        <v>310.68480797043964</v>
      </c>
      <c r="BH40" s="59">
        <f t="shared" si="8"/>
        <v>604.01814130377295</v>
      </c>
      <c r="BI40" s="59">
        <f ca="1">AVERAGE(OFFSET($BH$3,0,0,'Données projet'!$E$11+1,1))-AVERAGE(OFFSET($H$3,0,0,'Données projet'!$E$11+1,1))</f>
        <v>247.61330734992077</v>
      </c>
      <c r="BJ40" s="59">
        <f t="shared" si="38"/>
        <v>278.55937893537259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14.369080507333409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14.369080507333409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382.55387448074327</v>
      </c>
      <c r="T41" s="59">
        <f t="shared" si="34"/>
        <v>476.29465646955543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32.871771478918411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59.390297040846633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18.833333333333332</v>
      </c>
      <c r="AI41" s="13">
        <f>IF('Données projet'!$A$62&gt;35,AI40+AH41-AQ40,IF(A41&lt;'Données projet'!$A$62,$AF$205^A41,IF(A41='Données projet'!$A$62,'Données projet'!$B$62,AI40+AH41-AQ40)))</f>
        <v>539.6666666666664</v>
      </c>
      <c r="AJ41" s="13">
        <f>AI41*VLOOKUP('Données projet'!$B$10,Paramètres!$A$1:$I$89,3,0)*VLOOKUP('Données projet'!$B$10,Paramètres!$A$1:$I$89,5,0)</f>
        <v>294.65799999999984</v>
      </c>
      <c r="AK41" s="13">
        <f t="shared" si="35"/>
        <v>70.055406729218078</v>
      </c>
      <c r="AL41" s="20">
        <f t="shared" si="4"/>
        <v>635.20918338672129</v>
      </c>
      <c r="AM41" s="59">
        <f t="shared" si="5"/>
        <v>928.54251672005466</v>
      </c>
      <c r="AN41" s="59">
        <f ca="1">AVERAGE(OFFSET($AM$3,0,0,'Données projet'!$E$10+1,1))-AVERAGE(OFFSET($H$3,0,0,'Données projet'!$E$10+1,1))</f>
        <v>417.99456559608217</v>
      </c>
      <c r="AO41" s="59">
        <f t="shared" si="36"/>
        <v>651.41353014863932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49.706993615484762</v>
      </c>
      <c r="AV41" s="21">
        <f>EXP(-LN(2)/25)*AV40+(1-EXP(-LN(2)/25))/(LN(2)/25)*Calculateur!AQ41*Calculateur!AS41*VLOOKUP('Données projet'!$B$10,Paramètres!$A$1:$I$89,3,0)*0.475*44/12</f>
        <v>37.103345501087603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86.810339116572365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171.79999999999995</v>
      </c>
      <c r="BE41" s="13">
        <f>BD41*VLOOKUP('Données projet'!$B$11,Paramètres!$A$1:$I$89,3,0)*VLOOKUP('Données projet'!$B$11,Paramètres!$A$1:$I$89,5,0)</f>
        <v>150.08447999999999</v>
      </c>
      <c r="BF41" s="13">
        <f t="shared" si="37"/>
        <v>38.597783374841299</v>
      </c>
      <c r="BG41" s="20">
        <f t="shared" si="7"/>
        <v>328.62160871118186</v>
      </c>
      <c r="BH41" s="59">
        <f t="shared" si="8"/>
        <v>621.95494204451518</v>
      </c>
      <c r="BI41" s="59">
        <f ca="1">AVERAGE(OFFSET($BH$3,0,0,'Données projet'!$E$11+1,1))-AVERAGE(OFFSET($H$3,0,0,'Données projet'!$E$11+1,1))</f>
        <v>247.61330734992077</v>
      </c>
      <c r="BJ41" s="59">
        <f t="shared" si="38"/>
        <v>278.55937893537259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14.087311602858311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14.087311602858311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382.55387448074327</v>
      </c>
      <c r="T42" s="59">
        <f t="shared" si="34"/>
        <v>476.29465646955543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31.972891159176054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57.97140460953834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18.833333333333332</v>
      </c>
      <c r="AI42" s="13">
        <f>IF('Données projet'!$A$62&gt;35,AI41+AH42-AQ41,IF(A42&lt;'Données projet'!$A$62,$AF$205^A42,IF(A42='Données projet'!$A$62,'Données projet'!$B$62,AI41+AH42-AQ41)))</f>
        <v>558.49999999999977</v>
      </c>
      <c r="AJ42" s="13">
        <f>AI42*VLOOKUP('Données projet'!$B$10,Paramètres!$A$1:$I$89,3,0)*VLOOKUP('Données projet'!$B$10,Paramètres!$A$1:$I$89,5,0)</f>
        <v>304.94099999999992</v>
      </c>
      <c r="AK42" s="13">
        <f t="shared" si="35"/>
        <v>72.211300001924627</v>
      </c>
      <c r="AL42" s="20">
        <f t="shared" si="4"/>
        <v>656.87358917001859</v>
      </c>
      <c r="AM42" s="59">
        <f t="shared" si="5"/>
        <v>950.20692250335196</v>
      </c>
      <c r="AN42" s="59">
        <f ca="1">AVERAGE(OFFSET($AM$3,0,0,'Données projet'!$E$10+1,1))-AVERAGE(OFFSET($H$3,0,0,'Données projet'!$E$10+1,1))</f>
        <v>417.99456559608217</v>
      </c>
      <c r="AO42" s="59">
        <f t="shared" si="36"/>
        <v>651.41353014863932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48.732269788957531</v>
      </c>
      <c r="AV42" s="21">
        <f>EXP(-LN(2)/25)*AV41+(1-EXP(-LN(2)/25))/(LN(2)/25)*Calculateur!AQ42*Calculateur!AS42*VLOOKUP('Données projet'!$B$10,Paramètres!$A$1:$I$89,3,0)*0.475*44/12</f>
        <v>36.088752567180222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84.821022356137746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181.39999999999995</v>
      </c>
      <c r="BE42" s="13">
        <f>BD42*VLOOKUP('Données projet'!$B$11,Paramètres!$A$1:$I$89,3,0)*VLOOKUP('Données projet'!$B$11,Paramètres!$A$1:$I$89,5,0)</f>
        <v>158.47103999999996</v>
      </c>
      <c r="BF42" s="13">
        <f t="shared" si="37"/>
        <v>40.497461727609561</v>
      </c>
      <c r="BG42" s="20">
        <f t="shared" si="7"/>
        <v>346.53680717558655</v>
      </c>
      <c r="BH42" s="59">
        <f t="shared" si="8"/>
        <v>639.8701405089198</v>
      </c>
      <c r="BI42" s="59">
        <f ca="1">AVERAGE(OFFSET($BH$3,0,0,'Données projet'!$E$11+1,1))-AVERAGE(OFFSET($H$3,0,0,'Données projet'!$E$11+1,1))</f>
        <v>247.61330734992077</v>
      </c>
      <c r="BJ42" s="59">
        <f t="shared" si="38"/>
        <v>278.55937893537259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13.811068014737907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13.811068014737907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382.55387448074327</v>
      </c>
      <c r="T43" s="59">
        <f t="shared" si="34"/>
        <v>476.29465646955543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31.098590769047114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85.952650639567025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18.833333333333332</v>
      </c>
      <c r="AI43" s="13">
        <f>IF('Données projet'!$A$62&gt;35,AI42+AH43-AQ42,IF(A43&lt;'Données projet'!$A$62,$AF$205^A43,IF(A43='Données projet'!$A$62,'Données projet'!$B$62,AI42+AH43-AQ42)))</f>
        <v>577.33333333333314</v>
      </c>
      <c r="AJ43" s="13">
        <f>AI43*VLOOKUP('Données projet'!$B$10,Paramètres!$A$1:$I$89,3,0)*VLOOKUP('Données projet'!$B$10,Paramètres!$A$1:$I$89,5,0)</f>
        <v>315.22399999999988</v>
      </c>
      <c r="AK43" s="13">
        <f t="shared" si="35"/>
        <v>74.358745950570395</v>
      </c>
      <c r="AL43" s="20">
        <f t="shared" si="4"/>
        <v>678.52328253057647</v>
      </c>
      <c r="AM43" s="59">
        <f t="shared" si="5"/>
        <v>971.85661586390984</v>
      </c>
      <c r="AN43" s="59">
        <f ca="1">AVERAGE(OFFSET($AM$3,0,0,'Données projet'!$E$10+1,1))-AVERAGE(OFFSET($H$3,0,0,'Données projet'!$E$10+1,1))</f>
        <v>417.99456559608217</v>
      </c>
      <c r="AO43" s="59">
        <f t="shared" si="36"/>
        <v>651.41353014863932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47.776659702145672</v>
      </c>
      <c r="AV43" s="21">
        <f>EXP(-LN(2)/25)*AV42+(1-EXP(-LN(2)/25))/(LN(2)/25)*Calculateur!AQ43*Calculateur!AS43*VLOOKUP('Données projet'!$B$10,Paramètres!$A$1:$I$89,3,0)*0.475*44/12</f>
        <v>35.101903730405667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82.878563432551346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191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190.99999999999994</v>
      </c>
      <c r="BE43" s="13">
        <f>BD43*VLOOKUP('Données projet'!$B$11,Paramètres!$A$1:$I$89,3,0)*VLOOKUP('Données projet'!$B$11,Paramètres!$A$1:$I$89,5,0)</f>
        <v>166.85759999999996</v>
      </c>
      <c r="BF43" s="13">
        <f t="shared" si="37"/>
        <v>42.385468111966098</v>
      </c>
      <c r="BG43" s="20">
        <f t="shared" si="7"/>
        <v>364.43167696167421</v>
      </c>
      <c r="BH43" s="59">
        <f t="shared" si="8"/>
        <v>657.76501029500753</v>
      </c>
      <c r="BI43" s="59">
        <f ca="1">AVERAGE(OFFSET($BH$3,0,0,'Données projet'!$E$11+1,1))-AVERAGE(OFFSET($H$3,0,0,'Données projet'!$E$11+1,1))</f>
        <v>247.61330734992077</v>
      </c>
      <c r="BJ43" s="59">
        <f t="shared" si="38"/>
        <v>278.55937893537259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33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27.244076720204784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27.244076720204784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382.55387448074327</v>
      </c>
      <c r="T44" s="59">
        <f t="shared" si="34"/>
        <v>476.29465646955543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30.248198169063709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84.026603383195578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18.833333333333332</v>
      </c>
      <c r="AI44" s="13">
        <f>IF('Données projet'!$A$62&gt;35,AI43+AH44-AQ43,IF(A44&lt;'Données projet'!$A$62,$AF$205^A44,IF(A44='Données projet'!$A$62,'Données projet'!$B$62,AI43+AH44-AQ43)))</f>
        <v>596.16666666666652</v>
      </c>
      <c r="AJ44" s="13">
        <f>AI44*VLOOKUP('Données projet'!$B$10,Paramètres!$A$1:$I$89,3,0)*VLOOKUP('Données projet'!$B$10,Paramètres!$A$1:$I$89,5,0)</f>
        <v>325.50699999999989</v>
      </c>
      <c r="AK44" s="13">
        <f t="shared" si="35"/>
        <v>76.498051740132453</v>
      </c>
      <c r="AL44" s="20">
        <f t="shared" si="4"/>
        <v>700.15879844739709</v>
      </c>
      <c r="AM44" s="59">
        <f t="shared" si="5"/>
        <v>993.49213178073046</v>
      </c>
      <c r="AN44" s="59">
        <f ca="1">AVERAGE(OFFSET($AM$3,0,0,'Données projet'!$E$10+1,1))-AVERAGE(OFFSET($H$3,0,0,'Données projet'!$E$10+1,1))</f>
        <v>417.99456559608217</v>
      </c>
      <c r="AO44" s="59">
        <f t="shared" si="36"/>
        <v>651.41353014863932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46.839788546271592</v>
      </c>
      <c r="AV44" s="21">
        <f>EXP(-LN(2)/25)*AV43+(1-EXP(-LN(2)/25))/(LN(2)/25)*Calculateur!AQ44*Calculateur!AS44*VLOOKUP('Données projet'!$B$10,Paramètres!$A$1:$I$89,3,0)*0.475*44/12</f>
        <v>34.142040326968832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80.981828873240431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8.6</v>
      </c>
      <c r="BD44" s="12">
        <f>IF('Données projet'!$A$88&gt;35,BD43+BC44-BL43,IF(A44&lt;'Données projet'!$A$88,$BA$205^A44,IF(A44='Données projet'!$A$88,'Données projet'!$B$88,BD43+BC44-BL43)))</f>
        <v>166.59999999999994</v>
      </c>
      <c r="BE44" s="13">
        <f>BD44*VLOOKUP('Données projet'!$B$11,Paramètres!$A$1:$I$89,3,0)*VLOOKUP('Données projet'!$B$11,Paramètres!$A$1:$I$89,5,0)</f>
        <v>145.54175999999998</v>
      </c>
      <c r="BF44" s="13">
        <f t="shared" si="37"/>
        <v>37.563662342876064</v>
      </c>
      <c r="BG44" s="20">
        <f t="shared" si="7"/>
        <v>318.90861058050911</v>
      </c>
      <c r="BH44" s="59">
        <f t="shared" si="8"/>
        <v>612.24194391384242</v>
      </c>
      <c r="BI44" s="59">
        <f ca="1">AVERAGE(OFFSET($BH$3,0,0,'Données projet'!$E$11+1,1))-AVERAGE(OFFSET($H$3,0,0,'Données projet'!$E$11+1,1))</f>
        <v>247.61330734992077</v>
      </c>
      <c r="BJ44" s="59">
        <f t="shared" si="38"/>
        <v>278.55937893537259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26.709836992967553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26.709836992967553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382.55387448074327</v>
      </c>
      <c r="T45" s="59">
        <f t="shared" si="34"/>
        <v>476.29465646955543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29.421059599447055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82.144903088918085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615</v>
      </c>
      <c r="AG45" s="12">
        <f>VLOOKUP(A45,'Données projet'!$A$61:$I$81,9,0)</f>
        <v>18.833333333333332</v>
      </c>
      <c r="AH45" s="12">
        <f t="array" ref="AH45">INDEX(AG:AG,MIN(IF(ISNUMBER(AG45:AG241),ROW(AG45:AG241),"")))</f>
        <v>18.833333333333332</v>
      </c>
      <c r="AI45" s="13">
        <f>IF('Données projet'!$A$62&gt;35,AI44+AH45-AQ44,IF(A45&lt;'Données projet'!$A$62,$AF$205^A45,IF(A45='Données projet'!$A$62,'Données projet'!$B$62,AI44+AH45-AQ44)))</f>
        <v>614.99999999999989</v>
      </c>
      <c r="AJ45" s="13">
        <f>AI45*VLOOKUP('Données projet'!$B$10,Paramètres!$A$1:$I$89,3,0)*VLOOKUP('Données projet'!$B$10,Paramètres!$A$1:$I$89,5,0)</f>
        <v>335.78999999999996</v>
      </c>
      <c r="AK45" s="13">
        <f t="shared" si="35"/>
        <v>78.629504026326686</v>
      </c>
      <c r="AL45" s="20">
        <f t="shared" si="4"/>
        <v>721.78063617918542</v>
      </c>
      <c r="AM45" s="59">
        <f t="shared" si="5"/>
        <v>1015.1139695125187</v>
      </c>
      <c r="AN45" s="59">
        <f ca="1">AVERAGE(OFFSET($AM$3,0,0,'Données projet'!$E$10+1,1))-AVERAGE(OFFSET($H$3,0,0,'Données projet'!$E$10+1,1))</f>
        <v>417.99456559608217</v>
      </c>
      <c r="AO45" s="59">
        <f t="shared" si="36"/>
        <v>651.41353014863932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121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98.505773250170421</v>
      </c>
      <c r="AV45" s="21">
        <f>EXP(-LN(2)/25)*AV44+(1-EXP(-LN(2)/25))/(LN(2)/25)*Calculateur!AQ45*Calculateur!AS45*VLOOKUP('Données projet'!$B$10,Paramètres!$A$1:$I$89,3,0)*0.475*44/12</f>
        <v>33.208424438775999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131.71419768894643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8.6</v>
      </c>
      <c r="BD45" s="12">
        <f>IF('Données projet'!$A$88&gt;35,BD44+BC45-BL44,IF(A45&lt;'Données projet'!$A$88,$BA$205^A45,IF(A45='Données projet'!$A$88,'Données projet'!$B$88,BD44+BC45-BL44)))</f>
        <v>175.19999999999993</v>
      </c>
      <c r="BE45" s="13">
        <f>BD45*VLOOKUP('Données projet'!$B$11,Paramètres!$A$1:$I$89,3,0)*VLOOKUP('Données projet'!$B$11,Paramètres!$A$1:$I$89,5,0)</f>
        <v>153.05471999999995</v>
      </c>
      <c r="BF45" s="13">
        <f t="shared" si="37"/>
        <v>39.271965088385166</v>
      </c>
      <c r="BG45" s="20">
        <f t="shared" si="7"/>
        <v>334.96897652893739</v>
      </c>
      <c r="BH45" s="59">
        <f t="shared" si="8"/>
        <v>628.3023098622707</v>
      </c>
      <c r="BI45" s="59">
        <f ca="1">AVERAGE(OFFSET($BH$3,0,0,'Données projet'!$E$11+1,1))-AVERAGE(OFFSET($H$3,0,0,'Données projet'!$E$11+1,1))</f>
        <v>247.61330734992077</v>
      </c>
      <c r="BJ45" s="59">
        <f t="shared" si="38"/>
        <v>278.55937893537259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26.186073380927382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26.186073380927382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382.55387448074327</v>
      </c>
      <c r="T46" s="59">
        <f t="shared" si="34"/>
        <v>476.29465646955543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28.616539177513893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80.30650025452556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17.666666666666668</v>
      </c>
      <c r="AI46" s="13">
        <f>IF('Données projet'!$A$62&gt;35,AI45+AH46-AQ45,IF(A46&lt;'Données projet'!$A$62,$AF$205^A46,IF(A46='Données projet'!$A$62,'Données projet'!$B$62,AI45+AH46-AQ45)))</f>
        <v>511.66666666666652</v>
      </c>
      <c r="AJ46" s="13">
        <f>AI46*VLOOKUP('Données projet'!$B$10,Paramètres!$A$1:$I$89,3,0)*VLOOKUP('Données projet'!$B$10,Paramètres!$A$1:$I$89,5,0)</f>
        <v>279.36999999999989</v>
      </c>
      <c r="AK46" s="13">
        <f t="shared" si="35"/>
        <v>66.833854321831694</v>
      </c>
      <c r="AL46" s="20">
        <f t="shared" si="4"/>
        <v>602.97171294385669</v>
      </c>
      <c r="AM46" s="59">
        <f t="shared" si="5"/>
        <v>896.30504627719006</v>
      </c>
      <c r="AN46" s="59">
        <f ca="1">AVERAGE(OFFSET($AM$3,0,0,'Données projet'!$E$10+1,1))-AVERAGE(OFFSET($H$3,0,0,'Données projet'!$E$10+1,1))</f>
        <v>417.99456559608217</v>
      </c>
      <c r="AO46" s="59">
        <f t="shared" si="36"/>
        <v>651.41353014863932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96.5741351193236</v>
      </c>
      <c r="AV46" s="21">
        <f>EXP(-LN(2)/25)*AV45+(1-EXP(-LN(2)/25))/(LN(2)/25)*Calculateur!AQ46*Calculateur!AS46*VLOOKUP('Données projet'!$B$10,Paramètres!$A$1:$I$89,3,0)*0.475*44/12</f>
        <v>32.30033832614253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128.87447344546612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8.6</v>
      </c>
      <c r="BD46" s="12">
        <f>IF('Données projet'!$A$88&gt;35,BD45+BC46-BL45,IF(A46&lt;'Données projet'!$A$88,$BA$205^A46,IF(A46='Données projet'!$A$88,'Données projet'!$B$88,BD45+BC46-BL45)))</f>
        <v>183.79999999999993</v>
      </c>
      <c r="BE46" s="13">
        <f>BD46*VLOOKUP('Données projet'!$B$11,Paramètres!$A$1:$I$89,3,0)*VLOOKUP('Données projet'!$B$11,Paramètres!$A$1:$I$89,5,0)</f>
        <v>160.56767999999997</v>
      </c>
      <c r="BF46" s="13">
        <f t="shared" si="37"/>
        <v>40.970530810309882</v>
      </c>
      <c r="BG46" s="20">
        <f t="shared" si="7"/>
        <v>351.01238382795628</v>
      </c>
      <c r="BH46" s="59">
        <f t="shared" si="8"/>
        <v>644.3457171612896</v>
      </c>
      <c r="BI46" s="59">
        <f ca="1">AVERAGE(OFFSET($BH$3,0,0,'Données projet'!$E$11+1,1))-AVERAGE(OFFSET($H$3,0,0,'Données projet'!$E$11+1,1))</f>
        <v>247.61330734992077</v>
      </c>
      <c r="BJ46" s="59">
        <f t="shared" si="38"/>
        <v>278.55937893537259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25.672580453855062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25.672580453855062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382.55387448074327</v>
      </c>
      <c r="T47" s="59">
        <f t="shared" si="34"/>
        <v>476.29465646955543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27.834018408826385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78.510370876880998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17.666666666666668</v>
      </c>
      <c r="AI47" s="13">
        <f>IF('Données projet'!$A$62&gt;35,AI46+AH47-AQ46,IF(A47&lt;'Données projet'!$A$62,$AF$205^A47,IF(A47='Données projet'!$A$62,'Données projet'!$B$62,AI46+AH47-AQ46)))</f>
        <v>529.33333333333314</v>
      </c>
      <c r="AJ47" s="13">
        <f>AI47*VLOOKUP('Données projet'!$B$10,Paramètres!$A$1:$I$89,3,0)*VLOOKUP('Données projet'!$B$10,Paramètres!$A$1:$I$89,5,0)</f>
        <v>289.01599999999991</v>
      </c>
      <c r="AK47" s="13">
        <f t="shared" si="35"/>
        <v>68.868820248862306</v>
      </c>
      <c r="AL47" s="20">
        <f t="shared" si="4"/>
        <v>623.31606193343498</v>
      </c>
      <c r="AM47" s="59">
        <f t="shared" si="5"/>
        <v>916.64939526676835</v>
      </c>
      <c r="AN47" s="59">
        <f ca="1">AVERAGE(OFFSET($AM$3,0,0,'Données projet'!$E$10+1,1))-AVERAGE(OFFSET($H$3,0,0,'Données projet'!$E$10+1,1))</f>
        <v>417.99456559608217</v>
      </c>
      <c r="AO47" s="59">
        <f t="shared" si="36"/>
        <v>651.41353014863932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94.680375234039758</v>
      </c>
      <c r="AV47" s="21">
        <f>EXP(-LN(2)/25)*AV46+(1-EXP(-LN(2)/25))/(LN(2)/25)*Calculateur!AQ47*Calculateur!AS47*VLOOKUP('Données projet'!$B$10,Paramètres!$A$1:$I$89,3,0)*0.475*44/12</f>
        <v>31.417083876013194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126.09745911005295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8.6</v>
      </c>
      <c r="BD47" s="12">
        <f>IF('Données projet'!$A$88&gt;35,BD46+BC47-BL46,IF(A47&lt;'Données projet'!$A$88,$BA$205^A47,IF(A47='Données projet'!$A$88,'Données projet'!$B$88,BD46+BC47-BL46)))</f>
        <v>192.39999999999992</v>
      </c>
      <c r="BE47" s="13">
        <f>BD47*VLOOKUP('Données projet'!$B$11,Paramètres!$A$1:$I$89,3,0)*VLOOKUP('Données projet'!$B$11,Paramètres!$A$1:$I$89,5,0)</f>
        <v>168.08063999999996</v>
      </c>
      <c r="BF47" s="13">
        <f t="shared" si="37"/>
        <v>42.659867131343425</v>
      </c>
      <c r="BG47" s="20">
        <f t="shared" si="7"/>
        <v>367.03971658708974</v>
      </c>
      <c r="BH47" s="59">
        <f t="shared" si="8"/>
        <v>660.373049920423</v>
      </c>
      <c r="BI47" s="59">
        <f ca="1">AVERAGE(OFFSET($BH$3,0,0,'Données projet'!$E$11+1,1))-AVERAGE(OFFSET($H$3,0,0,'Données projet'!$E$11+1,1))</f>
        <v>247.61330734992077</v>
      </c>
      <c r="BJ47" s="59">
        <f t="shared" si="38"/>
        <v>278.55937893537259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25.169156809882871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25.169156809882871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382.55387448074327</v>
      </c>
      <c r="T48" s="59">
        <f t="shared" si="34"/>
        <v>476.29465646955543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27.072895711709613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103.67376377783114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17.666666666666668</v>
      </c>
      <c r="AI48" s="13">
        <f>IF('Données projet'!$A$62&gt;35,AI47+AH48-AQ47,IF(A48&lt;'Données projet'!$A$62,$AF$205^A48,IF(A48='Données projet'!$A$62,'Données projet'!$B$62,AI47+AH48-AQ47)))</f>
        <v>546.99999999999977</v>
      </c>
      <c r="AJ48" s="13">
        <f>AI48*VLOOKUP('Données projet'!$B$10,Paramètres!$A$1:$I$89,3,0)*VLOOKUP('Données projet'!$B$10,Paramètres!$A$1:$I$89,5,0)</f>
        <v>298.66199999999986</v>
      </c>
      <c r="AK48" s="13">
        <f t="shared" si="35"/>
        <v>70.895894352455414</v>
      </c>
      <c r="AL48" s="20">
        <f t="shared" si="4"/>
        <v>643.64666599719283</v>
      </c>
      <c r="AM48" s="59">
        <f t="shared" si="5"/>
        <v>936.9799993305262</v>
      </c>
      <c r="AN48" s="59">
        <f ca="1">AVERAGE(OFFSET($AM$3,0,0,'Données projet'!$E$10+1,1))-AVERAGE(OFFSET($H$3,0,0,'Données projet'!$E$10+1,1))</f>
        <v>417.99456559608217</v>
      </c>
      <c r="AO48" s="59">
        <f t="shared" si="36"/>
        <v>651.41353014863932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92.823750825026863</v>
      </c>
      <c r="AV48" s="21">
        <f>EXP(-LN(2)/25)*AV47+(1-EXP(-LN(2)/25))/(LN(2)/25)*Calculateur!AQ48*Calculateur!AS48*VLOOKUP('Données projet'!$B$10,Paramètres!$A$1:$I$89,3,0)*0.475*44/12</f>
        <v>30.557982065270977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123.38173289029784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201</v>
      </c>
      <c r="BB48" s="12">
        <f>VLOOKUP(A48,'Données projet'!$A$87:$I$107,9,0)</f>
        <v>8.6</v>
      </c>
      <c r="BC48" s="12">
        <f t="array" ref="BC48">INDEX(BB:BB,MIN(IF(ISNUMBER(BB48:BB244),ROW(BB48:BB244),"")))</f>
        <v>8.6</v>
      </c>
      <c r="BD48" s="12">
        <f>IF('Données projet'!$A$88&gt;35,BD47+BC48-BL47,IF(A48&lt;'Données projet'!$A$88,$BA$205^A48,IF(A48='Données projet'!$A$88,'Données projet'!$B$88,BD47+BC48-BL47)))</f>
        <v>200.99999999999991</v>
      </c>
      <c r="BE48" s="13">
        <f>BD48*VLOOKUP('Données projet'!$B$11,Paramètres!$A$1:$I$89,3,0)*VLOOKUP('Données projet'!$B$11,Paramètres!$A$1:$I$89,5,0)</f>
        <v>175.59359999999995</v>
      </c>
      <c r="BF48" s="13">
        <f t="shared" si="37"/>
        <v>44.340433728638573</v>
      </c>
      <c r="BG48" s="20">
        <f t="shared" si="7"/>
        <v>383.05177541071203</v>
      </c>
      <c r="BH48" s="59">
        <f t="shared" si="8"/>
        <v>676.38510874404528</v>
      </c>
      <c r="BI48" s="59">
        <f ca="1">AVERAGE(OFFSET($BH$3,0,0,'Données projet'!$E$11+1,1))-AVERAGE(OFFSET($H$3,0,0,'Données projet'!$E$11+1,1))</f>
        <v>247.61330734992077</v>
      </c>
      <c r="BJ48" s="59">
        <f t="shared" si="38"/>
        <v>278.55937893537259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31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37.548904847565474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37.548904847565474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382.55387448074327</v>
      </c>
      <c r="T49" s="59">
        <f t="shared" si="34"/>
        <v>476.29465646955543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26.332585954771204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101.4313577200322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17.666666666666668</v>
      </c>
      <c r="AI49" s="13">
        <f>IF('Données projet'!$A$62&gt;35,AI48+AH49-AQ48,IF(A49&lt;'Données projet'!$A$62,$AF$205^A49,IF(A49='Données projet'!$A$62,'Données projet'!$B$62,AI48+AH49-AQ48)))</f>
        <v>564.6666666666664</v>
      </c>
      <c r="AJ49" s="13">
        <f>AI49*VLOOKUP('Données projet'!$B$10,Paramètres!$A$1:$I$89,3,0)*VLOOKUP('Données projet'!$B$10,Paramètres!$A$1:$I$89,5,0)</f>
        <v>308.30799999999988</v>
      </c>
      <c r="AK49" s="13">
        <f t="shared" si="35"/>
        <v>72.915360752538575</v>
      </c>
      <c r="AL49" s="20">
        <f t="shared" si="4"/>
        <v>663.96401997733767</v>
      </c>
      <c r="AM49" s="59">
        <f t="shared" si="5"/>
        <v>957.29735331067104</v>
      </c>
      <c r="AN49" s="59">
        <f ca="1">AVERAGE(OFFSET($AM$3,0,0,'Données projet'!$E$10+1,1))-AVERAGE(OFFSET($H$3,0,0,'Données projet'!$E$10+1,1))</f>
        <v>417.99456559608217</v>
      </c>
      <c r="AO49" s="59">
        <f t="shared" si="36"/>
        <v>651.41353014863932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91.003533688245639</v>
      </c>
      <c r="AV49" s="21">
        <f>EXP(-LN(2)/25)*AV48+(1-EXP(-LN(2)/25))/(LN(2)/25)*Calculateur!AQ49*Calculateur!AS49*VLOOKUP('Données projet'!$B$10,Paramètres!$A$1:$I$89,3,0)*0.475*44/12</f>
        <v>29.722372438721706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120.72590612696735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7.8</v>
      </c>
      <c r="BD49" s="12">
        <f>IF('Données projet'!$A$88&gt;35,BD48+BC49-BL48,IF(A49&lt;'Données projet'!$A$88,$BA$205^A49,IF(A49='Données projet'!$A$88,'Données projet'!$B$88,BD48+BC49-BL48)))</f>
        <v>177.79999999999993</v>
      </c>
      <c r="BE49" s="13">
        <f>BD49*VLOOKUP('Données projet'!$B$11,Paramètres!$A$1:$I$89,3,0)*VLOOKUP('Données projet'!$B$11,Paramètres!$A$1:$I$89,5,0)</f>
        <v>155.32607999999996</v>
      </c>
      <c r="BF49" s="13">
        <f t="shared" si="37"/>
        <v>39.786487601092411</v>
      </c>
      <c r="BG49" s="20">
        <f t="shared" si="7"/>
        <v>339.82105523856922</v>
      </c>
      <c r="BH49" s="59">
        <f t="shared" si="8"/>
        <v>633.15438857190247</v>
      </c>
      <c r="BI49" s="59">
        <f ca="1">AVERAGE(OFFSET($BH$3,0,0,'Données projet'!$E$11+1,1))-AVERAGE(OFFSET($H$3,0,0,'Données projet'!$E$11+1,1))</f>
        <v>247.61330734992077</v>
      </c>
      <c r="BJ49" s="59">
        <f t="shared" si="38"/>
        <v>278.55937893537259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36.812593726075228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36.812593726075228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382.55387448074327</v>
      </c>
      <c r="T50" s="59">
        <f t="shared" si="34"/>
        <v>476.29465646955543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25.612520007067474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99.238650663739534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17.666666666666668</v>
      </c>
      <c r="AI50" s="13">
        <f>IF('Données projet'!$A$62&gt;35,AI49+AH50-AQ49,IF(A50&lt;'Données projet'!$A$62,$AF$205^A50,IF(A50='Données projet'!$A$62,'Données projet'!$B$62,AI49+AH50-AQ49)))</f>
        <v>582.33333333333303</v>
      </c>
      <c r="AJ50" s="13">
        <f>AI50*VLOOKUP('Données projet'!$B$10,Paramètres!$A$1:$I$89,3,0)*VLOOKUP('Données projet'!$B$10,Paramètres!$A$1:$I$89,5,0)</f>
        <v>317.95399999999984</v>
      </c>
      <c r="AK50" s="13">
        <f t="shared" si="35"/>
        <v>74.927484780786784</v>
      </c>
      <c r="AL50" s="20">
        <f t="shared" si="4"/>
        <v>684.26858599320337</v>
      </c>
      <c r="AM50" s="59">
        <f t="shared" si="5"/>
        <v>977.60191932653674</v>
      </c>
      <c r="AN50" s="59">
        <f ca="1">AVERAGE(OFFSET($AM$3,0,0,'Données projet'!$E$10+1,1))-AVERAGE(OFFSET($H$3,0,0,'Données projet'!$E$10+1,1))</f>
        <v>417.99456559608217</v>
      </c>
      <c r="AO50" s="59">
        <f t="shared" si="36"/>
        <v>651.41353014863932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89.219009899293866</v>
      </c>
      <c r="AV50" s="21">
        <f>EXP(-LN(2)/25)*AV49+(1-EXP(-LN(2)/25))/(LN(2)/25)*Calculateur!AQ50*Calculateur!AS50*VLOOKUP('Données projet'!$B$10,Paramètres!$A$1:$I$89,3,0)*0.475*44/12</f>
        <v>28.909612601353224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118.12862250064708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7.8</v>
      </c>
      <c r="BD50" s="12">
        <f>IF('Données projet'!$A$88&gt;35,BD49+BC50-BL49,IF(A50&lt;'Données projet'!$A$88,$BA$205^A50,IF(A50='Données projet'!$A$88,'Données projet'!$B$88,BD49+BC50-BL49)))</f>
        <v>185.59999999999994</v>
      </c>
      <c r="BE50" s="13">
        <f>BD50*VLOOKUP('Données projet'!$B$11,Paramètres!$A$1:$I$89,3,0)*VLOOKUP('Données projet'!$B$11,Paramètres!$A$1:$I$89,5,0)</f>
        <v>162.14015999999998</v>
      </c>
      <c r="BF50" s="13">
        <f t="shared" si="37"/>
        <v>41.324860537333677</v>
      </c>
      <c r="BG50" s="20">
        <f t="shared" si="7"/>
        <v>354.36824410252279</v>
      </c>
      <c r="BH50" s="59">
        <f t="shared" si="8"/>
        <v>647.70157743585605</v>
      </c>
      <c r="BI50" s="59">
        <f ca="1">AVERAGE(OFFSET($BH$3,0,0,'Données projet'!$E$11+1,1))-AVERAGE(OFFSET($H$3,0,0,'Données projet'!$E$11+1,1))</f>
        <v>247.61330734992077</v>
      </c>
      <c r="BJ50" s="59">
        <f t="shared" si="38"/>
        <v>278.55937893537259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36.090721216571971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36.090721216571971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382.55387448074327</v>
      </c>
      <c r="T51" s="59">
        <f t="shared" si="34"/>
        <v>476.29465646955543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24.912144300570326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97.094511442570507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600</v>
      </c>
      <c r="AG51" s="12">
        <f>VLOOKUP(A51,'Données projet'!$A$61:$I$81,9,0)</f>
        <v>17.666666666666668</v>
      </c>
      <c r="AH51" s="12">
        <f t="array" ref="AH51">INDEX(AG:AG,MIN(IF(ISNUMBER(AG51:AG247),ROW(AG51:AG247),"")))</f>
        <v>17.666666666666668</v>
      </c>
      <c r="AI51" s="13">
        <f>IF('Données projet'!$A$62&gt;35,AI50+AH51-AQ50,IF(A51&lt;'Données projet'!$A$62,$AF$205^A51,IF(A51='Données projet'!$A$62,'Données projet'!$B$62,AI50+AH51-AQ50)))</f>
        <v>599.99999999999966</v>
      </c>
      <c r="AJ51" s="13">
        <f>AI51*VLOOKUP('Données projet'!$B$10,Paramètres!$A$1:$I$89,3,0)*VLOOKUP('Données projet'!$B$10,Paramètres!$A$1:$I$89,5,0)</f>
        <v>327.59999999999985</v>
      </c>
      <c r="AK51" s="13">
        <f t="shared" si="35"/>
        <v>76.932514754922536</v>
      </c>
      <c r="AL51" s="20">
        <f t="shared" si="4"/>
        <v>704.56079653148981</v>
      </c>
      <c r="AM51" s="59">
        <f t="shared" si="5"/>
        <v>997.89412986482307</v>
      </c>
      <c r="AN51" s="59">
        <f ca="1">AVERAGE(OFFSET($AM$3,0,0,'Données projet'!$E$10+1,1))-AVERAGE(OFFSET($H$3,0,0,'Données projet'!$E$10+1,1))</f>
        <v>417.99456559608217</v>
      </c>
      <c r="AO51" s="59">
        <f t="shared" si="36"/>
        <v>651.41353014863932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123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140.92312895243657</v>
      </c>
      <c r="AV51" s="21">
        <f>EXP(-LN(2)/25)*AV50+(1-EXP(-LN(2)/25))/(LN(2)/25)*Calculateur!AQ51*Calculateur!AS51*VLOOKUP('Données projet'!$B$10,Paramètres!$A$1:$I$89,3,0)*0.475*44/12</f>
        <v>28.119077724478768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169.04220667691533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7.8</v>
      </c>
      <c r="BD51" s="12">
        <f>IF('Données projet'!$A$88&gt;35,BD50+BC51-BL50,IF(A51&lt;'Données projet'!$A$88,$BA$205^A51,IF(A51='Données projet'!$A$88,'Données projet'!$B$88,BD50+BC51-BL50)))</f>
        <v>193.39999999999995</v>
      </c>
      <c r="BE51" s="13">
        <f>BD51*VLOOKUP('Données projet'!$B$11,Paramètres!$A$1:$I$89,3,0)*VLOOKUP('Données projet'!$B$11,Paramètres!$A$1:$I$89,5,0)</f>
        <v>168.95424</v>
      </c>
      <c r="BF51" s="13">
        <f t="shared" si="37"/>
        <v>42.855724087026708</v>
      </c>
      <c r="BG51" s="20">
        <f t="shared" si="7"/>
        <v>368.90235411823818</v>
      </c>
      <c r="BH51" s="59">
        <f t="shared" si="8"/>
        <v>662.23568745157149</v>
      </c>
      <c r="BI51" s="59">
        <f ca="1">AVERAGE(OFFSET($BH$3,0,0,'Données projet'!$E$11+1,1))-AVERAGE(OFFSET($H$3,0,0,'Données projet'!$E$11+1,1))</f>
        <v>247.61330734992077</v>
      </c>
      <c r="BJ51" s="59">
        <f t="shared" si="38"/>
        <v>278.55937893537259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35.383004186681319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35.383004186681319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382.55387448074327</v>
      </c>
      <c r="T52" s="59">
        <f t="shared" si="34"/>
        <v>476.29465646955543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24.2309204045985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94.997835353840713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</v>
      </c>
      <c r="AI52" s="13">
        <f>IF('Données projet'!$A$62&gt;35,AI51+AH52-AQ51,IF(A52&lt;'Données projet'!$A$62,$AF$205^A52,IF(A52='Données projet'!$A$62,'Données projet'!$B$62,AI51+AH52-AQ51)))</f>
        <v>492.99999999999966</v>
      </c>
      <c r="AJ52" s="13">
        <f>AI52*VLOOKUP('Données projet'!$B$10,Paramètres!$A$1:$I$89,3,0)*VLOOKUP('Données projet'!$B$10,Paramètres!$A$1:$I$89,5,0)</f>
        <v>269.17799999999983</v>
      </c>
      <c r="AK52" s="13">
        <f t="shared" si="35"/>
        <v>64.674789196812398</v>
      </c>
      <c r="AL52" s="20">
        <f t="shared" si="4"/>
        <v>581.46027451778127</v>
      </c>
      <c r="AM52" s="59">
        <f t="shared" si="5"/>
        <v>874.79360785111453</v>
      </c>
      <c r="AN52" s="59">
        <f ca="1">AVERAGE(OFFSET($AM$3,0,0,'Données projet'!$E$10+1,1))-AVERAGE(OFFSET($H$3,0,0,'Données projet'!$E$10+1,1))</f>
        <v>417.99456559608217</v>
      </c>
      <c r="AO52" s="59">
        <f t="shared" si="36"/>
        <v>651.41353014863932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138.15971234830064</v>
      </c>
      <c r="AV52" s="21">
        <f>EXP(-LN(2)/25)*AV51+(1-EXP(-LN(2)/25))/(LN(2)/25)*Calculateur!AQ52*Calculateur!AS52*VLOOKUP('Données projet'!$B$10,Paramètres!$A$1:$I$89,3,0)*0.475*44/12</f>
        <v>27.350160065384866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165.50987241368551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7.8</v>
      </c>
      <c r="BD52" s="12">
        <f>IF('Données projet'!$A$88&gt;35,BD51+BC52-BL51,IF(A52&lt;'Données projet'!$A$88,$BA$205^A52,IF(A52='Données projet'!$A$88,'Données projet'!$B$88,BD51+BC52-BL51)))</f>
        <v>201.19999999999996</v>
      </c>
      <c r="BE52" s="13">
        <f>BD52*VLOOKUP('Données projet'!$B$11,Paramètres!$A$1:$I$89,3,0)*VLOOKUP('Données projet'!$B$11,Paramètres!$A$1:$I$89,5,0)</f>
        <v>175.76831999999999</v>
      </c>
      <c r="BF52" s="13">
        <f t="shared" si="37"/>
        <v>44.379415757690168</v>
      </c>
      <c r="BG52" s="20">
        <f t="shared" si="7"/>
        <v>383.42397311131032</v>
      </c>
      <c r="BH52" s="59">
        <f t="shared" si="8"/>
        <v>676.75730644464363</v>
      </c>
      <c r="BI52" s="59">
        <f ca="1">AVERAGE(OFFSET($BH$3,0,0,'Données projet'!$E$11+1,1))-AVERAGE(OFFSET($H$3,0,0,'Données projet'!$E$11+1,1))</f>
        <v>247.61330734992077</v>
      </c>
      <c r="BJ52" s="59">
        <f t="shared" si="38"/>
        <v>278.55937893537259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34.689165056082054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34.689165056082054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382.55387448074327</v>
      </c>
      <c r="T53" s="59">
        <f t="shared" si="34"/>
        <v>476.29465646955543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23.56832461188603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112.52445113012423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</v>
      </c>
      <c r="AI53" s="13">
        <f>IF('Données projet'!$A$62&gt;35,AI52+AH53-AQ52,IF(A53&lt;'Données projet'!$A$62,$AF$205^A53,IF(A53='Données projet'!$A$62,'Données projet'!$B$62,AI52+AH53-AQ52)))</f>
        <v>508.99999999999966</v>
      </c>
      <c r="AJ53" s="13">
        <f>AI53*VLOOKUP('Données projet'!$B$10,Paramètres!$A$1:$I$89,3,0)*VLOOKUP('Données projet'!$B$10,Paramètres!$A$1:$I$89,5,0)</f>
        <v>277.91399999999982</v>
      </c>
      <c r="AK53" s="13">
        <f t="shared" si="35"/>
        <v>66.525985443445521</v>
      </c>
      <c r="AL53" s="20">
        <f t="shared" si="4"/>
        <v>599.89964131400052</v>
      </c>
      <c r="AM53" s="59">
        <f t="shared" si="5"/>
        <v>893.23297464733378</v>
      </c>
      <c r="AN53" s="59">
        <f ca="1">AVERAGE(OFFSET($AM$3,0,0,'Données projet'!$E$10+1,1))-AVERAGE(OFFSET($H$3,0,0,'Données projet'!$E$10+1,1))</f>
        <v>417.99456559608217</v>
      </c>
      <c r="AO53" s="59">
        <f t="shared" si="36"/>
        <v>651.41353014863932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135.45048465825411</v>
      </c>
      <c r="AV53" s="21">
        <f>EXP(-LN(2)/25)*AV52+(1-EXP(-LN(2)/25))/(LN(2)/25)*Calculateur!AQ53*Calculateur!AS53*VLOOKUP('Données projet'!$B$10,Paramètres!$A$1:$I$89,3,0)*0.475*44/12</f>
        <v>26.602268500114508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162.05275315836863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7.8</v>
      </c>
      <c r="BC53" s="12">
        <f t="array" ref="BC53">INDEX(BB:BB,MIN(IF(ISNUMBER(BB53:BB249),ROW(BB53:BB249),"")))</f>
        <v>7.8</v>
      </c>
      <c r="BD53" s="12">
        <f>IF('Données projet'!$A$88&gt;35,BD52+BC53-BL52,IF(A53&lt;'Données projet'!$A$88,$BA$205^A53,IF(A53='Données projet'!$A$88,'Données projet'!$B$88,BD52+BC53-BL52)))</f>
        <v>208.99999999999997</v>
      </c>
      <c r="BE53" s="13">
        <f>BD53*VLOOKUP('Données projet'!$B$11,Paramètres!$A$1:$I$89,3,0)*VLOOKUP('Données projet'!$B$11,Paramètres!$A$1:$I$89,5,0)</f>
        <v>182.58240000000001</v>
      </c>
      <c r="BF53" s="13">
        <f t="shared" si="37"/>
        <v>45.896245406460288</v>
      </c>
      <c r="BG53" s="20">
        <f t="shared" si="7"/>
        <v>397.93364074958498</v>
      </c>
      <c r="BH53" s="59">
        <f t="shared" si="8"/>
        <v>691.2669740829183</v>
      </c>
      <c r="BI53" s="59">
        <f ca="1">AVERAGE(OFFSET($BH$3,0,0,'Données projet'!$E$11+1,1))-AVERAGE(OFFSET($H$3,0,0,'Données projet'!$E$11+1,1))</f>
        <v>247.61330734992077</v>
      </c>
      <c r="BJ53" s="59">
        <f t="shared" si="38"/>
        <v>278.55937893537259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45.636428327295988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45.636428327295988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382.55387448074327</v>
      </c>
      <c r="T54" s="59">
        <f t="shared" si="34"/>
        <v>476.29465646955543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22.923847535969681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110.1355986710649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</v>
      </c>
      <c r="AI54" s="13">
        <f>IF('Données projet'!$A$62&gt;35,AI53+AH54-AQ53,IF(A54&lt;'Données projet'!$A$62,$AF$205^A54,IF(A54='Données projet'!$A$62,'Données projet'!$B$62,AI53+AH54-AQ53)))</f>
        <v>524.99999999999966</v>
      </c>
      <c r="AJ54" s="13">
        <f>AI54*VLOOKUP('Données projet'!$B$10,Paramètres!$A$1:$I$89,3,0)*VLOOKUP('Données projet'!$B$10,Paramètres!$A$1:$I$89,5,0)</f>
        <v>286.64999999999981</v>
      </c>
      <c r="AK54" s="13">
        <f t="shared" si="35"/>
        <v>68.370419475838872</v>
      </c>
      <c r="AL54" s="20">
        <f t="shared" si="4"/>
        <v>618.32723058708575</v>
      </c>
      <c r="AM54" s="59">
        <f t="shared" si="5"/>
        <v>911.66056392041901</v>
      </c>
      <c r="AN54" s="59">
        <f ca="1">AVERAGE(OFFSET($AM$3,0,0,'Données projet'!$E$10+1,1))-AVERAGE(OFFSET($H$3,0,0,'Données projet'!$E$10+1,1))</f>
        <v>417.99456559608217</v>
      </c>
      <c r="AO54" s="59">
        <f t="shared" si="36"/>
        <v>651.41353014863932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132.79438327074368</v>
      </c>
      <c r="AV54" s="21">
        <f>EXP(-LN(2)/25)*AV53+(1-EXP(-LN(2)/25))/(LN(2)/25)*Calculateur!AQ54*Calculateur!AS54*VLOOKUP('Données projet'!$B$10,Paramètres!$A$1:$I$89,3,0)*0.475*44/12</f>
        <v>25.874828069026378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158.66921133977007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187.79999999999998</v>
      </c>
      <c r="BE54" s="13">
        <f>BD54*VLOOKUP('Données projet'!$B$11,Paramètres!$A$1:$I$89,3,0)*VLOOKUP('Données projet'!$B$11,Paramètres!$A$1:$I$89,5,0)</f>
        <v>164.06208000000001</v>
      </c>
      <c r="BF54" s="13">
        <f t="shared" si="37"/>
        <v>41.75738773013461</v>
      </c>
      <c r="BG54" s="20">
        <f t="shared" si="7"/>
        <v>358.46890629665108</v>
      </c>
      <c r="BH54" s="59">
        <f t="shared" si="8"/>
        <v>651.80223962998434</v>
      </c>
      <c r="BI54" s="59">
        <f ca="1">AVERAGE(OFFSET($BH$3,0,0,'Données projet'!$E$11+1,1))-AVERAGE(OFFSET($H$3,0,0,'Données projet'!$E$11+1,1))</f>
        <v>247.61330734992077</v>
      </c>
      <c r="BJ54" s="59">
        <f t="shared" si="38"/>
        <v>278.55937893537259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44.74152580327047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44.74152580327047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382.55387448074327</v>
      </c>
      <c r="T55" s="59">
        <f t="shared" si="34"/>
        <v>476.29465646955543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22.296993719585842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107.79857560883757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</v>
      </c>
      <c r="AI55" s="13">
        <f>IF('Données projet'!$A$62&gt;35,AI54+AH55-AQ54,IF(A55&lt;'Données projet'!$A$62,$AF$205^A55,IF(A55='Données projet'!$A$62,'Données projet'!$B$62,AI54+AH55-AQ54)))</f>
        <v>540.99999999999966</v>
      </c>
      <c r="AJ55" s="13">
        <f>AI55*VLOOKUP('Données projet'!$B$10,Paramètres!$A$1:$I$89,3,0)*VLOOKUP('Données projet'!$B$10,Paramètres!$A$1:$I$89,5,0)</f>
        <v>295.3859999999998</v>
      </c>
      <c r="AK55" s="13">
        <f t="shared" si="35"/>
        <v>70.208321033523518</v>
      </c>
      <c r="AL55" s="20">
        <f t="shared" si="4"/>
        <v>636.74344246671978</v>
      </c>
      <c r="AM55" s="59">
        <f t="shared" si="5"/>
        <v>930.07677580005316</v>
      </c>
      <c r="AN55" s="59">
        <f ca="1">AVERAGE(OFFSET($AM$3,0,0,'Données projet'!$E$10+1,1))-AVERAGE(OFFSET($H$3,0,0,'Données projet'!$E$10+1,1))</f>
        <v>417.99456559608217</v>
      </c>
      <c r="AO55" s="59">
        <f t="shared" si="36"/>
        <v>651.41353014863932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130.19036641138044</v>
      </c>
      <c r="AV55" s="21">
        <f>EXP(-LN(2)/25)*AV54+(1-EXP(-LN(2)/25))/(LN(2)/25)*Calculateur!AQ55*Calculateur!AS55*VLOOKUP('Données projet'!$B$10,Paramètres!$A$1:$I$89,3,0)*0.475*44/12</f>
        <v>25.167279534780782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155.35764594616123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194.6</v>
      </c>
      <c r="BE55" s="13">
        <f>BD55*VLOOKUP('Données projet'!$B$11,Paramètres!$A$1:$I$89,3,0)*VLOOKUP('Données projet'!$B$11,Paramètres!$A$1:$I$89,5,0)</f>
        <v>170.00256000000002</v>
      </c>
      <c r="BF55" s="13">
        <f t="shared" si="37"/>
        <v>43.090596939649579</v>
      </c>
      <c r="BG55" s="20">
        <f t="shared" si="7"/>
        <v>371.1372483365563</v>
      </c>
      <c r="BH55" s="59">
        <f t="shared" si="8"/>
        <v>664.47058166988961</v>
      </c>
      <c r="BI55" s="59">
        <f ca="1">AVERAGE(OFFSET($BH$3,0,0,'Données projet'!$E$11+1,1))-AVERAGE(OFFSET($H$3,0,0,'Données projet'!$E$11+1,1))</f>
        <v>247.61330734992077</v>
      </c>
      <c r="BJ55" s="59">
        <f t="shared" si="38"/>
        <v>278.55937893537259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43.864171771904445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43.864171771904445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382.55387448074327</v>
      </c>
      <c r="T56" s="59">
        <f t="shared" si="34"/>
        <v>476.29465646955543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21.687281253775829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105.5122292729948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</v>
      </c>
      <c r="AI56" s="13">
        <f>IF('Données projet'!$A$62&gt;35,AI55+AH56-AQ55,IF(A56&lt;'Données projet'!$A$62,$AF$205^A56,IF(A56='Données projet'!$A$62,'Données projet'!$B$62,AI55+AH56-AQ55)))</f>
        <v>556.99999999999966</v>
      </c>
      <c r="AJ56" s="13">
        <f>AI56*VLOOKUP('Données projet'!$B$10,Paramètres!$A$1:$I$89,3,0)*VLOOKUP('Données projet'!$B$10,Paramètres!$A$1:$I$89,5,0)</f>
        <v>304.12199999999984</v>
      </c>
      <c r="AK56" s="13">
        <f t="shared" si="35"/>
        <v>72.039905494501397</v>
      </c>
      <c r="AL56" s="20">
        <f t="shared" si="4"/>
        <v>655.14865206958962</v>
      </c>
      <c r="AM56" s="59">
        <f t="shared" si="5"/>
        <v>948.48198540292287</v>
      </c>
      <c r="AN56" s="59">
        <f ca="1">AVERAGE(OFFSET($AM$3,0,0,'Données projet'!$E$10+1,1))-AVERAGE(OFFSET($H$3,0,0,'Données projet'!$E$10+1,1))</f>
        <v>417.99456559608217</v>
      </c>
      <c r="AO56" s="59">
        <f t="shared" si="36"/>
        <v>651.41353014863932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127.63741273433587</v>
      </c>
      <c r="AV56" s="21">
        <f>EXP(-LN(2)/25)*AV55+(1-EXP(-LN(2)/25))/(LN(2)/25)*Calculateur!AQ56*Calculateur!AS56*VLOOKUP('Données projet'!$B$10,Paramètres!$A$1:$I$89,3,0)*0.475*44/12</f>
        <v>24.479078952412493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152.11649168674836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201.4</v>
      </c>
      <c r="BE56" s="13">
        <f>BD56*VLOOKUP('Données projet'!$B$11,Paramètres!$A$1:$I$89,3,0)*VLOOKUP('Données projet'!$B$11,Paramètres!$A$1:$I$89,5,0)</f>
        <v>175.94304000000002</v>
      </c>
      <c r="BF56" s="13">
        <f t="shared" si="37"/>
        <v>44.418393276556458</v>
      </c>
      <c r="BG56" s="20">
        <f t="shared" si="7"/>
        <v>383.79616295666915</v>
      </c>
      <c r="BH56" s="59">
        <f t="shared" si="8"/>
        <v>677.12949629000241</v>
      </c>
      <c r="BI56" s="59">
        <f ca="1">AVERAGE(OFFSET($BH$3,0,0,'Données projet'!$E$11+1,1))-AVERAGE(OFFSET($H$3,0,0,'Données projet'!$E$11+1,1))</f>
        <v>247.61330734992077</v>
      </c>
      <c r="BJ56" s="59">
        <f t="shared" si="38"/>
        <v>278.55937893537259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43.004022117960389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43.004022117960389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382.55387448074327</v>
      </c>
      <c r="T57" s="59">
        <f t="shared" si="34"/>
        <v>476.29465646955543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21.094241407406773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103.27543332413867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573</v>
      </c>
      <c r="AG57" s="12">
        <f>VLOOKUP(A57,'Données projet'!$A$61:$I$81,9,0)</f>
        <v>16</v>
      </c>
      <c r="AH57" s="12">
        <f t="array" ref="AH57">INDEX(AG:AG,MIN(IF(ISNUMBER(AG57:AG253),ROW(AG57:AG253),"")))</f>
        <v>16</v>
      </c>
      <c r="AI57" s="13">
        <f>IF('Données projet'!$A$62&gt;35,AI56+AH57-AQ56,IF(A57&lt;'Données projet'!$A$62,$AF$205^A57,IF(A57='Données projet'!$A$62,'Données projet'!$B$62,AI56+AH57-AQ56)))</f>
        <v>572.99999999999966</v>
      </c>
      <c r="AJ57" s="13">
        <f>AI57*VLOOKUP('Données projet'!$B$10,Paramètres!$A$1:$I$89,3,0)*VLOOKUP('Données projet'!$B$10,Paramètres!$A$1:$I$89,5,0)</f>
        <v>312.85799999999983</v>
      </c>
      <c r="AK57" s="13">
        <f t="shared" si="35"/>
        <v>73.865375159452455</v>
      </c>
      <c r="AL57" s="20">
        <f t="shared" si="4"/>
        <v>673.54321173604603</v>
      </c>
      <c r="AM57" s="59">
        <f t="shared" si="5"/>
        <v>966.87654506937929</v>
      </c>
      <c r="AN57" s="59">
        <f ca="1">AVERAGE(OFFSET($AM$3,0,0,'Données projet'!$E$10+1,1))-AVERAGE(OFFSET($H$3,0,0,'Données projet'!$E$10+1,1))</f>
        <v>417.99456559608217</v>
      </c>
      <c r="AO57" s="59">
        <f t="shared" si="36"/>
        <v>651.41353014863932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119</v>
      </c>
      <c r="AR57" s="16">
        <f>IF(ISNA(VLOOKUP(A57,'Données projet'!$A$61:$I$81,5,0)),0%,VLOOKUP(A57,'Données projet'!$A$61:$I$81,5,0)*VLOOKUP('Données projet'!$B$10,Paramètres!$A$1:$I$89,7,0))</f>
        <v>0.6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176.84984027838738</v>
      </c>
      <c r="AV57" s="21">
        <f>EXP(-LN(2)/25)*AV56+(1-EXP(-LN(2)/25))/(LN(2)/25)*Calculateur!AQ57*Calculateur!AS57*VLOOKUP('Données projet'!$B$10,Paramètres!$A$1:$I$89,3,0)*0.475*44/12</f>
        <v>23.80969725115996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200.65953752954732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208.20000000000002</v>
      </c>
      <c r="BE57" s="13">
        <f>BD57*VLOOKUP('Données projet'!$B$11,Paramètres!$A$1:$I$89,3,0)*VLOOKUP('Données projet'!$B$11,Paramètres!$A$1:$I$89,5,0)</f>
        <v>181.88352000000006</v>
      </c>
      <c r="BF57" s="13">
        <f t="shared" si="37"/>
        <v>45.74098045051349</v>
      </c>
      <c r="BG57" s="20">
        <f t="shared" si="7"/>
        <v>396.44600495131112</v>
      </c>
      <c r="BH57" s="59">
        <f t="shared" si="8"/>
        <v>689.77933828464438</v>
      </c>
      <c r="BI57" s="59">
        <f ca="1">AVERAGE(OFFSET($BH$3,0,0,'Données projet'!$E$11+1,1))-AVERAGE(OFFSET($H$3,0,0,'Données projet'!$E$11+1,1))</f>
        <v>247.61330734992077</v>
      </c>
      <c r="BJ57" s="59">
        <f t="shared" si="38"/>
        <v>278.55937893537259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42.160739474090697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42.160739474090697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382.55387448074327</v>
      </c>
      <c r="T58" s="59">
        <f t="shared" si="34"/>
        <v>476.29465646955543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20.517418266823292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115.36191559951669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13.333333333333334</v>
      </c>
      <c r="AI58" s="13">
        <f>IF('Données projet'!$A$62&gt;35,AI57+AH58-AQ57,IF(A58&lt;'Données projet'!$A$62,$AF$205^A58,IF(A58='Données projet'!$A$62,'Données projet'!$B$62,AI57+AH58-AQ57)))</f>
        <v>467.33333333333303</v>
      </c>
      <c r="AJ58" s="13">
        <f>AI58*VLOOKUP('Données projet'!$B$10,Paramètres!$A$1:$I$89,3,0)*VLOOKUP('Données projet'!$B$10,Paramètres!$A$1:$I$89,5,0)</f>
        <v>255.16399999999982</v>
      </c>
      <c r="AK58" s="13">
        <f t="shared" si="35"/>
        <v>61.690414477836441</v>
      </c>
      <c r="AL58" s="20">
        <f t="shared" si="4"/>
        <v>551.85477188223149</v>
      </c>
      <c r="AM58" s="59">
        <f t="shared" si="5"/>
        <v>845.18810521556475</v>
      </c>
      <c r="AN58" s="59">
        <f ca="1">AVERAGE(OFFSET($AM$3,0,0,'Données projet'!$E$10+1,1))-AVERAGE(OFFSET($H$3,0,0,'Données projet'!$E$10+1,1))</f>
        <v>417.99456559608217</v>
      </c>
      <c r="AO58" s="59">
        <f t="shared" si="36"/>
        <v>651.41353014863932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173.38192277827972</v>
      </c>
      <c r="AV58" s="21">
        <f>EXP(-LN(2)/25)*AV57+(1-EXP(-LN(2)/25))/(LN(2)/25)*Calculateur!AQ58*Calculateur!AS58*VLOOKUP('Données projet'!$B$10,Paramètres!$A$1:$I$89,3,0)*0.475*44/12</f>
        <v>23.158619827729432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196.54054260600915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215</v>
      </c>
      <c r="BB58" s="12">
        <f>VLOOKUP(A58,'Données projet'!$A$87:$I$107,9,0)</f>
        <v>6.8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215.00000000000003</v>
      </c>
      <c r="BE58" s="13">
        <f>BD58*VLOOKUP('Données projet'!$B$11,Paramètres!$A$1:$I$89,3,0)*VLOOKUP('Données projet'!$B$11,Paramètres!$A$1:$I$89,5,0)</f>
        <v>187.82400000000007</v>
      </c>
      <c r="BF58" s="13">
        <f t="shared" si="37"/>
        <v>47.05854810918273</v>
      </c>
      <c r="BG58" s="20">
        <f t="shared" si="7"/>
        <v>409.08710462349336</v>
      </c>
      <c r="BH58" s="59">
        <f t="shared" si="8"/>
        <v>702.42043795682662</v>
      </c>
      <c r="BI58" s="59">
        <f ca="1">AVERAGE(OFFSET($BH$3,0,0,'Données projet'!$E$11+1,1))-AVERAGE(OFFSET($H$3,0,0,'Données projet'!$E$11+1,1))</f>
        <v>247.61330734992077</v>
      </c>
      <c r="BJ58" s="59">
        <f t="shared" si="38"/>
        <v>278.55937893537259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25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51.715686516785503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51.715686516785503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382.55387448074327</v>
      </c>
      <c r="T59" s="59">
        <f t="shared" si="34"/>
        <v>476.29465646955543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19.956368385352874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112.94102297478338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13.333333333333334</v>
      </c>
      <c r="AI59" s="13">
        <f>IF('Données projet'!$A$62&gt;35,AI58+AH59-AQ58,IF(A59&lt;'Données projet'!$A$62,$AF$205^A59,IF(A59='Données projet'!$A$62,'Données projet'!$B$62,AI58+AH59-AQ58)))</f>
        <v>480.66666666666634</v>
      </c>
      <c r="AJ59" s="13">
        <f>AI59*VLOOKUP('Données projet'!$B$10,Paramètres!$A$1:$I$89,3,0)*VLOOKUP('Données projet'!$B$10,Paramètres!$A$1:$I$89,5,0)</f>
        <v>262.44399999999985</v>
      </c>
      <c r="AK59" s="13">
        <f t="shared" si="35"/>
        <v>63.243055976018816</v>
      </c>
      <c r="AL59" s="20">
        <f t="shared" si="4"/>
        <v>567.23828915823242</v>
      </c>
      <c r="AM59" s="59">
        <f t="shared" si="5"/>
        <v>860.57162249156568</v>
      </c>
      <c r="AN59" s="59">
        <f ca="1">AVERAGE(OFFSET($AM$3,0,0,'Données projet'!$E$10+1,1))-AVERAGE(OFFSET($H$3,0,0,'Données projet'!$E$10+1,1))</f>
        <v>417.99456559608217</v>
      </c>
      <c r="AO59" s="59">
        <f t="shared" si="36"/>
        <v>651.41353014863932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169.98200902512835</v>
      </c>
      <c r="AV59" s="21">
        <f>EXP(-LN(2)/25)*AV58+(1-EXP(-LN(2)/25))/(LN(2)/25)*Calculateur!AQ59*Calculateur!AS59*VLOOKUP('Données projet'!$B$10,Paramètres!$A$1:$I$89,3,0)*0.475*44/12</f>
        <v>22.525346150681283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192.50735517580964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</v>
      </c>
      <c r="BD59" s="12">
        <f>IF('Données projet'!$A$88&gt;35,BD58+BC59-BL58,IF(A59&lt;'Données projet'!$A$88,$BA$205^A59,IF(A59='Données projet'!$A$88,'Données projet'!$B$88,BD58+BC59-BL58)))</f>
        <v>196.00000000000003</v>
      </c>
      <c r="BE59" s="13">
        <f>BD59*VLOOKUP('Données projet'!$B$11,Paramètres!$A$1:$I$89,3,0)*VLOOKUP('Données projet'!$B$11,Paramètres!$A$1:$I$89,5,0)</f>
        <v>171.22560000000004</v>
      </c>
      <c r="BF59" s="13">
        <f t="shared" si="37"/>
        <v>43.364402348589557</v>
      </c>
      <c r="BG59" s="20">
        <f t="shared" si="7"/>
        <v>373.74425409046017</v>
      </c>
      <c r="BH59" s="59">
        <f t="shared" si="8"/>
        <v>667.07758742379349</v>
      </c>
      <c r="BI59" s="59">
        <f ca="1">AVERAGE(OFFSET($BH$3,0,0,'Données projet'!$E$11+1,1))-AVERAGE(OFFSET($H$3,0,0,'Données projet'!$E$11+1,1))</f>
        <v>247.61330734992077</v>
      </c>
      <c r="BJ59" s="59">
        <f t="shared" si="38"/>
        <v>278.55937893537259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50.701573447645458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50.701573447645458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382.55387448074327</v>
      </c>
      <c r="T60" s="59">
        <f t="shared" si="34"/>
        <v>476.29465646955543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19.410660442395599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110.57194267036652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13.333333333333334</v>
      </c>
      <c r="AI60" s="13">
        <f>IF('Données projet'!$A$62&gt;35,AI59+AH60-AQ59,IF(A60&lt;'Données projet'!$A$62,$AF$205^A60,IF(A60='Données projet'!$A$62,'Données projet'!$B$62,AI59+AH60-AQ59)))</f>
        <v>493.99999999999966</v>
      </c>
      <c r="AJ60" s="13">
        <f>AI60*VLOOKUP('Données projet'!$B$10,Paramètres!$A$1:$I$89,3,0)*VLOOKUP('Données projet'!$B$10,Paramètres!$A$1:$I$89,5,0)</f>
        <v>269.72399999999982</v>
      </c>
      <c r="AK60" s="13">
        <f t="shared" si="35"/>
        <v>64.790691635967349</v>
      </c>
      <c r="AL60" s="20">
        <f t="shared" si="4"/>
        <v>582.61308793264277</v>
      </c>
      <c r="AM60" s="59">
        <f t="shared" si="5"/>
        <v>875.94642126597614</v>
      </c>
      <c r="AN60" s="59">
        <f ca="1">AVERAGE(OFFSET($AM$3,0,0,'Données projet'!$E$10+1,1))-AVERAGE(OFFSET($H$3,0,0,'Données projet'!$E$10+1,1))</f>
        <v>417.99456559608217</v>
      </c>
      <c r="AO60" s="59">
        <f t="shared" si="36"/>
        <v>651.41353014863932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166.64876550693367</v>
      </c>
      <c r="AV60" s="21">
        <f>EXP(-LN(2)/25)*AV59+(1-EXP(-LN(2)/25))/(LN(2)/25)*Calculateur!AQ60*Calculateur!AS60*VLOOKUP('Données projet'!$B$10,Paramètres!$A$1:$I$89,3,0)*0.475*44/12</f>
        <v>21.909389375634433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188.55815488256809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</v>
      </c>
      <c r="BD60" s="12">
        <f>IF('Données projet'!$A$88&gt;35,BD59+BC60-BL59,IF(A60&lt;'Données projet'!$A$88,$BA$205^A60,IF(A60='Données projet'!$A$88,'Données projet'!$B$88,BD59+BC60-BL59)))</f>
        <v>202.00000000000003</v>
      </c>
      <c r="BE60" s="13">
        <f>BD60*VLOOKUP('Données projet'!$B$11,Paramètres!$A$1:$I$89,3,0)*VLOOKUP('Données projet'!$B$11,Paramètres!$A$1:$I$89,5,0)</f>
        <v>176.46720000000005</v>
      </c>
      <c r="BF60" s="13">
        <f t="shared" si="37"/>
        <v>44.535298821989393</v>
      </c>
      <c r="BG60" s="20">
        <f t="shared" si="7"/>
        <v>384.91268544829819</v>
      </c>
      <c r="BH60" s="59">
        <f t="shared" si="8"/>
        <v>678.24601878163151</v>
      </c>
      <c r="BI60" s="59">
        <f ca="1">AVERAGE(OFFSET($BH$3,0,0,'Données projet'!$E$11+1,1))-AVERAGE(OFFSET($H$3,0,0,'Données projet'!$E$11+1,1))</f>
        <v>247.61330734992077</v>
      </c>
      <c r="BJ60" s="59">
        <f t="shared" si="38"/>
        <v>278.55937893537259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49.707346517243352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49.707346517243352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382.55387448074327</v>
      </c>
      <c r="T61" s="59">
        <f t="shared" si="34"/>
        <v>476.29465646955543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18.879874911836023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108.25353999820827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13.333333333333334</v>
      </c>
      <c r="AI61" s="13">
        <f>IF('Données projet'!$A$62&gt;35,AI60+AH61-AQ60,IF(A61&lt;'Données projet'!$A$62,$AF$205^A61,IF(A61='Données projet'!$A$62,'Données projet'!$B$62,AI60+AH61-AQ60)))</f>
        <v>507.33333333333297</v>
      </c>
      <c r="AJ61" s="13">
        <f>AI61*VLOOKUP('Données projet'!$B$10,Paramètres!$A$1:$I$89,3,0)*VLOOKUP('Données projet'!$B$10,Paramètres!$A$1:$I$89,5,0)</f>
        <v>277.00399999999979</v>
      </c>
      <c r="AK61" s="13">
        <f t="shared" si="35"/>
        <v>66.333472095210681</v>
      </c>
      <c r="AL61" s="20">
        <f t="shared" si="4"/>
        <v>597.97943056582483</v>
      </c>
      <c r="AM61" s="59">
        <f t="shared" si="5"/>
        <v>891.3127638991582</v>
      </c>
      <c r="AN61" s="59">
        <f ca="1">AVERAGE(OFFSET($AM$3,0,0,'Données projet'!$E$10+1,1))-AVERAGE(OFFSET($H$3,0,0,'Données projet'!$E$10+1,1))</f>
        <v>417.99456559608217</v>
      </c>
      <c r="AO61" s="59">
        <f t="shared" si="36"/>
        <v>651.41353014863932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163.38088486105298</v>
      </c>
      <c r="AV61" s="21">
        <f>EXP(-LN(2)/25)*AV60+(1-EXP(-LN(2)/25))/(LN(2)/25)*Calculateur!AQ61*Calculateur!AS61*VLOOKUP('Données projet'!$B$10,Paramètres!$A$1:$I$89,3,0)*0.475*44/12</f>
        <v>21.310275970992997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184.69116083204597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</v>
      </c>
      <c r="BD61" s="12">
        <f>IF('Données projet'!$A$88&gt;35,BD60+BC61-BL60,IF(A61&lt;'Données projet'!$A$88,$BA$205^A61,IF(A61='Données projet'!$A$88,'Données projet'!$B$88,BD60+BC61-BL60)))</f>
        <v>208.00000000000003</v>
      </c>
      <c r="BE61" s="13">
        <f>BD61*VLOOKUP('Données projet'!$B$11,Paramètres!$A$1:$I$89,3,0)*VLOOKUP('Données projet'!$B$11,Paramètres!$A$1:$I$89,5,0)</f>
        <v>181.70880000000005</v>
      </c>
      <c r="BF61" s="13">
        <f t="shared" si="37"/>
        <v>45.702153370067812</v>
      </c>
      <c r="BG61" s="20">
        <f t="shared" si="7"/>
        <v>396.07407711953482</v>
      </c>
      <c r="BH61" s="59">
        <f t="shared" si="8"/>
        <v>689.40741045286813</v>
      </c>
      <c r="BI61" s="59">
        <f ca="1">AVERAGE(OFFSET($BH$3,0,0,'Données projet'!$E$11+1,1))-AVERAGE(OFFSET($H$3,0,0,'Données projet'!$E$11+1,1))</f>
        <v>247.61330734992077</v>
      </c>
      <c r="BJ61" s="59">
        <f t="shared" si="38"/>
        <v>278.55937893537259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48.732615770527886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48.732615770527886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382.55387448074327</v>
      </c>
      <c r="T62" s="59">
        <f t="shared" si="34"/>
        <v>476.29465646955543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18.363603739522397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105.9847057661039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13.333333333333334</v>
      </c>
      <c r="AI62" s="13">
        <f>IF('Données projet'!$A$62&gt;35,AI61+AH62-AQ61,IF(A62&lt;'Données projet'!$A$62,$AF$205^A62,IF(A62='Données projet'!$A$62,'Données projet'!$B$62,AI61+AH62-AQ61)))</f>
        <v>520.66666666666629</v>
      </c>
      <c r="AJ62" s="13">
        <f>AI62*VLOOKUP('Données projet'!$B$10,Paramètres!$A$1:$I$89,3,0)*VLOOKUP('Données projet'!$B$10,Paramètres!$A$1:$I$89,5,0)</f>
        <v>284.28399999999982</v>
      </c>
      <c r="AK62" s="13">
        <f t="shared" si="35"/>
        <v>67.871539622478807</v>
      </c>
      <c r="AL62" s="20">
        <f t="shared" si="4"/>
        <v>613.33756484248352</v>
      </c>
      <c r="AM62" s="59">
        <f t="shared" si="5"/>
        <v>906.67089817581677</v>
      </c>
      <c r="AN62" s="59">
        <f ca="1">AVERAGE(OFFSET($AM$3,0,0,'Données projet'!$E$10+1,1))-AVERAGE(OFFSET($H$3,0,0,'Données projet'!$E$10+1,1))</f>
        <v>417.99456559608217</v>
      </c>
      <c r="AO62" s="59">
        <f t="shared" si="36"/>
        <v>651.41353014863932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160.17708536142763</v>
      </c>
      <c r="AV62" s="21">
        <f>EXP(-LN(2)/25)*AV61+(1-EXP(-LN(2)/25))/(LN(2)/25)*Calculateur!AQ62*Calculateur!AS62*VLOOKUP('Données projet'!$B$10,Paramètres!$A$1:$I$89,3,0)*0.475*44/12</f>
        <v>20.727545353907484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180.90463071533512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</v>
      </c>
      <c r="BD62" s="12">
        <f>IF('Données projet'!$A$88&gt;35,BD61+BC62-BL61,IF(A62&lt;'Données projet'!$A$88,$BA$205^A62,IF(A62='Données projet'!$A$88,'Données projet'!$B$88,BD61+BC62-BL61)))</f>
        <v>214.00000000000003</v>
      </c>
      <c r="BE62" s="13">
        <f>BD62*VLOOKUP('Données projet'!$B$11,Paramètres!$A$1:$I$89,3,0)*VLOOKUP('Données projet'!$B$11,Paramètres!$A$1:$I$89,5,0)</f>
        <v>186.95040000000006</v>
      </c>
      <c r="BF62" s="13">
        <f t="shared" si="37"/>
        <v>46.865095976617653</v>
      </c>
      <c r="BG62" s="20">
        <f t="shared" si="7"/>
        <v>407.22865549260922</v>
      </c>
      <c r="BH62" s="59">
        <f t="shared" si="8"/>
        <v>700.56198882594254</v>
      </c>
      <c r="BI62" s="59">
        <f ca="1">AVERAGE(OFFSET($BH$3,0,0,'Données projet'!$E$11+1,1))-AVERAGE(OFFSET($H$3,0,0,'Données projet'!$E$11+1,1))</f>
        <v>247.61330734992077</v>
      </c>
      <c r="BJ62" s="59">
        <f t="shared" si="38"/>
        <v>278.55937893537259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47.77699889922846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47.77699889922846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382.55387448074327</v>
      </c>
      <c r="T63" s="59">
        <f t="shared" si="34"/>
        <v>476.29465646955543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17.861450029565205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115.59207070192228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534</v>
      </c>
      <c r="AG63" s="12">
        <f>VLOOKUP(A63,'Données projet'!$A$61:$I$81,9,0)</f>
        <v>13.333333333333334</v>
      </c>
      <c r="AH63" s="12">
        <f t="array" ref="AH63">INDEX(AG:AG,MIN(IF(ISNUMBER(AG63:AG259),ROW(AG63:AG259),"")))</f>
        <v>13.333333333333334</v>
      </c>
      <c r="AI63" s="13">
        <f>IF('Données projet'!$A$62&gt;35,AI62+AH63-AQ62,IF(A63&lt;'Données projet'!$A$62,$AF$205^A63,IF(A63='Données projet'!$A$62,'Données projet'!$B$62,AI62+AH63-AQ62)))</f>
        <v>533.99999999999966</v>
      </c>
      <c r="AJ63" s="13">
        <f>AI63*VLOOKUP('Données projet'!$B$10,Paramètres!$A$1:$I$89,3,0)*VLOOKUP('Données projet'!$B$10,Paramètres!$A$1:$I$89,5,0)</f>
        <v>291.56399999999985</v>
      </c>
      <c r="AK63" s="13">
        <f t="shared" si="35"/>
        <v>69.40502878487861</v>
      </c>
      <c r="AL63" s="20">
        <f t="shared" si="4"/>
        <v>628.68772513366332</v>
      </c>
      <c r="AM63" s="59">
        <f t="shared" si="5"/>
        <v>922.02105846699669</v>
      </c>
      <c r="AN63" s="59">
        <f ca="1">AVERAGE(OFFSET($AM$3,0,0,'Données projet'!$E$10+1,1))-AVERAGE(OFFSET($H$3,0,0,'Données projet'!$E$10+1,1))</f>
        <v>417.99456559608217</v>
      </c>
      <c r="AO63" s="59">
        <f t="shared" si="36"/>
        <v>651.41353014863932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112</v>
      </c>
      <c r="AR63" s="16">
        <f>IF(ISNA(VLOOKUP(A63,'Données projet'!$A$61:$I$81,5,0)),0%,VLOOKUP(A63,'Données projet'!$A$61:$I$81,5,0)*VLOOKUP('Données projet'!$B$10,Paramètres!$A$1:$I$89,7,0))</f>
        <v>0.6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205.70935216328843</v>
      </c>
      <c r="AV63" s="21">
        <f>EXP(-LN(2)/25)*AV62+(1-EXP(-LN(2)/25))/(LN(2)/25)*Calculateur!AQ63*Calculateur!AS63*VLOOKUP('Données projet'!$B$10,Paramètres!$A$1:$I$89,3,0)*0.475*44/12</f>
        <v>20.160749536190647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225.87010169947908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220</v>
      </c>
      <c r="BB63" s="12">
        <f>VLOOKUP(A63,'Données projet'!$A$87:$I$107,9,0)</f>
        <v>6</v>
      </c>
      <c r="BC63" s="12">
        <f t="array" ref="BC63">INDEX(BB:BB,MIN(IF(ISNUMBER(BB63:BB259),ROW(BB63:BB259),"")))</f>
        <v>6</v>
      </c>
      <c r="BD63" s="12">
        <f>IF('Données projet'!$A$88&gt;35,BD62+BC63-BL62,IF(A63&lt;'Données projet'!$A$88,$BA$205^A63,IF(A63='Données projet'!$A$88,'Données projet'!$B$88,BD62+BC63-BL62)))</f>
        <v>220.00000000000003</v>
      </c>
      <c r="BE63" s="13">
        <f>BD63*VLOOKUP('Données projet'!$B$11,Paramètres!$A$1:$I$89,3,0)*VLOOKUP('Données projet'!$B$11,Paramètres!$A$1:$I$89,5,0)</f>
        <v>192.19200000000006</v>
      </c>
      <c r="BF63" s="13">
        <f t="shared" si="37"/>
        <v>48.02424892193244</v>
      </c>
      <c r="BG63" s="20">
        <f t="shared" si="7"/>
        <v>418.37663353903241</v>
      </c>
      <c r="BH63" s="59">
        <f t="shared" si="8"/>
        <v>711.70996687236573</v>
      </c>
      <c r="BI63" s="59">
        <f ca="1">AVERAGE(OFFSET($BH$3,0,0,'Données projet'!$E$11+1,1))-AVERAGE(OFFSET($H$3,0,0,'Données projet'!$E$11+1,1))</f>
        <v>247.61330734992077</v>
      </c>
      <c r="BJ63" s="59">
        <f t="shared" si="38"/>
        <v>278.55937893537259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22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55.976011308783939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55.976011308783939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382.55387448074327</v>
      </c>
      <c r="T64" s="59">
        <f t="shared" si="34"/>
        <v>476.29465646955543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17.37302773921391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113.1872105499787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13.333333333333334</v>
      </c>
      <c r="AI64" s="13">
        <f>IF('Données projet'!$A$62&gt;35,AI63+AH64-AQ63,IF(A64&lt;'Données projet'!$A$62,$AF$205^A64,IF(A64='Données projet'!$A$62,'Données projet'!$B$62,AI63+AH64-AQ63)))</f>
        <v>435.33333333333303</v>
      </c>
      <c r="AJ64" s="13">
        <f>AI64*VLOOKUP('Données projet'!$B$10,Paramètres!$A$1:$I$89,3,0)*VLOOKUP('Données projet'!$B$10,Paramètres!$A$1:$I$89,5,0)</f>
        <v>237.69199999999984</v>
      </c>
      <c r="AK64" s="13">
        <f t="shared" si="35"/>
        <v>57.942674109900096</v>
      </c>
      <c r="AL64" s="20">
        <f t="shared" si="4"/>
        <v>514.89705740807574</v>
      </c>
      <c r="AM64" s="59">
        <f t="shared" si="5"/>
        <v>808.23039074140911</v>
      </c>
      <c r="AN64" s="59">
        <f ca="1">AVERAGE(OFFSET($AM$3,0,0,'Données projet'!$E$10+1,1))-AVERAGE(OFFSET($H$3,0,0,'Données projet'!$E$10+1,1))</f>
        <v>417.99456559608217</v>
      </c>
      <c r="AO64" s="59">
        <f t="shared" si="36"/>
        <v>651.41353014863932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201.67551723768199</v>
      </c>
      <c r="AV64" s="21">
        <f>EXP(-LN(2)/25)*AV63+(1-EXP(-LN(2)/25))/(LN(2)/25)*Calculateur!AQ64*Calculateur!AS64*VLOOKUP('Données projet'!$B$10,Paramètres!$A$1:$I$89,3,0)*0.475*44/12</f>
        <v>19.609452779915774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221.28497001759777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203.20000000000002</v>
      </c>
      <c r="BE64" s="13">
        <f>BD64*VLOOKUP('Données projet'!$B$11,Paramètres!$A$1:$I$89,3,0)*VLOOKUP('Données projet'!$B$11,Paramètres!$A$1:$I$89,5,0)</f>
        <v>177.51552000000004</v>
      </c>
      <c r="BF64" s="13">
        <f t="shared" si="37"/>
        <v>44.768988809542904</v>
      </c>
      <c r="BG64" s="20">
        <f t="shared" si="7"/>
        <v>387.145519509954</v>
      </c>
      <c r="BH64" s="59">
        <f t="shared" si="8"/>
        <v>680.47885284328731</v>
      </c>
      <c r="BI64" s="59">
        <f ca="1">AVERAGE(OFFSET($BH$3,0,0,'Données projet'!$E$11+1,1))-AVERAGE(OFFSET($H$3,0,0,'Données projet'!$E$11+1,1))</f>
        <v>247.61330734992077</v>
      </c>
      <c r="BJ64" s="59">
        <f t="shared" si="38"/>
        <v>278.55937893537259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54.878355869014342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54.878355869014342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382.55387448074327</v>
      </c>
      <c r="T65" s="59">
        <f t="shared" si="34"/>
        <v>476.29465646955543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16.897961382077284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110.83328650880394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13.333333333333334</v>
      </c>
      <c r="AI65" s="13">
        <f>IF('Données projet'!$A$62&gt;35,AI64+AH65-AQ64,IF(A65&lt;'Données projet'!$A$62,$AF$205^A65,IF(A65='Données projet'!$A$62,'Données projet'!$B$62,AI64+AH65-AQ64)))</f>
        <v>448.66666666666634</v>
      </c>
      <c r="AJ65" s="13">
        <f>AI65*VLOOKUP('Données projet'!$B$10,Paramètres!$A$1:$I$89,3,0)*VLOOKUP('Données projet'!$B$10,Paramètres!$A$1:$I$89,5,0)</f>
        <v>244.97199999999981</v>
      </c>
      <c r="AK65" s="13">
        <f t="shared" si="35"/>
        <v>59.508000530471662</v>
      </c>
      <c r="AL65" s="20">
        <f t="shared" si="4"/>
        <v>530.3026675905711</v>
      </c>
      <c r="AM65" s="59">
        <f t="shared" si="5"/>
        <v>823.63600092390448</v>
      </c>
      <c r="AN65" s="59">
        <f ca="1">AVERAGE(OFFSET($AM$3,0,0,'Données projet'!$E$10+1,1))-AVERAGE(OFFSET($H$3,0,0,'Données projet'!$E$10+1,1))</f>
        <v>417.99456559608217</v>
      </c>
      <c r="AO65" s="59">
        <f t="shared" si="36"/>
        <v>651.41353014863932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197.72078335457033</v>
      </c>
      <c r="AV65" s="21">
        <f>EXP(-LN(2)/25)*AV64+(1-EXP(-LN(2)/25))/(LN(2)/25)*Calculateur!AQ65*Calculateur!AS65*VLOOKUP('Données projet'!$B$10,Paramètres!$A$1:$I$89,3,0)*0.475*44/12</f>
        <v>19.073231262432675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216.794014617003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208.4</v>
      </c>
      <c r="BE65" s="13">
        <f>BD65*VLOOKUP('Données projet'!$B$11,Paramètres!$A$1:$I$89,3,0)*VLOOKUP('Données projet'!$B$11,Paramètres!$A$1:$I$89,5,0)</f>
        <v>182.05824000000001</v>
      </c>
      <c r="BF65" s="13">
        <f t="shared" si="37"/>
        <v>45.779803189729343</v>
      </c>
      <c r="BG65" s="20">
        <f t="shared" si="7"/>
        <v>396.81792522211191</v>
      </c>
      <c r="BH65" s="59">
        <f t="shared" si="8"/>
        <v>690.15125855544522</v>
      </c>
      <c r="BI65" s="59">
        <f ca="1">AVERAGE(OFFSET($BH$3,0,0,'Données projet'!$E$11+1,1))-AVERAGE(OFFSET($H$3,0,0,'Données projet'!$E$11+1,1))</f>
        <v>247.61330734992077</v>
      </c>
      <c r="BJ65" s="59">
        <f t="shared" si="38"/>
        <v>278.55937893537259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53.802224782914919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53.802224782914919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382.55387448074327</v>
      </c>
      <c r="T66" s="59">
        <f t="shared" si="34"/>
        <v>476.29465646955543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16.435885739459213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108.52919643534167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13.333333333333334</v>
      </c>
      <c r="AI66" s="13">
        <f>IF('Données projet'!$A$62&gt;35,AI65+AH66-AQ65,IF(A66&lt;'Données projet'!$A$62,$AF$205^A66,IF(A66='Données projet'!$A$62,'Données projet'!$B$62,AI65+AH66-AQ65)))</f>
        <v>461.99999999999966</v>
      </c>
      <c r="AJ66" s="13">
        <f>AI66*VLOOKUP('Données projet'!$B$10,Paramètres!$A$1:$I$89,3,0)*VLOOKUP('Données projet'!$B$10,Paramètres!$A$1:$I$89,5,0)</f>
        <v>252.25199999999981</v>
      </c>
      <c r="AK66" s="13">
        <f t="shared" si="35"/>
        <v>61.067920784150772</v>
      </c>
      <c r="AL66" s="20">
        <f t="shared" si="4"/>
        <v>545.6988620323956</v>
      </c>
      <c r="AM66" s="59">
        <f t="shared" si="5"/>
        <v>839.03219536572897</v>
      </c>
      <c r="AN66" s="59">
        <f ca="1">AVERAGE(OFFSET($AM$3,0,0,'Données projet'!$E$10+1,1))-AVERAGE(OFFSET($H$3,0,0,'Données projet'!$E$10+1,1))</f>
        <v>417.99456559608217</v>
      </c>
      <c r="AO66" s="59">
        <f t="shared" si="36"/>
        <v>651.41353014863932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193.84359939075702</v>
      </c>
      <c r="AV66" s="21">
        <f>EXP(-LN(2)/25)*AV65+(1-EXP(-LN(2)/25))/(LN(2)/25)*Calculateur!AQ66*Calculateur!AS66*VLOOKUP('Données projet'!$B$10,Paramètres!$A$1:$I$89,3,0)*0.475*44/12</f>
        <v>18.551672750543812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212.39527214130084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213.6</v>
      </c>
      <c r="BE66" s="13">
        <f>BD66*VLOOKUP('Données projet'!$B$11,Paramètres!$A$1:$I$89,3,0)*VLOOKUP('Données projet'!$B$11,Paramètres!$A$1:$I$89,5,0)</f>
        <v>186.60096000000001</v>
      </c>
      <c r="BF66" s="13">
        <f t="shared" si="37"/>
        <v>46.787685683664144</v>
      </c>
      <c r="BG66" s="20">
        <f t="shared" si="7"/>
        <v>406.48522456571504</v>
      </c>
      <c r="BH66" s="59">
        <f t="shared" si="8"/>
        <v>699.8185578990483</v>
      </c>
      <c r="BI66" s="59">
        <f ca="1">AVERAGE(OFFSET($BH$3,0,0,'Données projet'!$E$11+1,1))-AVERAGE(OFFSET($H$3,0,0,'Données projet'!$E$11+1,1))</f>
        <v>247.61330734992077</v>
      </c>
      <c r="BJ66" s="59">
        <f t="shared" si="38"/>
        <v>278.55937893537259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52.747195971038749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52.747195971038749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382.55387448074327</v>
      </c>
      <c r="T67" s="59">
        <f t="shared" si="34"/>
        <v>476.29465646955543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15.986445579588034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106.2738626240973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13.333333333333334</v>
      </c>
      <c r="AI67" s="13">
        <f>IF('Données projet'!$A$62&gt;35,AI66+AH67-AQ66,IF(A67&lt;'Données projet'!$A$62,$AF$205^A67,IF(A67='Données projet'!$A$62,'Données projet'!$B$62,AI66+AH67-AQ66)))</f>
        <v>475.33333333333297</v>
      </c>
      <c r="AJ67" s="13">
        <f>AI67*VLOOKUP('Données projet'!$B$10,Paramètres!$A$1:$I$89,3,0)*VLOOKUP('Données projet'!$B$10,Paramètres!$A$1:$I$89,5,0)</f>
        <v>259.53199999999981</v>
      </c>
      <c r="AK67" s="13">
        <f t="shared" si="35"/>
        <v>62.622608810743841</v>
      </c>
      <c r="AL67" s="20">
        <f t="shared" si="4"/>
        <v>561.08594367871183</v>
      </c>
      <c r="AM67" s="59">
        <f t="shared" si="5"/>
        <v>854.41927701204509</v>
      </c>
      <c r="AN67" s="59">
        <f ca="1">AVERAGE(OFFSET($AM$3,0,0,'Données projet'!$E$10+1,1))-AVERAGE(OFFSET($H$3,0,0,'Données projet'!$E$10+1,1))</f>
        <v>417.99456559608217</v>
      </c>
      <c r="AO67" s="59">
        <f t="shared" si="36"/>
        <v>651.41353014863932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190.04244463962536</v>
      </c>
      <c r="AV67" s="21">
        <f>EXP(-LN(2)/25)*AV66+(1-EXP(-LN(2)/25))/(LN(2)/25)*Calculateur!AQ67*Calculateur!AS67*VLOOKUP('Données projet'!$B$10,Paramètres!$A$1:$I$89,3,0)*0.475*44/12</f>
        <v>18.044376283590122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208.08682092321547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218.79999999999998</v>
      </c>
      <c r="BE67" s="13">
        <f>BD67*VLOOKUP('Données projet'!$B$11,Paramètres!$A$1:$I$89,3,0)*VLOOKUP('Données projet'!$B$11,Paramètres!$A$1:$I$89,5,0)</f>
        <v>191.14368000000002</v>
      </c>
      <c r="BF67" s="13">
        <f t="shared" si="37"/>
        <v>47.792715878069586</v>
      </c>
      <c r="BG67" s="20">
        <f t="shared" si="7"/>
        <v>416.14755615430454</v>
      </c>
      <c r="BH67" s="59">
        <f t="shared" si="8"/>
        <v>709.4808894876378</v>
      </c>
      <c r="BI67" s="59">
        <f ca="1">AVERAGE(OFFSET($BH$3,0,0,'Données projet'!$E$11+1,1))-AVERAGE(OFFSET($H$3,0,0,'Données projet'!$E$11+1,1))</f>
        <v>247.61330734992077</v>
      </c>
      <c r="BJ67" s="59">
        <f t="shared" si="38"/>
        <v>278.55937893537259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51.71285563065944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51.71285563065944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382.55387448074327</v>
      </c>
      <c r="T68" s="59">
        <f t="shared" si="34"/>
        <v>476.29465646955543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15.549295384523564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104.06623125067669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13.333333333333334</v>
      </c>
      <c r="AI68" s="13">
        <f>IF('Données projet'!$A$62&gt;35,AI67+AH68-AQ67,IF(A68&lt;'Données projet'!$A$62,$AF$205^A68,IF(A68='Données projet'!$A$62,'Données projet'!$B$62,AI67+AH68-AQ67)))</f>
        <v>488.66666666666629</v>
      </c>
      <c r="AJ68" s="13">
        <f>AI68*VLOOKUP('Données projet'!$B$10,Paramètres!$A$1:$I$89,3,0)*VLOOKUP('Données projet'!$B$10,Paramètres!$A$1:$I$89,5,0)</f>
        <v>266.81199999999978</v>
      </c>
      <c r="AK68" s="13">
        <f t="shared" si="35"/>
        <v>64.17222823668591</v>
      </c>
      <c r="AL68" s="20">
        <f t="shared" ref="AL68:AL131" si="58">(AJ68+AK68)*0.475*44/12</f>
        <v>576.46419751222754</v>
      </c>
      <c r="AM68" s="59">
        <f t="shared" ref="AM68:AM131" si="59">AL68+(AD68+AE68)*44/12</f>
        <v>869.79753084556091</v>
      </c>
      <c r="AN68" s="59">
        <f ca="1">AVERAGE(OFFSET($AM$3,0,0,'Données projet'!$E$10+1,1))-AVERAGE(OFFSET($H$3,0,0,'Données projet'!$E$10+1,1))</f>
        <v>417.99456559608217</v>
      </c>
      <c r="AO68" s="59">
        <f t="shared" si="36"/>
        <v>651.41353014863932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186.31582821468794</v>
      </c>
      <c r="AV68" s="21">
        <f>EXP(-LN(2)/25)*AV67+(1-EXP(-LN(2)/25))/(LN(2)/25)*Calculateur!AQ68*Calculateur!AS68*VLOOKUP('Données projet'!$B$10,Paramètres!$A$1:$I$89,3,0)*0.475*44/12</f>
        <v>17.55095186520284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203.86678007989079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224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223.99999999999997</v>
      </c>
      <c r="BE68" s="13">
        <f>BD68*VLOOKUP('Données projet'!$B$11,Paramètres!$A$1:$I$89,3,0)*VLOOKUP('Données projet'!$B$11,Paramètres!$A$1:$I$89,5,0)</f>
        <v>195.68639999999999</v>
      </c>
      <c r="BF68" s="13">
        <f t="shared" si="37"/>
        <v>48.794969360985156</v>
      </c>
      <c r="BG68" s="20">
        <f t="shared" ref="BG68:BG131" si="61">(BE68+BF68)*0.475*44/12</f>
        <v>425.80505163704908</v>
      </c>
      <c r="BH68" s="59">
        <f t="shared" ref="BH68:BH131" si="62">BG68+(AY68+AZ68)*44/12</f>
        <v>719.13838497038239</v>
      </c>
      <c r="BI68" s="59">
        <f ca="1">AVERAGE(OFFSET($BH$3,0,0,'Données projet'!$E$11+1,1))-AVERAGE(OFFSET($H$3,0,0,'Données projet'!$E$11+1,1))</f>
        <v>247.61330734992077</v>
      </c>
      <c r="BJ68" s="59">
        <f t="shared" si="38"/>
        <v>278.55937893537259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20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59.004152816085522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59.004152816085522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382.55387448074327</v>
      </c>
      <c r="T69" s="59">
        <f t="shared" ref="T69:T132" si="88">$T$3</f>
        <v>476.29465646955543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15.124099084531862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101.90527182834954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502</v>
      </c>
      <c r="AG69" s="12">
        <f>VLOOKUP(A69,'Données projet'!$A$61:$I$81,9,0)</f>
        <v>13.333333333333334</v>
      </c>
      <c r="AH69" s="12">
        <f t="array" ref="AH69">INDEX(AG:AG,MIN(IF(ISNUMBER(AG69:AG265),ROW(AG69:AG265),"")))</f>
        <v>13.333333333333334</v>
      </c>
      <c r="AI69" s="13">
        <f>IF('Données projet'!$A$62&gt;35,AI68+AH69-AQ68,IF(A69&lt;'Données projet'!$A$62,$AF$205^A69,IF(A69='Données projet'!$A$62,'Données projet'!$B$62,AI68+AH69-AQ68)))</f>
        <v>501.9999999999996</v>
      </c>
      <c r="AJ69" s="13">
        <f>AI69*VLOOKUP('Données projet'!$B$10,Paramètres!$A$1:$I$89,3,0)*VLOOKUP('Données projet'!$B$10,Paramètres!$A$1:$I$89,5,0)</f>
        <v>274.09199999999981</v>
      </c>
      <c r="AK69" s="13">
        <f t="shared" ref="AK69:AK132" si="89">EXP(-1.0587+0.8836*LN(AJ69)+0.284)</f>
        <v>65.716933251049639</v>
      </c>
      <c r="AL69" s="20">
        <f t="shared" si="58"/>
        <v>591.83389207891116</v>
      </c>
      <c r="AM69" s="59">
        <f t="shared" si="59"/>
        <v>885.16722541224453</v>
      </c>
      <c r="AN69" s="59">
        <f ca="1">AVERAGE(OFFSET($AM$3,0,0,'Données projet'!$E$10+1,1))-AVERAGE(OFFSET($H$3,0,0,'Données projet'!$E$10+1,1))</f>
        <v>417.99456559608217</v>
      </c>
      <c r="AO69" s="59">
        <f t="shared" ref="AO69:AO132" si="90">$AO$3</f>
        <v>651.41353014863932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109</v>
      </c>
      <c r="AR69" s="16">
        <f>IF(ISNA(VLOOKUP(A69,'Données projet'!$A$61:$I$81,5,0)),0%,VLOOKUP(A69,'Données projet'!$A$61:$I$81,5,0)*VLOOKUP('Données projet'!$B$10,Paramètres!$A$1:$I$89,7,0))</f>
        <v>0.6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230.03178266544924</v>
      </c>
      <c r="AV69" s="21">
        <f>EXP(-LN(2)/25)*AV68+(1-EXP(-LN(2)/25))/(LN(2)/25)*Calculateur!AQ69*Calculateur!AS69*VLOOKUP('Données projet'!$B$10,Paramètres!$A$1:$I$89,3,0)*0.475*44/12</f>
        <v>17.071020163484423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247.10280282893368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208.59999999999997</v>
      </c>
      <c r="BE69" s="13">
        <f>BD69*VLOOKUP('Données projet'!$B$11,Paramètres!$A$1:$I$89,3,0)*VLOOKUP('Données projet'!$B$11,Paramètres!$A$1:$I$89,5,0)</f>
        <v>182.23295999999999</v>
      </c>
      <c r="BF69" s="13">
        <f t="shared" ref="BF69:BF132" si="91">EXP(-1.0587+0.8836*LN(BE69)+0.284)</f>
        <v>45.818621592366291</v>
      </c>
      <c r="BG69" s="20">
        <f t="shared" si="61"/>
        <v>397.18983794003793</v>
      </c>
      <c r="BH69" s="59">
        <f t="shared" si="62"/>
        <v>690.52317127337119</v>
      </c>
      <c r="BI69" s="59">
        <f ca="1">AVERAGE(OFFSET($BH$3,0,0,'Données projet'!$E$11+1,1))-AVERAGE(OFFSET($H$3,0,0,'Données projet'!$E$11+1,1))</f>
        <v>247.61330734992077</v>
      </c>
      <c r="BJ69" s="59">
        <f t="shared" ref="BJ69:BJ132" si="92">$BJ$3</f>
        <v>278.55937893537259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57.847117368341685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57.847117368341685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382.55387448074327</v>
      </c>
      <c r="T70" s="59">
        <f t="shared" si="88"/>
        <v>476.29465646955543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14.710529799723533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99.789976677323793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11.666666666666666</v>
      </c>
      <c r="AI70" s="13">
        <f>IF('Données projet'!$A$62&gt;35,AI69+AH70-AQ69,IF(A70&lt;'Données projet'!$A$62,$AF$205^A70,IF(A70='Données projet'!$A$62,'Données projet'!$B$62,AI69+AH70-AQ69)))</f>
        <v>404.66666666666629</v>
      </c>
      <c r="AJ70" s="13">
        <f>AI70*VLOOKUP('Données projet'!$B$10,Paramètres!$A$1:$I$89,3,0)*VLOOKUP('Données projet'!$B$10,Paramètres!$A$1:$I$89,5,0)</f>
        <v>220.94799999999981</v>
      </c>
      <c r="AK70" s="13">
        <f t="shared" si="89"/>
        <v>54.320877246019023</v>
      </c>
      <c r="AL70" s="20">
        <f t="shared" si="58"/>
        <v>479.4266278701495</v>
      </c>
      <c r="AM70" s="59">
        <f t="shared" si="59"/>
        <v>772.75996120348282</v>
      </c>
      <c r="AN70" s="59">
        <f ca="1">AVERAGE(OFFSET($AM$3,0,0,'Données projet'!$E$10+1,1))-AVERAGE(OFFSET($H$3,0,0,'Données projet'!$E$10+1,1))</f>
        <v>417.99456559608217</v>
      </c>
      <c r="AO70" s="59">
        <f t="shared" si="90"/>
        <v>651.41353014863932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225.52099971291318</v>
      </c>
      <c r="AV70" s="21">
        <f>EXP(-LN(2)/25)*AV69+(1-EXP(-LN(2)/25))/(LN(2)/25)*Calculateur!AQ70*Calculateur!AS70*VLOOKUP('Données projet'!$B$10,Paramètres!$A$1:$I$89,3,0)*0.475*44/12</f>
        <v>16.604212219388007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242.1252119323012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213.19999999999996</v>
      </c>
      <c r="BE70" s="13">
        <f>BD70*VLOOKUP('Données projet'!$B$11,Paramètres!$A$1:$I$89,3,0)*VLOOKUP('Données projet'!$B$11,Paramètres!$A$1:$I$89,5,0)</f>
        <v>186.25152</v>
      </c>
      <c r="BF70" s="13">
        <f t="shared" si="91"/>
        <v>46.71025851515671</v>
      </c>
      <c r="BG70" s="20">
        <f t="shared" si="61"/>
        <v>405.74176424723129</v>
      </c>
      <c r="BH70" s="59">
        <f t="shared" si="62"/>
        <v>699.0750975805646</v>
      </c>
      <c r="BI70" s="59">
        <f ca="1">AVERAGE(OFFSET($BH$3,0,0,'Données projet'!$E$11+1,1))-AVERAGE(OFFSET($H$3,0,0,'Données projet'!$E$11+1,1))</f>
        <v>247.61330734992077</v>
      </c>
      <c r="BJ70" s="59">
        <f t="shared" si="92"/>
        <v>278.55937893537259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56.712770680006166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56.712770680006166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382.55387448074327</v>
      </c>
      <c r="T71" s="59">
        <f t="shared" si="88"/>
        <v>476.29465646955543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14.308269588756952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97.719360406426034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11.666666666666666</v>
      </c>
      <c r="AI71" s="13">
        <f>IF('Données projet'!$A$62&gt;35,AI70+AH71-AQ70,IF(A71&lt;'Données projet'!$A$62,$AF$205^A71,IF(A71='Données projet'!$A$62,'Données projet'!$B$62,AI70+AH71-AQ70)))</f>
        <v>416.33333333333297</v>
      </c>
      <c r="AJ71" s="13">
        <f>AI71*VLOOKUP('Données projet'!$B$10,Paramètres!$A$1:$I$89,3,0)*VLOOKUP('Données projet'!$B$10,Paramètres!$A$1:$I$89,5,0)</f>
        <v>227.31799999999981</v>
      </c>
      <c r="AK71" s="13">
        <f t="shared" si="89"/>
        <v>55.702375143541857</v>
      </c>
      <c r="AL71" s="20">
        <f t="shared" si="58"/>
        <v>492.92715337500175</v>
      </c>
      <c r="AM71" s="59">
        <f t="shared" si="59"/>
        <v>786.26048670833507</v>
      </c>
      <c r="AN71" s="59">
        <f ca="1">AVERAGE(OFFSET($AM$3,0,0,'Données projet'!$E$10+1,1))-AVERAGE(OFFSET($H$3,0,0,'Données projet'!$E$10+1,1))</f>
        <v>417.99456559608217</v>
      </c>
      <c r="AO71" s="59">
        <f t="shared" si="90"/>
        <v>651.41353014863932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221.09867046277043</v>
      </c>
      <c r="AV71" s="21">
        <f>EXP(-LN(2)/25)*AV70+(1-EXP(-LN(2)/25))/(LN(2)/25)*Calculateur!AQ71*Calculateur!AS71*VLOOKUP('Données projet'!$B$10,Paramètres!$A$1:$I$89,3,0)*0.475*44/12</f>
        <v>16.150169163071272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237.2488396258417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217.79999999999995</v>
      </c>
      <c r="BE71" s="13">
        <f>BD71*VLOOKUP('Données projet'!$B$11,Paramètres!$A$1:$I$89,3,0)*VLOOKUP('Données projet'!$B$11,Paramètres!$A$1:$I$89,5,0)</f>
        <v>190.27007999999998</v>
      </c>
      <c r="BF71" s="13">
        <f t="shared" si="91"/>
        <v>47.599658767320413</v>
      </c>
      <c r="BG71" s="20">
        <f t="shared" si="61"/>
        <v>414.28979501974965</v>
      </c>
      <c r="BH71" s="59">
        <f t="shared" si="62"/>
        <v>707.62312835308296</v>
      </c>
      <c r="BI71" s="59">
        <f ca="1">AVERAGE(OFFSET($BH$3,0,0,'Données projet'!$E$11+1,1))-AVERAGE(OFFSET($H$3,0,0,'Données projet'!$E$11+1,1))</f>
        <v>247.61330734992077</v>
      </c>
      <c r="BJ71" s="59">
        <f t="shared" si="92"/>
        <v>278.55937893537259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55.600667838345743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55.600667838345743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382.55387448074327</v>
      </c>
      <c r="T72" s="59">
        <f t="shared" si="88"/>
        <v>476.29465646955543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13.917009204413198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95.692459406889611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11.666666666666666</v>
      </c>
      <c r="AI72" s="13">
        <f>IF('Données projet'!$A$62&gt;35,AI71+AH72-AQ71,IF(A72&lt;'Données projet'!$A$62,$AF$205^A72,IF(A72='Données projet'!$A$62,'Données projet'!$B$62,AI71+AH72-AQ71)))</f>
        <v>427.99999999999966</v>
      </c>
      <c r="AJ72" s="13">
        <f>AI72*VLOOKUP('Données projet'!$B$10,Paramètres!$A$1:$I$89,3,0)*VLOOKUP('Données projet'!$B$10,Paramètres!$A$1:$I$89,5,0)</f>
        <v>233.68799999999982</v>
      </c>
      <c r="AK72" s="13">
        <f t="shared" si="89"/>
        <v>57.079373577094941</v>
      </c>
      <c r="AL72" s="20">
        <f t="shared" si="58"/>
        <v>506.41984231344003</v>
      </c>
      <c r="AM72" s="59">
        <f t="shared" si="59"/>
        <v>799.75317564677334</v>
      </c>
      <c r="AN72" s="59">
        <f ca="1">AVERAGE(OFFSET($AM$3,0,0,'Données projet'!$E$10+1,1))-AVERAGE(OFFSET($H$3,0,0,'Données projet'!$E$10+1,1))</f>
        <v>417.99456559608217</v>
      </c>
      <c r="AO72" s="59">
        <f t="shared" si="90"/>
        <v>651.41353014863932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216.76306039186846</v>
      </c>
      <c r="AV72" s="21">
        <f>EXP(-LN(2)/25)*AV71+(1-EXP(-LN(2)/25))/(LN(2)/25)*Calculateur!AQ72*Calculateur!AS72*VLOOKUP('Données projet'!$B$10,Paramètres!$A$1:$I$89,3,0)*0.475*44/12</f>
        <v>15.708541938006604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232.47160232987505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222.39999999999995</v>
      </c>
      <c r="BE72" s="13">
        <f>BD72*VLOOKUP('Données projet'!$B$11,Paramètres!$A$1:$I$89,3,0)*VLOOKUP('Données projet'!$B$11,Paramètres!$A$1:$I$89,5,0)</f>
        <v>194.28863999999999</v>
      </c>
      <c r="BF72" s="13">
        <f t="shared" si="91"/>
        <v>48.486875029770822</v>
      </c>
      <c r="BG72" s="20">
        <f t="shared" si="61"/>
        <v>422.83402201018413</v>
      </c>
      <c r="BH72" s="59">
        <f t="shared" si="62"/>
        <v>716.16735534351744</v>
      </c>
      <c r="BI72" s="59">
        <f ca="1">AVERAGE(OFFSET($BH$3,0,0,'Données projet'!$E$11+1,1))-AVERAGE(OFFSET($H$3,0,0,'Données projet'!$E$11+1,1))</f>
        <v>247.61330734992077</v>
      </c>
      <c r="BJ72" s="59">
        <f t="shared" si="92"/>
        <v>278.55937893537259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54.510372655094528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54.510372655094528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382.55387448074327</v>
      </c>
      <c r="T73" s="59">
        <f t="shared" si="88"/>
        <v>476.29465646955543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13.536447855854812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93.708331357960247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11.666666666666666</v>
      </c>
      <c r="AI73" s="13">
        <f>IF('Données projet'!$A$62&gt;35,AI72+AH73-AQ72,IF(A73&lt;'Données projet'!$A$62,$AF$205^A73,IF(A73='Données projet'!$A$62,'Données projet'!$B$62,AI72+AH73-AQ72)))</f>
        <v>439.66666666666634</v>
      </c>
      <c r="AJ73" s="13">
        <f>AI73*VLOOKUP('Données projet'!$B$10,Paramètres!$A$1:$I$89,3,0)*VLOOKUP('Données projet'!$B$10,Paramètres!$A$1:$I$89,5,0)</f>
        <v>240.05799999999982</v>
      </c>
      <c r="AK73" s="13">
        <f t="shared" si="89"/>
        <v>58.4520092892541</v>
      </c>
      <c r="AL73" s="20">
        <f t="shared" si="58"/>
        <v>519.90493284545062</v>
      </c>
      <c r="AM73" s="59">
        <f t="shared" si="59"/>
        <v>813.23826617878399</v>
      </c>
      <c r="AN73" s="59">
        <f ca="1">AVERAGE(OFFSET($AM$3,0,0,'Données projet'!$E$10+1,1))-AVERAGE(OFFSET($H$3,0,0,'Données projet'!$E$10+1,1))</f>
        <v>417.99456559608217</v>
      </c>
      <c r="AO73" s="59">
        <f t="shared" si="90"/>
        <v>651.41353014863932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212.51246898999588</v>
      </c>
      <c r="AV73" s="21">
        <f>EXP(-LN(2)/25)*AV72+(1-EXP(-LN(2)/25))/(LN(2)/25)*Calculateur!AQ73*Calculateur!AS73*VLOOKUP('Données projet'!$B$10,Paramètres!$A$1:$I$89,3,0)*0.475*44/12</f>
        <v>15.278991032635496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227.79146002263138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227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226.99999999999994</v>
      </c>
      <c r="BE73" s="13">
        <f>BD73*VLOOKUP('Données projet'!$B$11,Paramètres!$A$1:$I$89,3,0)*VLOOKUP('Données projet'!$B$11,Paramètres!$A$1:$I$89,5,0)</f>
        <v>198.30719999999997</v>
      </c>
      <c r="BF73" s="13">
        <f t="shared" si="91"/>
        <v>49.371957679623371</v>
      </c>
      <c r="BG73" s="20">
        <f t="shared" si="61"/>
        <v>431.37453295867726</v>
      </c>
      <c r="BH73" s="59">
        <f t="shared" si="62"/>
        <v>724.70786629201052</v>
      </c>
      <c r="BI73" s="59">
        <f ca="1">AVERAGE(OFFSET($BH$3,0,0,'Données projet'!$E$11+1,1))-AVERAGE(OFFSET($H$3,0,0,'Données projet'!$E$11+1,1))</f>
        <v>247.61330734992077</v>
      </c>
      <c r="BJ73" s="59">
        <f t="shared" si="92"/>
        <v>278.55937893537259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17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60.501009026595966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60.501009026595966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382.55387448074327</v>
      </c>
      <c r="T74" s="59">
        <f t="shared" si="88"/>
        <v>476.29465646955543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13.166292977385607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91.766054744035216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11.666666666666666</v>
      </c>
      <c r="AI74" s="13">
        <f>IF('Données projet'!$A$62&gt;35,AI73+AH74-AQ73,IF(A74&lt;'Données projet'!$A$62,$AF$205^A74,IF(A74='Données projet'!$A$62,'Données projet'!$B$62,AI73+AH74-AQ73)))</f>
        <v>451.33333333333303</v>
      </c>
      <c r="AJ74" s="13">
        <f>AI74*VLOOKUP('Données projet'!$B$10,Paramètres!$A$1:$I$89,3,0)*VLOOKUP('Données projet'!$B$10,Paramètres!$A$1:$I$89,5,0)</f>
        <v>246.42799999999983</v>
      </c>
      <c r="AK74" s="13">
        <f t="shared" si="89"/>
        <v>59.820411352369632</v>
      </c>
      <c r="AL74" s="20">
        <f t="shared" si="58"/>
        <v>533.38264977204346</v>
      </c>
      <c r="AM74" s="59">
        <f t="shared" si="59"/>
        <v>826.71598310537684</v>
      </c>
      <c r="AN74" s="59">
        <f ca="1">AVERAGE(OFFSET($AM$3,0,0,'Données projet'!$E$10+1,1))-AVERAGE(OFFSET($H$3,0,0,'Données projet'!$E$10+1,1))</f>
        <v>417.99456559608217</v>
      </c>
      <c r="AO74" s="59">
        <f t="shared" si="90"/>
        <v>651.41353014863932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208.34522909290925</v>
      </c>
      <c r="AV74" s="21">
        <f>EXP(-LN(2)/25)*AV73+(1-EXP(-LN(2)/25))/(LN(2)/25)*Calculateur!AQ74*Calculateur!AS74*VLOOKUP('Données projet'!$B$10,Paramètres!$A$1:$I$89,3,0)*0.475*44/12</f>
        <v>14.86118621936086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223.20641531227011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</v>
      </c>
      <c r="BD74" s="12">
        <f>IF('Données projet'!$A$88&gt;35,BD73+BC74-BL73,IF(A74&lt;'Données projet'!$A$88,$BA$205^A74,IF(A74='Données projet'!$A$88,'Données projet'!$B$88,BD73+BC74-BL73)))</f>
        <v>213.99999999999994</v>
      </c>
      <c r="BE74" s="13">
        <f>BD74*VLOOKUP('Données projet'!$B$11,Paramètres!$A$1:$I$89,3,0)*VLOOKUP('Données projet'!$B$11,Paramètres!$A$1:$I$89,5,0)</f>
        <v>186.95039999999997</v>
      </c>
      <c r="BF74" s="13">
        <f t="shared" si="91"/>
        <v>46.865095976617653</v>
      </c>
      <c r="BG74" s="20">
        <f t="shared" si="61"/>
        <v>407.22865549260905</v>
      </c>
      <c r="BH74" s="59">
        <f t="shared" si="62"/>
        <v>700.56198882594231</v>
      </c>
      <c r="BI74" s="59">
        <f ca="1">AVERAGE(OFFSET($BH$3,0,0,'Données projet'!$E$11+1,1))-AVERAGE(OFFSET($H$3,0,0,'Données projet'!$E$11+1,1))</f>
        <v>247.61330734992077</v>
      </c>
      <c r="BJ74" s="59">
        <f t="shared" si="92"/>
        <v>278.55937893537259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59.31462114155616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59.31462114155616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382.55387448074327</v>
      </c>
      <c r="T75" s="59">
        <f t="shared" si="88"/>
        <v>476.29465646955543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12.806260003533742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89.864728383060225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463</v>
      </c>
      <c r="AG75" s="12">
        <f>VLOOKUP(A75,'Données projet'!$A$61:$I$81,9,0)</f>
        <v>11.666666666666666</v>
      </c>
      <c r="AH75" s="12">
        <f t="array" ref="AH75">INDEX(AG:AG,MIN(IF(ISNUMBER(AG75:AG271),ROW(AG75:AG271),"")))</f>
        <v>11.666666666666666</v>
      </c>
      <c r="AI75" s="13">
        <f>IF('Données projet'!$A$62&gt;35,AI74+AH75-AQ74,IF(A75&lt;'Données projet'!$A$62,$AF$205^A75,IF(A75='Données projet'!$A$62,'Données projet'!$B$62,AI74+AH75-AQ74)))</f>
        <v>462.99999999999972</v>
      </c>
      <c r="AJ75" s="13">
        <f>AI75*VLOOKUP('Données projet'!$B$10,Paramètres!$A$1:$I$89,3,0)*VLOOKUP('Données projet'!$B$10,Paramètres!$A$1:$I$89,5,0)</f>
        <v>252.79799999999983</v>
      </c>
      <c r="AK75" s="13">
        <f t="shared" si="89"/>
        <v>61.184701785804393</v>
      </c>
      <c r="AL75" s="20">
        <f t="shared" si="58"/>
        <v>546.85320561027572</v>
      </c>
      <c r="AM75" s="59">
        <f t="shared" si="59"/>
        <v>840.18653894360909</v>
      </c>
      <c r="AN75" s="59">
        <f ca="1">AVERAGE(OFFSET($AM$3,0,0,'Données projet'!$E$10+1,1))-AVERAGE(OFFSET($H$3,0,0,'Données projet'!$E$10+1,1))</f>
        <v>417.99456559608217</v>
      </c>
      <c r="AO75" s="59">
        <f t="shared" si="90"/>
        <v>651.41353014863932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101</v>
      </c>
      <c r="AR75" s="16">
        <f>IF(ISNA(VLOOKUP(A75,'Données projet'!$A$61:$I$81,5,0)),0%,VLOOKUP(A75,'Données projet'!$A$61:$I$81,5,0)*VLOOKUP('Données projet'!$B$10,Paramètres!$A$1:$I$89,7,0))</f>
        <v>0.6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248.15254030424046</v>
      </c>
      <c r="AV75" s="21">
        <f>EXP(-LN(2)/25)*AV74+(1-EXP(-LN(2)/25))/(LN(2)/25)*Calculateur!AQ75*Calculateur!AS75*VLOOKUP('Données projet'!$B$10,Paramètres!$A$1:$I$89,3,0)*0.475*44/12</f>
        <v>14.454806300676619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262.6073466049171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</v>
      </c>
      <c r="BD75" s="12">
        <f>IF('Données projet'!$A$88&gt;35,BD74+BC75-BL74,IF(A75&lt;'Données projet'!$A$88,$BA$205^A75,IF(A75='Données projet'!$A$88,'Données projet'!$B$88,BD74+BC75-BL74)))</f>
        <v>217.99999999999994</v>
      </c>
      <c r="BE75" s="13">
        <f>BD75*VLOOKUP('Données projet'!$B$11,Paramètres!$A$1:$I$89,3,0)*VLOOKUP('Données projet'!$B$11,Paramètres!$A$1:$I$89,5,0)</f>
        <v>190.44479999999999</v>
      </c>
      <c r="BF75" s="13">
        <f t="shared" si="91"/>
        <v>47.638278428909231</v>
      </c>
      <c r="BG75" s="20">
        <f t="shared" si="61"/>
        <v>414.66136159701688</v>
      </c>
      <c r="BH75" s="59">
        <f t="shared" si="62"/>
        <v>707.99469493035019</v>
      </c>
      <c r="BI75" s="59">
        <f ca="1">AVERAGE(OFFSET($BH$3,0,0,'Données projet'!$E$11+1,1))-AVERAGE(OFFSET($H$3,0,0,'Données projet'!$E$11+1,1))</f>
        <v>247.61330734992077</v>
      </c>
      <c r="BJ75" s="59">
        <f t="shared" si="92"/>
        <v>278.55937893537259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58.151497599316826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58.151497599316826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382.55387448074327</v>
      </c>
      <c r="T76" s="59">
        <f t="shared" si="88"/>
        <v>476.29465646955543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12.456072150285168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88.003470965913891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10.666666666666666</v>
      </c>
      <c r="AI76" s="13">
        <f>IF('Données projet'!$A$62&gt;35,AI75+AH76-AQ75,IF(A76&lt;'Données projet'!$A$62,$AF$205^A76,IF(A76='Données projet'!$A$62,'Données projet'!$B$62,AI75+AH76-AQ75)))</f>
        <v>372.6666666666664</v>
      </c>
      <c r="AJ76" s="13">
        <f>AI76*VLOOKUP('Données projet'!$B$10,Paramètres!$A$1:$I$89,3,0)*VLOOKUP('Données projet'!$B$10,Paramètres!$A$1:$I$89,5,0)</f>
        <v>203.47599999999989</v>
      </c>
      <c r="AK76" s="13">
        <f t="shared" si="89"/>
        <v>50.507319552656533</v>
      </c>
      <c r="AL76" s="20">
        <f t="shared" si="58"/>
        <v>442.35428155420988</v>
      </c>
      <c r="AM76" s="59">
        <f t="shared" si="59"/>
        <v>735.68761488754319</v>
      </c>
      <c r="AN76" s="59">
        <f ca="1">AVERAGE(OFFSET($AM$3,0,0,'Données projet'!$E$10+1,1))-AVERAGE(OFFSET($H$3,0,0,'Données projet'!$E$10+1,1))</f>
        <v>417.99456559608217</v>
      </c>
      <c r="AO76" s="59">
        <f t="shared" si="90"/>
        <v>651.41353014863932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243.28642034697853</v>
      </c>
      <c r="AV76" s="21">
        <f>EXP(-LN(2)/25)*AV75+(1-EXP(-LN(2)/25))/(LN(2)/25)*Calculateur!AQ76*Calculateur!AS76*VLOOKUP('Données projet'!$B$10,Paramètres!$A$1:$I$89,3,0)*0.475*44/12</f>
        <v>14.059538862239391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257.34595920921794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</v>
      </c>
      <c r="BD76" s="12">
        <f>IF('Données projet'!$A$88&gt;35,BD75+BC76-BL75,IF(A76&lt;'Données projet'!$A$88,$BA$205^A76,IF(A76='Données projet'!$A$88,'Données projet'!$B$88,BD75+BC76-BL75)))</f>
        <v>221.99999999999994</v>
      </c>
      <c r="BE76" s="13">
        <f>BD76*VLOOKUP('Données projet'!$B$11,Paramètres!$A$1:$I$89,3,0)*VLOOKUP('Données projet'!$B$11,Paramètres!$A$1:$I$89,5,0)</f>
        <v>193.93919999999997</v>
      </c>
      <c r="BF76" s="13">
        <f t="shared" si="91"/>
        <v>48.409811198069342</v>
      </c>
      <c r="BG76" s="20">
        <f t="shared" si="61"/>
        <v>422.091194503304</v>
      </c>
      <c r="BH76" s="59">
        <f t="shared" si="62"/>
        <v>715.42452783663725</v>
      </c>
      <c r="BI76" s="59">
        <f ca="1">AVERAGE(OFFSET($BH$3,0,0,'Données projet'!$E$11+1,1))-AVERAGE(OFFSET($H$3,0,0,'Données projet'!$E$11+1,1))</f>
        <v>247.61330734992077</v>
      </c>
      <c r="BJ76" s="59">
        <f t="shared" si="92"/>
        <v>278.55937893537259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57.011182200305498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57.011182200305498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382.55387448074327</v>
      </c>
      <c r="T77" s="59">
        <f t="shared" si="88"/>
        <v>476.29465646955543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12.115460202299255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86.181420606516824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10.666666666666666</v>
      </c>
      <c r="AI77" s="13">
        <f>IF('Données projet'!$A$62&gt;35,AI76+AH77-AQ76,IF(A77&lt;'Données projet'!$A$62,$AF$205^A77,IF(A77='Données projet'!$A$62,'Données projet'!$B$62,AI76+AH77-AQ76)))</f>
        <v>383.33333333333309</v>
      </c>
      <c r="AJ77" s="13">
        <f>AI77*VLOOKUP('Données projet'!$B$10,Paramètres!$A$1:$I$89,3,0)*VLOOKUP('Données projet'!$B$10,Paramètres!$A$1:$I$89,5,0)</f>
        <v>209.29999999999987</v>
      </c>
      <c r="AK77" s="13">
        <f t="shared" si="89"/>
        <v>51.782588373964714</v>
      </c>
      <c r="AL77" s="20">
        <f t="shared" si="58"/>
        <v>454.71884141798836</v>
      </c>
      <c r="AM77" s="59">
        <f t="shared" si="59"/>
        <v>748.05217475132167</v>
      </c>
      <c r="AN77" s="59">
        <f ca="1">AVERAGE(OFFSET($AM$3,0,0,'Données projet'!$E$10+1,1))-AVERAGE(OFFSET($H$3,0,0,'Données projet'!$E$10+1,1))</f>
        <v>417.99456559608217</v>
      </c>
      <c r="AO77" s="59">
        <f t="shared" si="90"/>
        <v>651.41353014863932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238.51572203403839</v>
      </c>
      <c r="AV77" s="21">
        <f>EXP(-LN(2)/25)*AV76+(1-EXP(-LN(2)/25))/(LN(2)/25)*Calculateur!AQ77*Calculateur!AS77*VLOOKUP('Données projet'!$B$10,Paramètres!$A$1:$I$89,3,0)*0.475*44/12</f>
        <v>13.67508003269244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252.19080206673084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</v>
      </c>
      <c r="BD77" s="12">
        <f>IF('Données projet'!$A$88&gt;35,BD76+BC77-BL76,IF(A77&lt;'Données projet'!$A$88,$BA$205^A77,IF(A77='Données projet'!$A$88,'Données projet'!$B$88,BD76+BC77-BL76)))</f>
        <v>225.99999999999994</v>
      </c>
      <c r="BE77" s="13">
        <f>BD77*VLOOKUP('Données projet'!$B$11,Paramètres!$A$1:$I$89,3,0)*VLOOKUP('Données projet'!$B$11,Paramètres!$A$1:$I$89,5,0)</f>
        <v>197.43359999999996</v>
      </c>
      <c r="BF77" s="13">
        <f t="shared" si="91"/>
        <v>49.179727436837609</v>
      </c>
      <c r="BG77" s="20">
        <f t="shared" si="61"/>
        <v>429.51821195249204</v>
      </c>
      <c r="BH77" s="59">
        <f t="shared" si="62"/>
        <v>722.8515452858253</v>
      </c>
      <c r="BI77" s="59">
        <f ca="1">AVERAGE(OFFSET($BH$3,0,0,'Données projet'!$E$11+1,1))-AVERAGE(OFFSET($H$3,0,0,'Données projet'!$E$11+1,1))</f>
        <v>247.61330734992077</v>
      </c>
      <c r="BJ77" s="59">
        <f t="shared" si="92"/>
        <v>278.55937893537259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55.893227690745064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55.893227690745064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382.55387448074327</v>
      </c>
      <c r="T78" s="59">
        <f t="shared" si="88"/>
        <v>476.29465646955543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11.78416230594302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84.397734402408986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10.666666666666666</v>
      </c>
      <c r="AI78" s="13">
        <f>IF('Données projet'!$A$62&gt;35,AI77+AH78-AQ77,IF(A78&lt;'Données projet'!$A$62,$AF$205^A78,IF(A78='Données projet'!$A$62,'Données projet'!$B$62,AI77+AH78-AQ77)))</f>
        <v>393.99999999999977</v>
      </c>
      <c r="AJ78" s="13">
        <f>AI78*VLOOKUP('Données projet'!$B$10,Paramètres!$A$1:$I$89,3,0)*VLOOKUP('Données projet'!$B$10,Paramètres!$A$1:$I$89,5,0)</f>
        <v>215.12399999999988</v>
      </c>
      <c r="AK78" s="13">
        <f t="shared" si="89"/>
        <v>53.053732774689756</v>
      </c>
      <c r="AL78" s="20">
        <f t="shared" si="58"/>
        <v>467.07621791591777</v>
      </c>
      <c r="AM78" s="59">
        <f t="shared" si="59"/>
        <v>760.40955124925108</v>
      </c>
      <c r="AN78" s="59">
        <f ca="1">AVERAGE(OFFSET($AM$3,0,0,'Données projet'!$E$10+1,1))-AVERAGE(OFFSET($H$3,0,0,'Données projet'!$E$10+1,1))</f>
        <v>417.99456559608217</v>
      </c>
      <c r="AO78" s="59">
        <f t="shared" si="90"/>
        <v>651.41353014863932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233.83857420517637</v>
      </c>
      <c r="AV78" s="21">
        <f>EXP(-LN(2)/25)*AV77+(1-EXP(-LN(2)/25))/(LN(2)/25)*Calculateur!AQ78*Calculateur!AS78*VLOOKUP('Données projet'!$B$10,Paramètres!$A$1:$I$89,3,0)*0.475*44/12</f>
        <v>13.301134250057261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247.13970845523363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230</v>
      </c>
      <c r="BB78" s="12">
        <f>VLOOKUP(A78,'Données projet'!$A$87:$I$107,9,0)</f>
        <v>4</v>
      </c>
      <c r="BC78" s="12">
        <f t="array" ref="BC78">INDEX(BB:BB,MIN(IF(ISNUMBER(BB78:BB274),ROW(BB78:BB274),"")))</f>
        <v>4</v>
      </c>
      <c r="BD78" s="12">
        <f>IF('Données projet'!$A$88&gt;35,BD77+BC78-BL77,IF(A78&lt;'Données projet'!$A$88,$BA$205^A78,IF(A78='Données projet'!$A$88,'Données projet'!$B$88,BD77+BC78-BL77)))</f>
        <v>229.99999999999994</v>
      </c>
      <c r="BE78" s="13">
        <f>BD78*VLOOKUP('Données projet'!$B$11,Paramètres!$A$1:$I$89,3,0)*VLOOKUP('Données projet'!$B$11,Paramètres!$A$1:$I$89,5,0)</f>
        <v>200.92799999999997</v>
      </c>
      <c r="BF78" s="13">
        <f t="shared" si="91"/>
        <v>49.948059057189042</v>
      </c>
      <c r="BG78" s="20">
        <f t="shared" si="61"/>
        <v>436.94246952460418</v>
      </c>
      <c r="BH78" s="59">
        <f t="shared" si="62"/>
        <v>730.27580285793749</v>
      </c>
      <c r="BI78" s="59">
        <f ca="1">AVERAGE(OFFSET($BH$3,0,0,'Données projet'!$E$11+1,1))-AVERAGE(OFFSET($H$3,0,0,'Données projet'!$E$11+1,1))</f>
        <v>247.61330734992077</v>
      </c>
      <c r="BJ78" s="59">
        <f t="shared" si="92"/>
        <v>278.55937893537259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15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61.026211644194092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61.026211644194092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382.55387448074327</v>
      </c>
      <c r="T79" s="59">
        <f t="shared" si="88"/>
        <v>476.29465646955543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11.461923767984846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82.651588005544838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10.666666666666666</v>
      </c>
      <c r="AI79" s="13">
        <f>IF('Données projet'!$A$62&gt;35,AI78+AH79-AQ78,IF(A79&lt;'Données projet'!$A$62,$AF$205^A79,IF(A79='Données projet'!$A$62,'Données projet'!$B$62,AI78+AH79-AQ78)))</f>
        <v>404.66666666666646</v>
      </c>
      <c r="AJ79" s="13">
        <f>AI79*VLOOKUP('Données projet'!$B$10,Paramètres!$A$1:$I$89,3,0)*VLOOKUP('Données projet'!$B$10,Paramètres!$A$1:$I$89,5,0)</f>
        <v>220.94799999999987</v>
      </c>
      <c r="AK79" s="13">
        <f t="shared" si="89"/>
        <v>54.320877246019023</v>
      </c>
      <c r="AL79" s="20">
        <f t="shared" si="58"/>
        <v>479.4266278701495</v>
      </c>
      <c r="AM79" s="59">
        <f t="shared" si="59"/>
        <v>772.75996120348282</v>
      </c>
      <c r="AN79" s="59">
        <f ca="1">AVERAGE(OFFSET($AM$3,0,0,'Données projet'!$E$10+1,1))-AVERAGE(OFFSET($H$3,0,0,'Données projet'!$E$10+1,1))</f>
        <v>417.99456559608217</v>
      </c>
      <c r="AO79" s="59">
        <f t="shared" si="90"/>
        <v>651.41353014863932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229.25314239245984</v>
      </c>
      <c r="AV79" s="21">
        <f>EXP(-LN(2)/25)*AV78+(1-EXP(-LN(2)/25))/(LN(2)/25)*Calculateur!AQ79*Calculateur!AS79*VLOOKUP('Données projet'!$B$10,Paramètres!$A$1:$I$89,3,0)*0.475*44/12</f>
        <v>12.937414034513196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242.19055642697305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3.4</v>
      </c>
      <c r="BD79" s="12">
        <f>IF('Données projet'!$A$88&gt;35,BD78+BC79-BL78,IF(A79&lt;'Données projet'!$A$88,$BA$205^A79,IF(A79='Données projet'!$A$88,'Données projet'!$B$88,BD78+BC79-BL78)))</f>
        <v>218.39999999999995</v>
      </c>
      <c r="BE79" s="13">
        <f>BD79*VLOOKUP('Données projet'!$B$11,Paramètres!$A$1:$I$89,3,0)*VLOOKUP('Données projet'!$B$11,Paramètres!$A$1:$I$89,5,0)</f>
        <v>190.79423999999997</v>
      </c>
      <c r="BF79" s="13">
        <f t="shared" si="91"/>
        <v>47.715505384501107</v>
      </c>
      <c r="BG79" s="20">
        <f t="shared" si="61"/>
        <v>415.40447321133934</v>
      </c>
      <c r="BH79" s="59">
        <f t="shared" si="62"/>
        <v>708.73780654467259</v>
      </c>
      <c r="BI79" s="59">
        <f ca="1">AVERAGE(OFFSET($BH$3,0,0,'Données projet'!$E$11+1,1))-AVERAGE(OFFSET($H$3,0,0,'Données projet'!$E$11+1,1))</f>
        <v>247.61330734992077</v>
      </c>
      <c r="BJ79" s="59">
        <f t="shared" si="92"/>
        <v>278.55937893537259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59.82952485616515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59.82952485616515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382.55387448074327</v>
      </c>
      <c r="T80" s="59">
        <f t="shared" si="88"/>
        <v>476.29465646955543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11.148496859792926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80.94217520306205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10.666666666666666</v>
      </c>
      <c r="AI80" s="13">
        <f>IF('Données projet'!$A$62&gt;35,AI79+AH80-AQ79,IF(A80&lt;'Données projet'!$A$62,$AF$205^A80,IF(A80='Données projet'!$A$62,'Données projet'!$B$62,AI79+AH80-AQ79)))</f>
        <v>415.33333333333314</v>
      </c>
      <c r="AJ80" s="13">
        <f>AI80*VLOOKUP('Données projet'!$B$10,Paramètres!$A$1:$I$89,3,0)*VLOOKUP('Données projet'!$B$10,Paramètres!$A$1:$I$89,5,0)</f>
        <v>226.77199999999991</v>
      </c>
      <c r="AK80" s="13">
        <f t="shared" si="89"/>
        <v>55.58413934243174</v>
      </c>
      <c r="AL80" s="20">
        <f t="shared" si="58"/>
        <v>491.77027602140174</v>
      </c>
      <c r="AM80" s="59">
        <f t="shared" si="59"/>
        <v>785.103609354735</v>
      </c>
      <c r="AN80" s="59">
        <f ca="1">AVERAGE(OFFSET($AM$3,0,0,'Données projet'!$E$10+1,1))-AVERAGE(OFFSET($H$3,0,0,'Données projet'!$E$10+1,1))</f>
        <v>417.99456559608217</v>
      </c>
      <c r="AO80" s="59">
        <f t="shared" si="90"/>
        <v>651.41353014863932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224.75762810075344</v>
      </c>
      <c r="AV80" s="21">
        <f>EXP(-LN(2)/25)*AV79+(1-EXP(-LN(2)/25))/(LN(2)/25)*Calculateur!AQ80*Calculateur!AS80*VLOOKUP('Données projet'!$B$10,Paramètres!$A$1:$I$89,3,0)*0.475*44/12</f>
        <v>12.583639767390398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237.34126786814383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3.4</v>
      </c>
      <c r="BD80" s="12">
        <f>IF('Données projet'!$A$88&gt;35,BD79+BC80-BL79,IF(A80&lt;'Données projet'!$A$88,$BA$205^A80,IF(A80='Données projet'!$A$88,'Données projet'!$B$88,BD79+BC80-BL79)))</f>
        <v>221.79999999999995</v>
      </c>
      <c r="BE80" s="13">
        <f>BD80*VLOOKUP('Données projet'!$B$11,Paramètres!$A$1:$I$89,3,0)*VLOOKUP('Données projet'!$B$11,Paramètres!$A$1:$I$89,5,0)</f>
        <v>193.76447999999999</v>
      </c>
      <c r="BF80" s="13">
        <f t="shared" si="91"/>
        <v>48.371273222646451</v>
      </c>
      <c r="BG80" s="20">
        <f t="shared" si="61"/>
        <v>421.71977019610921</v>
      </c>
      <c r="BH80" s="59">
        <f t="shared" si="62"/>
        <v>715.05310352944252</v>
      </c>
      <c r="BI80" s="59">
        <f ca="1">AVERAGE(OFFSET($BH$3,0,0,'Données projet'!$E$11+1,1))-AVERAGE(OFFSET($H$3,0,0,'Données projet'!$E$11+1,1))</f>
        <v>247.61330734992077</v>
      </c>
      <c r="BJ80" s="59">
        <f t="shared" si="92"/>
        <v>278.55937893537259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58.656304366142585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58.656304366142585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382.55387448074327</v>
      </c>
      <c r="T81" s="59">
        <f t="shared" si="88"/>
        <v>476.29465646955543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10.84364062688792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79.268707507785891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426</v>
      </c>
      <c r="AG81" s="12">
        <f>VLOOKUP(A81,'Données projet'!$A$61:$I$81,9,0)</f>
        <v>10.666666666666666</v>
      </c>
      <c r="AH81" s="12">
        <f t="array" ref="AH81">INDEX(AG:AG,MIN(IF(ISNUMBER(AG81:AG277),ROW(AG81:AG277),"")))</f>
        <v>10.666666666666666</v>
      </c>
      <c r="AI81" s="13">
        <f>IF('Données projet'!$A$62&gt;35,AI80+AH81-AQ80,IF(A81&lt;'Données projet'!$A$62,$AF$205^A81,IF(A81='Données projet'!$A$62,'Données projet'!$B$62,AI80+AH81-AQ80)))</f>
        <v>425.99999999999983</v>
      </c>
      <c r="AJ81" s="13">
        <f>AI81*VLOOKUP('Données projet'!$B$10,Paramètres!$A$1:$I$89,3,0)*VLOOKUP('Données projet'!$B$10,Paramètres!$A$1:$I$89,5,0)</f>
        <v>232.59599999999992</v>
      </c>
      <c r="AK81" s="13">
        <f t="shared" si="89"/>
        <v>56.843630236302218</v>
      </c>
      <c r="AL81" s="20">
        <f t="shared" si="58"/>
        <v>504.10735599489294</v>
      </c>
      <c r="AM81" s="59">
        <f t="shared" si="59"/>
        <v>797.4406893282262</v>
      </c>
      <c r="AN81" s="59">
        <f ca="1">AVERAGE(OFFSET($AM$3,0,0,'Données projet'!$E$10+1,1))-AVERAGE(OFFSET($H$3,0,0,'Données projet'!$E$10+1,1))</f>
        <v>417.99456559608217</v>
      </c>
      <c r="AO81" s="59">
        <f t="shared" si="90"/>
        <v>651.41353014863932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220.35026810231443</v>
      </c>
      <c r="AV81" s="21">
        <f>EXP(-LN(2)/25)*AV80+(1-EXP(-LN(2)/25))/(LN(2)/25)*Calculateur!AQ81*Calculateur!AS81*VLOOKUP('Données projet'!$B$10,Paramètres!$A$1:$I$89,3,0)*0.475*44/12</f>
        <v>12.239539476206252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232.58980757852069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3.4</v>
      </c>
      <c r="BD81" s="12">
        <f>IF('Données projet'!$A$88&gt;35,BD80+BC81-BL80,IF(A81&lt;'Données projet'!$A$88,$BA$205^A81,IF(A81='Données projet'!$A$88,'Données projet'!$B$88,BD80+BC81-BL80)))</f>
        <v>225.19999999999996</v>
      </c>
      <c r="BE81" s="13">
        <f>BD81*VLOOKUP('Données projet'!$B$11,Paramètres!$A$1:$I$89,3,0)*VLOOKUP('Données projet'!$B$11,Paramètres!$A$1:$I$89,5,0)</f>
        <v>196.73472000000001</v>
      </c>
      <c r="BF81" s="13">
        <f t="shared" si="91"/>
        <v>49.025871962429896</v>
      </c>
      <c r="BG81" s="20">
        <f t="shared" si="61"/>
        <v>428.03303100123208</v>
      </c>
      <c r="BH81" s="59">
        <f t="shared" si="62"/>
        <v>721.36636433456533</v>
      </c>
      <c r="BI81" s="59">
        <f ca="1">AVERAGE(OFFSET($BH$3,0,0,'Données projet'!$E$11+1,1))-AVERAGE(OFFSET($H$3,0,0,'Données projet'!$E$11+1,1))</f>
        <v>247.61330734992077</v>
      </c>
      <c r="BJ81" s="59">
        <f t="shared" si="92"/>
        <v>278.55937893537259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57.506090014335527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57.506090014335527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382.55387448074327</v>
      </c>
      <c r="T82" s="59">
        <f t="shared" si="88"/>
        <v>476.29465646955543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10.547120703703392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77.630413758236756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425.99999999999983</v>
      </c>
      <c r="AJ82" s="13">
        <f>AI82*VLOOKUP('Données projet'!$B$10,Paramètres!$A$1:$I$89,3,0)*VLOOKUP('Données projet'!$B$10,Paramètres!$A$1:$I$89,5,0)</f>
        <v>232.59599999999992</v>
      </c>
      <c r="AK82" s="13">
        <f t="shared" si="89"/>
        <v>56.843630236302218</v>
      </c>
      <c r="AL82" s="20">
        <f t="shared" si="58"/>
        <v>504.10735599489294</v>
      </c>
      <c r="AM82" s="59">
        <f t="shared" si="59"/>
        <v>797.4406893282262</v>
      </c>
      <c r="AN82" s="59">
        <f ca="1">AVERAGE(OFFSET($AM$3,0,0,'Données projet'!$E$10+1,1))-AVERAGE(OFFSET($H$3,0,0,'Données projet'!$E$10+1,1))</f>
        <v>417.99456559608217</v>
      </c>
      <c r="AO82" s="59">
        <f t="shared" si="90"/>
        <v>651.41353014863932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216.02933374522064</v>
      </c>
      <c r="AV82" s="21">
        <f>EXP(-LN(2)/25)*AV81+(1-EXP(-LN(2)/25))/(LN(2)/25)*Calculateur!AQ82*Calculateur!AS82*VLOOKUP('Données projet'!$B$10,Paramètres!$A$1:$I$89,3,0)*0.475*44/12</f>
        <v>11.904848625579985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227.93418237080061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3.4</v>
      </c>
      <c r="BD82" s="12">
        <f>IF('Données projet'!$A$88&gt;35,BD81+BC82-BL81,IF(A82&lt;'Données projet'!$A$88,$BA$205^A82,IF(A82='Données projet'!$A$88,'Données projet'!$B$88,BD81+BC82-BL81)))</f>
        <v>228.59999999999997</v>
      </c>
      <c r="BE82" s="13">
        <f>BD82*VLOOKUP('Données projet'!$B$11,Paramètres!$A$1:$I$89,3,0)*VLOOKUP('Données projet'!$B$11,Paramètres!$A$1:$I$89,5,0)</f>
        <v>199.70496</v>
      </c>
      <c r="BF82" s="13">
        <f t="shared" si="91"/>
        <v>49.679321293278612</v>
      </c>
      <c r="BG82" s="20">
        <f t="shared" si="61"/>
        <v>434.34428991912688</v>
      </c>
      <c r="BH82" s="59">
        <f t="shared" si="62"/>
        <v>727.67762325246019</v>
      </c>
      <c r="BI82" s="59">
        <f ca="1">AVERAGE(OFFSET($BH$3,0,0,'Données projet'!$E$11+1,1))-AVERAGE(OFFSET($H$3,0,0,'Données projet'!$E$11+1,1))</f>
        <v>247.61330734992077</v>
      </c>
      <c r="BJ82" s="59">
        <f t="shared" si="92"/>
        <v>278.55937893537259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56.378430664405926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56.378430664405926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382.55387448074327</v>
      </c>
      <c r="T83" s="59">
        <f t="shared" si="88"/>
        <v>476.29465646955543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10.258709133411651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76.026539727914184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425.99999999999983</v>
      </c>
      <c r="AJ83" s="13">
        <f>AI83*VLOOKUP('Données projet'!$B$10,Paramètres!$A$1:$I$89,3,0)*VLOOKUP('Données projet'!$B$10,Paramètres!$A$1:$I$89,5,0)</f>
        <v>232.59599999999992</v>
      </c>
      <c r="AK83" s="13">
        <f t="shared" si="89"/>
        <v>56.843630236302218</v>
      </c>
      <c r="AL83" s="20">
        <f t="shared" si="58"/>
        <v>504.10735599489294</v>
      </c>
      <c r="AM83" s="59">
        <f t="shared" si="59"/>
        <v>797.4406893282262</v>
      </c>
      <c r="AN83" s="59">
        <f ca="1">AVERAGE(OFFSET($AM$3,0,0,'Données projet'!$E$10+1,1))-AVERAGE(OFFSET($H$3,0,0,'Données projet'!$E$10+1,1))</f>
        <v>417.99456559608217</v>
      </c>
      <c r="AO83" s="59">
        <f t="shared" si="90"/>
        <v>651.41353014863932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211.79313027535974</v>
      </c>
      <c r="AV83" s="21">
        <f>EXP(-LN(2)/25)*AV82+(1-EXP(-LN(2)/25))/(LN(2)/25)*Calculateur!AQ83*Calculateur!AS83*VLOOKUP('Données projet'!$B$10,Paramètres!$A$1:$I$89,3,0)*0.475*44/12</f>
        <v>11.579309913864721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223.37244018922448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232</v>
      </c>
      <c r="BB83" s="12">
        <f>VLOOKUP(A83,'Données projet'!$A$87:$I$107,9,0)</f>
        <v>3.4</v>
      </c>
      <c r="BC83" s="12">
        <f t="array" ref="BC83">INDEX(BB:BB,MIN(IF(ISNUMBER(BB83:BB279),ROW(BB83:BB279),"")))</f>
        <v>3.4</v>
      </c>
      <c r="BD83" s="12">
        <f>IF('Données projet'!$A$88&gt;35,BD82+BC83-BL82,IF(A83&lt;'Données projet'!$A$88,$BA$205^A83,IF(A83='Données projet'!$A$88,'Données projet'!$B$88,BD82+BC83-BL82)))</f>
        <v>231.99999999999997</v>
      </c>
      <c r="BE83" s="13">
        <f>BD83*VLOOKUP('Données projet'!$B$11,Paramètres!$A$1:$I$89,3,0)*VLOOKUP('Données projet'!$B$11,Paramètres!$A$1:$I$89,5,0)</f>
        <v>202.67519999999999</v>
      </c>
      <c r="BF83" s="13">
        <f t="shared" si="91"/>
        <v>50.33164028531364</v>
      </c>
      <c r="BG83" s="20">
        <f t="shared" si="61"/>
        <v>440.65358016358783</v>
      </c>
      <c r="BH83" s="59">
        <f t="shared" si="62"/>
        <v>733.98691349692115</v>
      </c>
      <c r="BI83" s="59">
        <f ca="1">AVERAGE(OFFSET($BH$3,0,0,'Données projet'!$E$11+1,1))-AVERAGE(OFFSET($H$3,0,0,'Données projet'!$E$11+1,1))</f>
        <v>247.61330734992077</v>
      </c>
      <c r="BJ83" s="59">
        <f t="shared" si="92"/>
        <v>278.55937893537259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60.671364609224469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60.671364609224469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382.55387448074327</v>
      </c>
      <c r="T84" s="59">
        <f t="shared" si="88"/>
        <v>476.29465646955543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9.9781841926764425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74.456347743636456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425.99999999999983</v>
      </c>
      <c r="AJ84" s="13">
        <f>AI84*VLOOKUP('Données projet'!$B$10,Paramètres!$A$1:$I$89,3,0)*VLOOKUP('Données projet'!$B$10,Paramètres!$A$1:$I$89,5,0)</f>
        <v>232.59599999999992</v>
      </c>
      <c r="AK84" s="13">
        <f t="shared" si="89"/>
        <v>56.843630236302218</v>
      </c>
      <c r="AL84" s="20">
        <f t="shared" si="58"/>
        <v>504.10735599489294</v>
      </c>
      <c r="AM84" s="59">
        <f t="shared" si="59"/>
        <v>797.4406893282262</v>
      </c>
      <c r="AN84" s="59">
        <f ca="1">AVERAGE(OFFSET($AM$3,0,0,'Données projet'!$E$10+1,1))-AVERAGE(OFFSET($H$3,0,0,'Données projet'!$E$10+1,1))</f>
        <v>417.99456559608217</v>
      </c>
      <c r="AO84" s="59">
        <f t="shared" si="90"/>
        <v>651.41353014863932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207.63999617171385</v>
      </c>
      <c r="AV84" s="21">
        <f>EXP(-LN(2)/25)*AV83+(1-EXP(-LN(2)/25))/(LN(2)/25)*Calculateur!AQ84*Calculateur!AS84*VLOOKUP('Données projet'!$B$10,Paramètres!$A$1:$I$89,3,0)*0.475*44/12</f>
        <v>11.262673075340647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218.90266924705449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</v>
      </c>
      <c r="BD84" s="12">
        <f>IF('Données projet'!$A$88&gt;35,BD83+BC84-BL83,IF(A84&lt;'Données projet'!$A$88,$BA$205^A84,IF(A84='Données projet'!$A$88,'Données projet'!$B$88,BD83+BC84-BL83)))</f>
        <v>221.99999999999997</v>
      </c>
      <c r="BE84" s="13">
        <f>BD84*VLOOKUP('Données projet'!$B$11,Paramètres!$A$1:$I$89,3,0)*VLOOKUP('Données projet'!$B$11,Paramètres!$A$1:$I$89,5,0)</f>
        <v>193.9392</v>
      </c>
      <c r="BF84" s="13">
        <f t="shared" si="91"/>
        <v>48.409811198069384</v>
      </c>
      <c r="BG84" s="20">
        <f t="shared" si="61"/>
        <v>422.09119450330417</v>
      </c>
      <c r="BH84" s="59">
        <f t="shared" si="62"/>
        <v>715.42452783663748</v>
      </c>
      <c r="BI84" s="59">
        <f ca="1">AVERAGE(OFFSET($BH$3,0,0,'Données projet'!$E$11+1,1))-AVERAGE(OFFSET($H$3,0,0,'Données projet'!$E$11+1,1))</f>
        <v>247.61330734992077</v>
      </c>
      <c r="BJ84" s="59">
        <f t="shared" si="92"/>
        <v>278.55937893537259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59.481636155115964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59.481636155115964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382.55387448074327</v>
      </c>
      <c r="T85" s="59">
        <f t="shared" si="88"/>
        <v>476.29465646955543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9.7053302211978032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72.919116312719964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425.99999999999983</v>
      </c>
      <c r="AJ85" s="13">
        <f>AI85*VLOOKUP('Données projet'!$B$10,Paramètres!$A$1:$I$89,3,0)*VLOOKUP('Données projet'!$B$10,Paramètres!$A$1:$I$89,5,0)</f>
        <v>232.59599999999992</v>
      </c>
      <c r="AK85" s="13">
        <f t="shared" si="89"/>
        <v>56.843630236302218</v>
      </c>
      <c r="AL85" s="20">
        <f t="shared" si="58"/>
        <v>504.10735599489294</v>
      </c>
      <c r="AM85" s="59">
        <f t="shared" si="59"/>
        <v>797.4406893282262</v>
      </c>
      <c r="AN85" s="59">
        <f ca="1">AVERAGE(OFFSET($AM$3,0,0,'Données projet'!$E$10+1,1))-AVERAGE(OFFSET($H$3,0,0,'Données projet'!$E$10+1,1))</f>
        <v>417.99456559608217</v>
      </c>
      <c r="AO85" s="59">
        <f t="shared" si="90"/>
        <v>651.41353014863932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203.56830249467876</v>
      </c>
      <c r="AV85" s="21">
        <f>EXP(-LN(2)/25)*AV84+(1-EXP(-LN(2)/25))/(LN(2)/25)*Calculateur!AQ85*Calculateur!AS85*VLOOKUP('Données projet'!$B$10,Paramètres!$A$1:$I$89,3,0)*0.475*44/12</f>
        <v>10.954694687817222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214.52299718249597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</v>
      </c>
      <c r="BD85" s="12">
        <f>IF('Données projet'!$A$88&gt;35,BD84+BC85-BL84,IF(A85&lt;'Données projet'!$A$88,$BA$205^A85,IF(A85='Données projet'!$A$88,'Données projet'!$B$88,BD84+BC85-BL84)))</f>
        <v>224.99999999999997</v>
      </c>
      <c r="BE85" s="13">
        <f>BD85*VLOOKUP('Données projet'!$B$11,Paramètres!$A$1:$I$89,3,0)*VLOOKUP('Données projet'!$B$11,Paramètres!$A$1:$I$89,5,0)</f>
        <v>196.56</v>
      </c>
      <c r="BF85" s="13">
        <f t="shared" si="91"/>
        <v>48.987398161128091</v>
      </c>
      <c r="BG85" s="20">
        <f t="shared" si="61"/>
        <v>427.66171846396475</v>
      </c>
      <c r="BH85" s="59">
        <f t="shared" si="62"/>
        <v>720.99505179729806</v>
      </c>
      <c r="BI85" s="59">
        <f ca="1">AVERAGE(OFFSET($BH$3,0,0,'Données projet'!$E$11+1,1))-AVERAGE(OFFSET($H$3,0,0,'Données projet'!$E$11+1,1))</f>
        <v>247.61330734992077</v>
      </c>
      <c r="BJ85" s="59">
        <f t="shared" si="92"/>
        <v>278.55937893537259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58.315237550329819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58.315237550329819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382.55387448074327</v>
      </c>
      <c r="T86" s="59">
        <f t="shared" si="88"/>
        <v>476.29465646955543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9.4399374559180149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71.414139758787798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425.99999999999983</v>
      </c>
      <c r="AJ86" s="13">
        <f>AI86*VLOOKUP('Données projet'!$B$10,Paramètres!$A$1:$I$89,3,0)*VLOOKUP('Données projet'!$B$10,Paramètres!$A$1:$I$89,5,0)</f>
        <v>232.59599999999992</v>
      </c>
      <c r="AK86" s="13">
        <f t="shared" si="89"/>
        <v>56.843630236302218</v>
      </c>
      <c r="AL86" s="20">
        <f t="shared" si="58"/>
        <v>504.10735599489294</v>
      </c>
      <c r="AM86" s="59">
        <f t="shared" si="59"/>
        <v>797.4406893282262</v>
      </c>
      <c r="AN86" s="59">
        <f ca="1">AVERAGE(OFFSET($AM$3,0,0,'Données projet'!$E$10+1,1))-AVERAGE(OFFSET($H$3,0,0,'Données projet'!$E$10+1,1))</f>
        <v>417.99456559608217</v>
      </c>
      <c r="AO86" s="59">
        <f t="shared" si="90"/>
        <v>651.41353014863932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199.57645224716242</v>
      </c>
      <c r="AV86" s="21">
        <f>EXP(-LN(2)/25)*AV85+(1-EXP(-LN(2)/25))/(LN(2)/25)*Calculateur!AQ86*Calculateur!AS86*VLOOKUP('Données projet'!$B$10,Paramètres!$A$1:$I$89,3,0)*0.475*44/12</f>
        <v>10.655137985496504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210.23159023265893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</v>
      </c>
      <c r="BD86" s="12">
        <f>IF('Données projet'!$A$88&gt;35,BD85+BC86-BL85,IF(A86&lt;'Données projet'!$A$88,$BA$205^A86,IF(A86='Données projet'!$A$88,'Données projet'!$B$88,BD85+BC86-BL85)))</f>
        <v>227.99999999999997</v>
      </c>
      <c r="BE86" s="13">
        <f>BD86*VLOOKUP('Données projet'!$B$11,Paramètres!$A$1:$I$89,3,0)*VLOOKUP('Données projet'!$B$11,Paramètres!$A$1:$I$89,5,0)</f>
        <v>199.1808</v>
      </c>
      <c r="BF86" s="13">
        <f t="shared" si="91"/>
        <v>49.564089376413683</v>
      </c>
      <c r="BG86" s="20">
        <f t="shared" si="61"/>
        <v>433.23068233058711</v>
      </c>
      <c r="BH86" s="59">
        <f t="shared" si="62"/>
        <v>726.56401566392037</v>
      </c>
      <c r="BI86" s="59">
        <f ca="1">AVERAGE(OFFSET($BH$3,0,0,'Données projet'!$E$11+1,1))-AVERAGE(OFFSET($H$3,0,0,'Données projet'!$E$11+1,1))</f>
        <v>247.61330734992077</v>
      </c>
      <c r="BJ86" s="59">
        <f t="shared" si="92"/>
        <v>278.55937893537259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57.171711310750631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57.171711310750631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382.55387448074327</v>
      </c>
      <c r="T87" s="59">
        <f t="shared" si="88"/>
        <v>476.29465646955543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9.1818018697612018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69.940727866002618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425.99999999999983</v>
      </c>
      <c r="AJ87" s="13">
        <f>AI87*VLOOKUP('Données projet'!$B$10,Paramètres!$A$1:$I$89,3,0)*VLOOKUP('Données projet'!$B$10,Paramètres!$A$1:$I$89,5,0)</f>
        <v>232.59599999999992</v>
      </c>
      <c r="AK87" s="13">
        <f t="shared" si="89"/>
        <v>56.843630236302218</v>
      </c>
      <c r="AL87" s="20">
        <f t="shared" si="58"/>
        <v>504.10735599489294</v>
      </c>
      <c r="AM87" s="59">
        <f t="shared" si="59"/>
        <v>797.4406893282262</v>
      </c>
      <c r="AN87" s="59">
        <f ca="1">AVERAGE(OFFSET($AM$3,0,0,'Données projet'!$E$10+1,1))-AVERAGE(OFFSET($H$3,0,0,'Données projet'!$E$10+1,1))</f>
        <v>417.99456559608217</v>
      </c>
      <c r="AO87" s="59">
        <f t="shared" si="90"/>
        <v>651.41353014863932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195.66287974821162</v>
      </c>
      <c r="AV87" s="21">
        <f>EXP(-LN(2)/25)*AV86+(1-EXP(-LN(2)/25))/(LN(2)/25)*Calculateur!AQ87*Calculateur!AS87*VLOOKUP('Données projet'!$B$10,Paramètres!$A$1:$I$89,3,0)*0.475*44/12</f>
        <v>10.363772676953747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206.02665242516537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</v>
      </c>
      <c r="BD87" s="12">
        <f>IF('Données projet'!$A$88&gt;35,BD86+BC87-BL86,IF(A87&lt;'Données projet'!$A$88,$BA$205^A87,IF(A87='Données projet'!$A$88,'Données projet'!$B$88,BD86+BC87-BL86)))</f>
        <v>230.99999999999997</v>
      </c>
      <c r="BE87" s="13">
        <f>BD87*VLOOKUP('Données projet'!$B$11,Paramètres!$A$1:$I$89,3,0)*VLOOKUP('Données projet'!$B$11,Paramètres!$A$1:$I$89,5,0)</f>
        <v>201.80159999999998</v>
      </c>
      <c r="BF87" s="13">
        <f t="shared" si="91"/>
        <v>50.139897992681668</v>
      </c>
      <c r="BG87" s="20">
        <f t="shared" si="61"/>
        <v>438.7981090039205</v>
      </c>
      <c r="BH87" s="59">
        <f t="shared" si="62"/>
        <v>732.13144233725382</v>
      </c>
      <c r="BI87" s="59">
        <f ca="1">AVERAGE(OFFSET($BH$3,0,0,'Données projet'!$E$11+1,1))-AVERAGE(OFFSET($H$3,0,0,'Données projet'!$E$11+1,1))</f>
        <v>247.61330734992077</v>
      </c>
      <c r="BJ87" s="59">
        <f t="shared" si="92"/>
        <v>278.55937893537259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56.050608923247452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56.050608923247452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382.55387448074327</v>
      </c>
      <c r="T88" s="59">
        <f t="shared" si="88"/>
        <v>476.29465646955543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8.9307250147826061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68.498205531523283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425.99999999999983</v>
      </c>
      <c r="AJ88" s="13">
        <f>AI88*VLOOKUP('Données projet'!$B$10,Paramètres!$A$1:$I$89,3,0)*VLOOKUP('Données projet'!$B$10,Paramètres!$A$1:$I$89,5,0)</f>
        <v>232.59599999999992</v>
      </c>
      <c r="AK88" s="13">
        <f t="shared" si="89"/>
        <v>56.843630236302218</v>
      </c>
      <c r="AL88" s="20">
        <f t="shared" si="58"/>
        <v>504.10735599489294</v>
      </c>
      <c r="AM88" s="59">
        <f t="shared" si="59"/>
        <v>797.4406893282262</v>
      </c>
      <c r="AN88" s="59">
        <f ca="1">AVERAGE(OFFSET($AM$3,0,0,'Données projet'!$E$10+1,1))-AVERAGE(OFFSET($H$3,0,0,'Données projet'!$E$10+1,1))</f>
        <v>417.99456559608217</v>
      </c>
      <c r="AO88" s="59">
        <f t="shared" si="90"/>
        <v>651.41353014863932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191.82605001892173</v>
      </c>
      <c r="AV88" s="21">
        <f>EXP(-LN(2)/25)*AV87+(1-EXP(-LN(2)/25))/(LN(2)/25)*Calculateur!AQ88*Calculateur!AS88*VLOOKUP('Données projet'!$B$10,Paramètres!$A$1:$I$89,3,0)*0.475*44/12</f>
        <v>10.080374768095329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201.90642478701707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234</v>
      </c>
      <c r="BB88" s="12">
        <f>VLOOKUP(A88,'Données projet'!$A$87:$I$107,9,0)</f>
        <v>3</v>
      </c>
      <c r="BC88" s="12">
        <f t="array" ref="BC88">INDEX(BB:BB,MIN(IF(ISNUMBER(BB88:BB284),ROW(BB88:BB284),"")))</f>
        <v>3</v>
      </c>
      <c r="BD88" s="12">
        <f>IF('Données projet'!$A$88&gt;35,BD87+BC88-BL87,IF(A88&lt;'Données projet'!$A$88,$BA$205^A88,IF(A88='Données projet'!$A$88,'Données projet'!$B$88,BD87+BC88-BL87)))</f>
        <v>233.99999999999997</v>
      </c>
      <c r="BE88" s="13">
        <f>BD88*VLOOKUP('Données projet'!$B$11,Paramètres!$A$1:$I$89,3,0)*VLOOKUP('Données projet'!$B$11,Paramètres!$A$1:$I$89,5,0)</f>
        <v>204.42239999999998</v>
      </c>
      <c r="BF88" s="13">
        <f t="shared" si="91"/>
        <v>50.714836797527262</v>
      </c>
      <c r="BG88" s="20">
        <f t="shared" si="61"/>
        <v>444.36402075569328</v>
      </c>
      <c r="BH88" s="59">
        <f t="shared" si="62"/>
        <v>737.69735408902659</v>
      </c>
      <c r="BI88" s="59">
        <f ca="1">AVERAGE(OFFSET($BH$3,0,0,'Données projet'!$E$11+1,1))-AVERAGE(OFFSET($H$3,0,0,'Données projet'!$E$11+1,1))</f>
        <v>247.61330734992077</v>
      </c>
      <c r="BJ88" s="59">
        <f t="shared" si="92"/>
        <v>278.55937893537259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12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59.934703515327804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59.934703515327804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382.55387448074327</v>
      </c>
      <c r="T89" s="59">
        <f t="shared" si="88"/>
        <v>476.29465646955543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8.6865138696069586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67.085912425989932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425.99999999999983</v>
      </c>
      <c r="AJ89" s="13">
        <f>AI89*VLOOKUP('Données projet'!$B$10,Paramètres!$A$1:$I$89,3,0)*VLOOKUP('Données projet'!$B$10,Paramètres!$A$1:$I$89,5,0)</f>
        <v>232.59599999999992</v>
      </c>
      <c r="AK89" s="13">
        <f t="shared" si="89"/>
        <v>56.843630236302218</v>
      </c>
      <c r="AL89" s="20">
        <f t="shared" si="58"/>
        <v>504.10735599489294</v>
      </c>
      <c r="AM89" s="59">
        <f t="shared" si="59"/>
        <v>797.4406893282262</v>
      </c>
      <c r="AN89" s="59">
        <f ca="1">AVERAGE(OFFSET($AM$3,0,0,'Données projet'!$E$10+1,1))-AVERAGE(OFFSET($H$3,0,0,'Données projet'!$E$10+1,1))</f>
        <v>417.99456559608217</v>
      </c>
      <c r="AO89" s="59">
        <f t="shared" si="90"/>
        <v>651.41353014863932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188.06445818038816</v>
      </c>
      <c r="AV89" s="21">
        <f>EXP(-LN(2)/25)*AV88+(1-EXP(-LN(2)/25))/(LN(2)/25)*Calculateur!AQ89*Calculateur!AS89*VLOOKUP('Données projet'!$B$10,Paramètres!$A$1:$I$89,3,0)*0.475*44/12</f>
        <v>9.8047263899578923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197.86918457034605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224.79999999999998</v>
      </c>
      <c r="BE89" s="13">
        <f>BD89*VLOOKUP('Données projet'!$B$11,Paramètres!$A$1:$I$89,3,0)*VLOOKUP('Données projet'!$B$11,Paramètres!$A$1:$I$89,5,0)</f>
        <v>196.38528000000002</v>
      </c>
      <c r="BF89" s="13">
        <f t="shared" si="91"/>
        <v>48.948920378863868</v>
      </c>
      <c r="BG89" s="20">
        <f t="shared" si="61"/>
        <v>427.29039899318792</v>
      </c>
      <c r="BH89" s="59">
        <f t="shared" si="62"/>
        <v>720.62373232652124</v>
      </c>
      <c r="BI89" s="59">
        <f ca="1">AVERAGE(OFFSET($BH$3,0,0,'Données projet'!$E$11+1,1))-AVERAGE(OFFSET($H$3,0,0,'Données projet'!$E$11+1,1))</f>
        <v>247.61330734992077</v>
      </c>
      <c r="BJ89" s="59">
        <f t="shared" si="92"/>
        <v>278.55937893537259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58.759420535951712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58.759420535951712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382.55387448074327</v>
      </c>
      <c r="T90" s="59">
        <f t="shared" si="88"/>
        <v>476.29465646955543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8.4489806910386456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65.703202661846873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425.99999999999983</v>
      </c>
      <c r="AJ90" s="13">
        <f>AI90*VLOOKUP('Données projet'!$B$10,Paramètres!$A$1:$I$89,3,0)*VLOOKUP('Données projet'!$B$10,Paramètres!$A$1:$I$89,5,0)</f>
        <v>232.59599999999992</v>
      </c>
      <c r="AK90" s="13">
        <f t="shared" si="89"/>
        <v>56.843630236302218</v>
      </c>
      <c r="AL90" s="20">
        <f t="shared" si="58"/>
        <v>504.10735599489294</v>
      </c>
      <c r="AM90" s="59">
        <f t="shared" si="59"/>
        <v>797.4406893282262</v>
      </c>
      <c r="AN90" s="59">
        <f ca="1">AVERAGE(OFFSET($AM$3,0,0,'Données projet'!$E$10+1,1))-AVERAGE(OFFSET($H$3,0,0,'Données projet'!$E$10+1,1))</f>
        <v>417.99456559608217</v>
      </c>
      <c r="AO90" s="59">
        <f t="shared" si="90"/>
        <v>651.41353014863932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184.37662886346376</v>
      </c>
      <c r="AV90" s="21">
        <f>EXP(-LN(2)/25)*AV89+(1-EXP(-LN(2)/25))/(LN(2)/25)*Calculateur!AQ90*Calculateur!AS90*VLOOKUP('Données projet'!$B$10,Paramètres!$A$1:$I$89,3,0)*0.475*44/12</f>
        <v>9.5366156312163426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193.9132444946801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227.6</v>
      </c>
      <c r="BE90" s="13">
        <f>BD90*VLOOKUP('Données projet'!$B$11,Paramètres!$A$1:$I$89,3,0)*VLOOKUP('Données projet'!$B$11,Paramètres!$A$1:$I$89,5,0)</f>
        <v>198.83136000000002</v>
      </c>
      <c r="BF90" s="13">
        <f t="shared" si="91"/>
        <v>49.48724849224233</v>
      </c>
      <c r="BG90" s="20">
        <f t="shared" si="61"/>
        <v>432.4882431239887</v>
      </c>
      <c r="BH90" s="59">
        <f t="shared" si="62"/>
        <v>725.82157645732195</v>
      </c>
      <c r="BI90" s="59">
        <f ca="1">AVERAGE(OFFSET($BH$3,0,0,'Données projet'!$E$11+1,1))-AVERAGE(OFFSET($H$3,0,0,'Données projet'!$E$11+1,1))</f>
        <v>247.61330734992077</v>
      </c>
      <c r="BJ90" s="59">
        <f t="shared" si="92"/>
        <v>278.55937893537259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57.60718413894935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57.60718413894935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382.55387448074327</v>
      </c>
      <c r="T91" s="59">
        <f t="shared" si="88"/>
        <v>476.29465646955543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8.21794286972961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64.349444469317461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425.99999999999983</v>
      </c>
      <c r="AJ91" s="13">
        <f>AI91*VLOOKUP('Données projet'!$B$10,Paramètres!$A$1:$I$89,3,0)*VLOOKUP('Données projet'!$B$10,Paramètres!$A$1:$I$89,5,0)</f>
        <v>232.59599999999992</v>
      </c>
      <c r="AK91" s="13">
        <f t="shared" si="89"/>
        <v>56.843630236302218</v>
      </c>
      <c r="AL91" s="20">
        <f t="shared" si="58"/>
        <v>504.10735599489294</v>
      </c>
      <c r="AM91" s="59">
        <f t="shared" si="59"/>
        <v>797.4406893282262</v>
      </c>
      <c r="AN91" s="59">
        <f ca="1">AVERAGE(OFFSET($AM$3,0,0,'Données projet'!$E$10+1,1))-AVERAGE(OFFSET($H$3,0,0,'Données projet'!$E$10+1,1))</f>
        <v>417.99456559608217</v>
      </c>
      <c r="AO91" s="59">
        <f t="shared" si="90"/>
        <v>651.41353014863932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180.76111563009047</v>
      </c>
      <c r="AV91" s="21">
        <f>EXP(-LN(2)/25)*AV90+(1-EXP(-LN(2)/25))/(LN(2)/25)*Calculateur!AQ91*Calculateur!AS91*VLOOKUP('Données projet'!$B$10,Paramètres!$A$1:$I$89,3,0)*0.475*44/12</f>
        <v>9.2758363752719113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190.03695200536239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230.4</v>
      </c>
      <c r="BE91" s="13">
        <f>BD91*VLOOKUP('Données projet'!$B$11,Paramètres!$A$1:$I$89,3,0)*VLOOKUP('Données projet'!$B$11,Paramètres!$A$1:$I$89,5,0)</f>
        <v>201.27744000000004</v>
      </c>
      <c r="BF91" s="13">
        <f t="shared" si="91"/>
        <v>50.024806258462775</v>
      </c>
      <c r="BG91" s="20">
        <f t="shared" si="61"/>
        <v>437.68474556682276</v>
      </c>
      <c r="BH91" s="59">
        <f t="shared" si="62"/>
        <v>731.01807890015607</v>
      </c>
      <c r="BI91" s="59">
        <f ca="1">AVERAGE(OFFSET($BH$3,0,0,'Données projet'!$E$11+1,1))-AVERAGE(OFFSET($H$3,0,0,'Données projet'!$E$11+1,1))</f>
        <v>247.61330734992077</v>
      </c>
      <c r="BJ91" s="59">
        <f t="shared" si="92"/>
        <v>278.55937893537259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56.477542394897398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56.477542394897398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382.55387448074327</v>
      </c>
      <c r="T92" s="59">
        <f t="shared" si="88"/>
        <v>476.29465646955543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7.9932227897940207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63.02401987984932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425.99999999999983</v>
      </c>
      <c r="AJ92" s="13">
        <f>AI92*VLOOKUP('Données projet'!$B$10,Paramètres!$A$1:$I$89,3,0)*VLOOKUP('Données projet'!$B$10,Paramètres!$A$1:$I$89,5,0)</f>
        <v>232.59599999999992</v>
      </c>
      <c r="AK92" s="13">
        <f t="shared" si="89"/>
        <v>56.843630236302218</v>
      </c>
      <c r="AL92" s="20">
        <f t="shared" si="58"/>
        <v>504.10735599489294</v>
      </c>
      <c r="AM92" s="59">
        <f t="shared" si="59"/>
        <v>797.4406893282262</v>
      </c>
      <c r="AN92" s="59">
        <f ca="1">AVERAGE(OFFSET($AM$3,0,0,'Données projet'!$E$10+1,1))-AVERAGE(OFFSET($H$3,0,0,'Données projet'!$E$10+1,1))</f>
        <v>417.99456559608217</v>
      </c>
      <c r="AO92" s="59">
        <f t="shared" si="90"/>
        <v>651.41353014863932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177.21650040597831</v>
      </c>
      <c r="AV92" s="21">
        <f>EXP(-LN(2)/25)*AV91+(1-EXP(-LN(2)/25))/(LN(2)/25)*Calculateur!AQ92*Calculateur!AS92*VLOOKUP('Données projet'!$B$10,Paramètres!$A$1:$I$89,3,0)*0.475*44/12</f>
        <v>9.0221881417950662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186.23868854777336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233.20000000000002</v>
      </c>
      <c r="BE92" s="13">
        <f>BD92*VLOOKUP('Données projet'!$B$11,Paramètres!$A$1:$I$89,3,0)*VLOOKUP('Données projet'!$B$11,Paramètres!$A$1:$I$89,5,0)</f>
        <v>203.72352000000004</v>
      </c>
      <c r="BF92" s="13">
        <f t="shared" si="91"/>
        <v>50.561604122231515</v>
      </c>
      <c r="BG92" s="20">
        <f t="shared" si="61"/>
        <v>442.87992451288659</v>
      </c>
      <c r="BH92" s="59">
        <f t="shared" si="62"/>
        <v>736.2132578462199</v>
      </c>
      <c r="BI92" s="59">
        <f ca="1">AVERAGE(OFFSET($BH$3,0,0,'Données projet'!$E$11+1,1))-AVERAGE(OFFSET($H$3,0,0,'Données projet'!$E$11+1,1))</f>
        <v>247.61330734992077</v>
      </c>
      <c r="BJ92" s="59">
        <f t="shared" si="92"/>
        <v>278.55937893537259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55.370052236432876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55.370052236432876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382.55387448074327</v>
      </c>
      <c r="T93" s="59">
        <f t="shared" si="88"/>
        <v>476.29465646955543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7.7746476922617855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61.726324416853018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425.99999999999983</v>
      </c>
      <c r="AJ93" s="13">
        <f>AI93*VLOOKUP('Données projet'!$B$10,Paramètres!$A$1:$I$89,3,0)*VLOOKUP('Données projet'!$B$10,Paramètres!$A$1:$I$89,5,0)</f>
        <v>232.59599999999992</v>
      </c>
      <c r="AK93" s="13">
        <f t="shared" si="89"/>
        <v>56.843630236302218</v>
      </c>
      <c r="AL93" s="20">
        <f t="shared" si="58"/>
        <v>504.10735599489294</v>
      </c>
      <c r="AM93" s="59">
        <f t="shared" si="59"/>
        <v>797.4406893282262</v>
      </c>
      <c r="AN93" s="59">
        <f ca="1">AVERAGE(OFFSET($AM$3,0,0,'Données projet'!$E$10+1,1))-AVERAGE(OFFSET($H$3,0,0,'Données projet'!$E$10+1,1))</f>
        <v>417.99456559608217</v>
      </c>
      <c r="AO93" s="59">
        <f t="shared" si="90"/>
        <v>651.41353014863932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173.74139292440918</v>
      </c>
      <c r="AV93" s="21">
        <f>EXP(-LN(2)/25)*AV92+(1-EXP(-LN(2)/25))/(LN(2)/25)*Calculateur!AQ93*Calculateur!AS93*VLOOKUP('Données projet'!$B$10,Paramètres!$A$1:$I$89,3,0)*0.475*44/12</f>
        <v>8.7754759326014256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182.51686885701062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236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236.00000000000003</v>
      </c>
      <c r="BE93" s="13">
        <f>BD93*VLOOKUP('Données projet'!$B$11,Paramètres!$A$1:$I$89,3,0)*VLOOKUP('Données projet'!$B$11,Paramètres!$A$1:$I$89,5,0)</f>
        <v>206.16960000000006</v>
      </c>
      <c r="BF93" s="13">
        <f t="shared" si="91"/>
        <v>51.097652263007333</v>
      </c>
      <c r="BG93" s="20">
        <f t="shared" si="61"/>
        <v>448.07379769140448</v>
      </c>
      <c r="BH93" s="59">
        <f t="shared" si="62"/>
        <v>741.40713102473774</v>
      </c>
      <c r="BI93" s="59">
        <f ca="1">AVERAGE(OFFSET($BH$3,0,0,'Données projet'!$E$11+1,1))-AVERAGE(OFFSET($H$3,0,0,'Données projet'!$E$11+1,1))</f>
        <v>247.61330734992077</v>
      </c>
      <c r="BJ93" s="59">
        <f t="shared" si="92"/>
        <v>278.55937893537259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54.284279284473541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54.284279284473541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382.55387448074327</v>
      </c>
      <c r="T94" s="59">
        <f t="shared" si="88"/>
        <v>476.29465646955543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7.5620495422659344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60.455766793561409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425.99999999999983</v>
      </c>
      <c r="AJ94" s="13">
        <f>AI94*VLOOKUP('Données projet'!$B$10,Paramètres!$A$1:$I$89,3,0)*VLOOKUP('Données projet'!$B$10,Paramètres!$A$1:$I$89,5,0)</f>
        <v>232.59599999999992</v>
      </c>
      <c r="AK94" s="13">
        <f t="shared" si="89"/>
        <v>56.843630236302218</v>
      </c>
      <c r="AL94" s="20">
        <f t="shared" si="58"/>
        <v>504.10735599489294</v>
      </c>
      <c r="AM94" s="59">
        <f t="shared" si="59"/>
        <v>797.4406893282262</v>
      </c>
      <c r="AN94" s="59">
        <f ca="1">AVERAGE(OFFSET($AM$3,0,0,'Données projet'!$E$10+1,1))-AVERAGE(OFFSET($H$3,0,0,'Données projet'!$E$10+1,1))</f>
        <v>417.99456559608217</v>
      </c>
      <c r="AO94" s="59">
        <f t="shared" si="90"/>
        <v>651.41353014863932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170.33443018094735</v>
      </c>
      <c r="AV94" s="21">
        <f>EXP(-LN(2)/25)*AV93+(1-EXP(-LN(2)/25))/(LN(2)/25)*Calculateur!AQ94*Calculateur!AS94*VLOOKUP('Données projet'!$B$10,Paramètres!$A$1:$I$89,3,0)*0.475*44/12</f>
        <v>8.5355100817422169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178.86994026268957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236.00000000000003</v>
      </c>
      <c r="BE94" s="13">
        <f>BD94*VLOOKUP('Données projet'!$B$11,Paramètres!$A$1:$I$89,3,0)*VLOOKUP('Données projet'!$B$11,Paramètres!$A$1:$I$89,5,0)</f>
        <v>206.16960000000006</v>
      </c>
      <c r="BF94" s="13">
        <f t="shared" si="91"/>
        <v>51.097652263007333</v>
      </c>
      <c r="BG94" s="20">
        <f t="shared" si="61"/>
        <v>448.07379769140448</v>
      </c>
      <c r="BH94" s="59">
        <f t="shared" si="62"/>
        <v>741.40713102473774</v>
      </c>
      <c r="BI94" s="59">
        <f ca="1">AVERAGE(OFFSET($BH$3,0,0,'Données projet'!$E$11+1,1))-AVERAGE(OFFSET($H$3,0,0,'Données projet'!$E$11+1,1))</f>
        <v>247.61330734992077</v>
      </c>
      <c r="BJ94" s="59">
        <f t="shared" si="92"/>
        <v>278.55937893537259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53.219797677846024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53.219797677846024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382.55387448074327</v>
      </c>
      <c r="T95" s="59">
        <f t="shared" si="88"/>
        <v>476.29465646955543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7.35526489986177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59.211768617841265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425.99999999999983</v>
      </c>
      <c r="AJ95" s="13">
        <f>AI95*VLOOKUP('Données projet'!$B$10,Paramètres!$A$1:$I$89,3,0)*VLOOKUP('Données projet'!$B$10,Paramètres!$A$1:$I$89,5,0)</f>
        <v>232.59599999999992</v>
      </c>
      <c r="AK95" s="13">
        <f t="shared" si="89"/>
        <v>56.843630236302218</v>
      </c>
      <c r="AL95" s="20">
        <f t="shared" si="58"/>
        <v>504.10735599489294</v>
      </c>
      <c r="AM95" s="59">
        <f t="shared" si="59"/>
        <v>797.4406893282262</v>
      </c>
      <c r="AN95" s="59">
        <f ca="1">AVERAGE(OFFSET($AM$3,0,0,'Données projet'!$E$10+1,1))-AVERAGE(OFFSET($H$3,0,0,'Données projet'!$E$10+1,1))</f>
        <v>417.99456559608217</v>
      </c>
      <c r="AO95" s="59">
        <f t="shared" si="90"/>
        <v>651.41353014863932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166.99427589884272</v>
      </c>
      <c r="AV95" s="21">
        <f>EXP(-LN(2)/25)*AV94+(1-EXP(-LN(2)/25))/(LN(2)/25)*Calculateur!AQ95*Calculateur!AS95*VLOOKUP('Données projet'!$B$10,Paramètres!$A$1:$I$89,3,0)*0.475*44/12</f>
        <v>8.3021061096940088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175.29638200853674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236.00000000000003</v>
      </c>
      <c r="BE95" s="13">
        <f>BD95*VLOOKUP('Données projet'!$B$11,Paramètres!$A$1:$I$89,3,0)*VLOOKUP('Données projet'!$B$11,Paramètres!$A$1:$I$89,5,0)</f>
        <v>206.16960000000006</v>
      </c>
      <c r="BF95" s="13">
        <f t="shared" si="91"/>
        <v>51.097652263007333</v>
      </c>
      <c r="BG95" s="20">
        <f t="shared" si="61"/>
        <v>448.07379769140448</v>
      </c>
      <c r="BH95" s="59">
        <f t="shared" si="62"/>
        <v>741.40713102473774</v>
      </c>
      <c r="BI95" s="59">
        <f ca="1">AVERAGE(OFFSET($BH$3,0,0,'Données projet'!$E$11+1,1))-AVERAGE(OFFSET($H$3,0,0,'Données projet'!$E$11+1,1))</f>
        <v>247.61330734992077</v>
      </c>
      <c r="BJ95" s="59">
        <f t="shared" si="92"/>
        <v>278.55937893537259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52.176189906254805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52.176189906254805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382.55387448074327</v>
      </c>
      <c r="T96" s="59">
        <f t="shared" si="88"/>
        <v>476.29465646955543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7.1541347943784794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57.993764103792522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425.99999999999983</v>
      </c>
      <c r="AJ96" s="13">
        <f>AI96*VLOOKUP('Données projet'!$B$10,Paramètres!$A$1:$I$89,3,0)*VLOOKUP('Données projet'!$B$10,Paramètres!$A$1:$I$89,5,0)</f>
        <v>232.59599999999992</v>
      </c>
      <c r="AK96" s="13">
        <f t="shared" si="89"/>
        <v>56.843630236302218</v>
      </c>
      <c r="AL96" s="20">
        <f t="shared" si="58"/>
        <v>504.10735599489294</v>
      </c>
      <c r="AM96" s="59">
        <f t="shared" si="59"/>
        <v>797.4406893282262</v>
      </c>
      <c r="AN96" s="59">
        <f ca="1">AVERAGE(OFFSET($AM$3,0,0,'Données projet'!$E$10+1,1))-AVERAGE(OFFSET($H$3,0,0,'Données projet'!$E$10+1,1))</f>
        <v>417.99456559608217</v>
      </c>
      <c r="AO96" s="59">
        <f t="shared" si="90"/>
        <v>651.41353014863932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163.71962000491723</v>
      </c>
      <c r="AV96" s="21">
        <f>EXP(-LN(2)/25)*AV95+(1-EXP(-LN(2)/25))/(LN(2)/25)*Calculateur!AQ96*Calculateur!AS96*VLOOKUP('Données projet'!$B$10,Paramètres!$A$1:$I$89,3,0)*0.475*44/12</f>
        <v>8.0750845815356413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171.79470458645287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236.00000000000003</v>
      </c>
      <c r="BE96" s="13">
        <f>BD96*VLOOKUP('Données projet'!$B$11,Paramètres!$A$1:$I$89,3,0)*VLOOKUP('Données projet'!$B$11,Paramètres!$A$1:$I$89,5,0)</f>
        <v>206.16960000000006</v>
      </c>
      <c r="BF96" s="13">
        <f t="shared" si="91"/>
        <v>51.097652263007333</v>
      </c>
      <c r="BG96" s="20">
        <f t="shared" si="61"/>
        <v>448.07379769140448</v>
      </c>
      <c r="BH96" s="59">
        <f t="shared" si="62"/>
        <v>741.40713102473774</v>
      </c>
      <c r="BI96" s="59">
        <f ca="1">AVERAGE(OFFSET($BH$3,0,0,'Données projet'!$E$11+1,1))-AVERAGE(OFFSET($H$3,0,0,'Données projet'!$E$11+1,1))</f>
        <v>247.61330734992077</v>
      </c>
      <c r="BJ96" s="59">
        <f t="shared" si="92"/>
        <v>278.55937893537259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51.153046646526597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51.153046646526597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382.55387448074327</v>
      </c>
      <c r="T97" s="59">
        <f t="shared" si="88"/>
        <v>476.29465646955543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6.9585046022066024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56.801199789975023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425.99999999999983</v>
      </c>
      <c r="AJ97" s="13">
        <f>AI97*VLOOKUP('Données projet'!$B$10,Paramètres!$A$1:$I$89,3,0)*VLOOKUP('Données projet'!$B$10,Paramètres!$A$1:$I$89,5,0)</f>
        <v>232.59599999999992</v>
      </c>
      <c r="AK97" s="13">
        <f t="shared" si="89"/>
        <v>56.843630236302218</v>
      </c>
      <c r="AL97" s="20">
        <f t="shared" si="58"/>
        <v>504.10735599489294</v>
      </c>
      <c r="AM97" s="59">
        <f t="shared" si="59"/>
        <v>797.4406893282262</v>
      </c>
      <c r="AN97" s="59">
        <f ca="1">AVERAGE(OFFSET($AM$3,0,0,'Données projet'!$E$10+1,1))-AVERAGE(OFFSET($H$3,0,0,'Données projet'!$E$10+1,1))</f>
        <v>417.99456559608217</v>
      </c>
      <c r="AO97" s="59">
        <f t="shared" si="90"/>
        <v>651.41353014863932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160.50917811572873</v>
      </c>
      <c r="AV97" s="21">
        <f>EXP(-LN(2)/25)*AV96+(1-EXP(-LN(2)/25))/(LN(2)/25)*Calculateur!AQ97*Calculateur!AS97*VLOOKUP('Données projet'!$B$10,Paramètres!$A$1:$I$89,3,0)*0.475*44/12</f>
        <v>7.8542709690033066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168.36344908473203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236.00000000000003</v>
      </c>
      <c r="BE97" s="13">
        <f>BD97*VLOOKUP('Données projet'!$B$11,Paramètres!$A$1:$I$89,3,0)*VLOOKUP('Données projet'!$B$11,Paramètres!$A$1:$I$89,5,0)</f>
        <v>206.16960000000006</v>
      </c>
      <c r="BF97" s="13">
        <f t="shared" si="91"/>
        <v>51.097652263007333</v>
      </c>
      <c r="BG97" s="20">
        <f t="shared" si="61"/>
        <v>448.07379769140448</v>
      </c>
      <c r="BH97" s="59">
        <f t="shared" si="62"/>
        <v>741.40713102473774</v>
      </c>
      <c r="BI97" s="59">
        <f ca="1">AVERAGE(OFFSET($BH$3,0,0,'Données projet'!$E$11+1,1))-AVERAGE(OFFSET($H$3,0,0,'Données projet'!$E$11+1,1))</f>
        <v>247.61330734992077</v>
      </c>
      <c r="BJ97" s="59">
        <f t="shared" si="92"/>
        <v>278.55937893537259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50.149966602065895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50.149966602065895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382.55387448074327</v>
      </c>
      <c r="T98" s="59">
        <f t="shared" si="88"/>
        <v>476.29465646955543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6.7682239279274095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55.633534264105904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425.99999999999983</v>
      </c>
      <c r="AJ98" s="13">
        <f>AI98*VLOOKUP('Données projet'!$B$10,Paramètres!$A$1:$I$89,3,0)*VLOOKUP('Données projet'!$B$10,Paramètres!$A$1:$I$89,5,0)</f>
        <v>232.59599999999992</v>
      </c>
      <c r="AK98" s="13">
        <f t="shared" si="89"/>
        <v>56.843630236302218</v>
      </c>
      <c r="AL98" s="20">
        <f t="shared" si="58"/>
        <v>504.10735599489294</v>
      </c>
      <c r="AM98" s="59">
        <f t="shared" si="59"/>
        <v>797.4406893282262</v>
      </c>
      <c r="AN98" s="59">
        <f ca="1">AVERAGE(OFFSET($AM$3,0,0,'Données projet'!$E$10+1,1))-AVERAGE(OFFSET($H$3,0,0,'Données projet'!$E$10+1,1))</f>
        <v>417.99456559608217</v>
      </c>
      <c r="AO98" s="59">
        <f t="shared" si="90"/>
        <v>651.41353014863932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157.36169103381101</v>
      </c>
      <c r="AV98" s="21">
        <f>EXP(-LN(2)/25)*AV97+(1-EXP(-LN(2)/25))/(LN(2)/25)*Calculateur!AQ98*Calculateur!AS98*VLOOKUP('Données projet'!$B$10,Paramètres!$A$1:$I$89,3,0)*0.475*44/12</f>
        <v>7.6394955163177523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165.00118655012878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236.00000000000003</v>
      </c>
      <c r="BE98" s="13">
        <f>BD98*VLOOKUP('Données projet'!$B$11,Paramètres!$A$1:$I$89,3,0)*VLOOKUP('Données projet'!$B$11,Paramètres!$A$1:$I$89,5,0)</f>
        <v>206.16960000000006</v>
      </c>
      <c r="BF98" s="13">
        <f t="shared" si="91"/>
        <v>51.097652263007333</v>
      </c>
      <c r="BG98" s="20">
        <f t="shared" si="61"/>
        <v>448.07379769140448</v>
      </c>
      <c r="BH98" s="59">
        <f t="shared" si="62"/>
        <v>741.40713102473774</v>
      </c>
      <c r="BI98" s="59">
        <f ca="1">AVERAGE(OFFSET($BH$3,0,0,'Données projet'!$E$11+1,1))-AVERAGE(OFFSET($H$3,0,0,'Données projet'!$E$11+1,1))</f>
        <v>247.61330734992077</v>
      </c>
      <c r="BJ98" s="59">
        <f t="shared" si="92"/>
        <v>278.55937893537259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49.166556345458652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49.166556345458652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382.55387448074327</v>
      </c>
      <c r="T99" s="59">
        <f t="shared" si="88"/>
        <v>476.29465646955543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6.5831464886928073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54.490237894075157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425.99999999999983</v>
      </c>
      <c r="AJ99" s="13">
        <f>AI99*VLOOKUP('Données projet'!$B$10,Paramètres!$A$1:$I$89,3,0)*VLOOKUP('Données projet'!$B$10,Paramètres!$A$1:$I$89,5,0)</f>
        <v>232.59599999999992</v>
      </c>
      <c r="AK99" s="13">
        <f t="shared" si="89"/>
        <v>56.843630236302218</v>
      </c>
      <c r="AL99" s="20">
        <f t="shared" si="58"/>
        <v>504.10735599489294</v>
      </c>
      <c r="AM99" s="59">
        <f t="shared" si="59"/>
        <v>797.4406893282262</v>
      </c>
      <c r="AN99" s="59">
        <f ca="1">AVERAGE(OFFSET($AM$3,0,0,'Données projet'!$E$10+1,1))-AVERAGE(OFFSET($H$3,0,0,'Données projet'!$E$10+1,1))</f>
        <v>417.99456559608217</v>
      </c>
      <c r="AO99" s="59">
        <f t="shared" si="90"/>
        <v>651.41353014863932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154.27592425379217</v>
      </c>
      <c r="AV99" s="21">
        <f>EXP(-LN(2)/25)*AV98+(1-EXP(-LN(2)/25))/(LN(2)/25)*Calculateur!AQ99*Calculateur!AS99*VLOOKUP('Données projet'!$B$10,Paramètres!$A$1:$I$89,3,0)*0.475*44/12</f>
        <v>7.4305931096804345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161.70651736347261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236.00000000000003</v>
      </c>
      <c r="BE99" s="13">
        <f>BD99*VLOOKUP('Données projet'!$B$11,Paramètres!$A$1:$I$89,3,0)*VLOOKUP('Données projet'!$B$11,Paramètres!$A$1:$I$89,5,0)</f>
        <v>206.16960000000006</v>
      </c>
      <c r="BF99" s="13">
        <f t="shared" si="91"/>
        <v>51.097652263007333</v>
      </c>
      <c r="BG99" s="20">
        <f t="shared" si="61"/>
        <v>448.07379769140448</v>
      </c>
      <c r="BH99" s="59">
        <f t="shared" si="62"/>
        <v>741.40713102473774</v>
      </c>
      <c r="BI99" s="59">
        <f ca="1">AVERAGE(OFFSET($BH$3,0,0,'Données projet'!$E$11+1,1))-AVERAGE(OFFSET($H$3,0,0,'Données projet'!$E$11+1,1))</f>
        <v>247.61330734992077</v>
      </c>
      <c r="BJ99" s="59">
        <f t="shared" si="92"/>
        <v>278.55937893537259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48.202430164162443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48.202430164162443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382.55387448074327</v>
      </c>
      <c r="T100" s="59">
        <f t="shared" si="88"/>
        <v>476.29465646955543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6.4031300017668746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53.370792565130159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425.99999999999983</v>
      </c>
      <c r="AJ100" s="13">
        <f>AI100*VLOOKUP('Données projet'!$B$10,Paramètres!$A$1:$I$89,3,0)*VLOOKUP('Données projet'!$B$10,Paramètres!$A$1:$I$89,5,0)</f>
        <v>232.59599999999992</v>
      </c>
      <c r="AK100" s="13">
        <f t="shared" si="89"/>
        <v>56.843630236302218</v>
      </c>
      <c r="AL100" s="20">
        <f t="shared" si="58"/>
        <v>504.10735599489294</v>
      </c>
      <c r="AM100" s="59">
        <f t="shared" si="59"/>
        <v>797.4406893282262</v>
      </c>
      <c r="AN100" s="59">
        <f ca="1">AVERAGE(OFFSET($AM$3,0,0,'Données projet'!$E$10+1,1))-AVERAGE(OFFSET($H$3,0,0,'Données projet'!$E$10+1,1))</f>
        <v>417.99456559608217</v>
      </c>
      <c r="AO100" s="59">
        <f t="shared" si="90"/>
        <v>651.41353014863932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151.25066747819758</v>
      </c>
      <c r="AV100" s="21">
        <f>EXP(-LN(2)/25)*AV99+(1-EXP(-LN(2)/25))/(LN(2)/25)*Calculateur!AQ100*Calculateur!AS100*VLOOKUP('Données projet'!$B$10,Paramètres!$A$1:$I$89,3,0)*0.475*44/12</f>
        <v>7.227403150338314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158.4780706285359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236.00000000000003</v>
      </c>
      <c r="BE100" s="13">
        <f>BD100*VLOOKUP('Données projet'!$B$11,Paramètres!$A$1:$I$89,3,0)*VLOOKUP('Données projet'!$B$11,Paramètres!$A$1:$I$89,5,0)</f>
        <v>206.16960000000006</v>
      </c>
      <c r="BF100" s="13">
        <f t="shared" si="91"/>
        <v>51.097652263007333</v>
      </c>
      <c r="BG100" s="20">
        <f t="shared" si="61"/>
        <v>448.07379769140448</v>
      </c>
      <c r="BH100" s="59">
        <f t="shared" si="62"/>
        <v>741.40713102473774</v>
      </c>
      <c r="BI100" s="59">
        <f ca="1">AVERAGE(OFFSET($BH$3,0,0,'Données projet'!$E$11+1,1))-AVERAGE(OFFSET($H$3,0,0,'Données projet'!$E$11+1,1))</f>
        <v>247.61330734992077</v>
      </c>
      <c r="BJ100" s="59">
        <f t="shared" si="92"/>
        <v>278.55937893537259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47.257209909222553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47.257209909222553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382.55387448074327</v>
      </c>
      <c r="T101" s="59">
        <f t="shared" si="88"/>
        <v>476.29465646955543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6.2280360751425876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52.27469142308378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425.99999999999983</v>
      </c>
      <c r="AJ101" s="13">
        <f>AI101*VLOOKUP('Données projet'!$B$10,Paramètres!$A$1:$I$89,3,0)*VLOOKUP('Données projet'!$B$10,Paramètres!$A$1:$I$89,5,0)</f>
        <v>232.59599999999992</v>
      </c>
      <c r="AK101" s="13">
        <f t="shared" si="89"/>
        <v>56.843630236302218</v>
      </c>
      <c r="AL101" s="20">
        <f t="shared" si="58"/>
        <v>504.10735599489294</v>
      </c>
      <c r="AM101" s="59">
        <f t="shared" si="59"/>
        <v>797.4406893282262</v>
      </c>
      <c r="AN101" s="59">
        <f ca="1">AVERAGE(OFFSET($AM$3,0,0,'Données projet'!$E$10+1,1))-AVERAGE(OFFSET($H$3,0,0,'Données projet'!$E$10+1,1))</f>
        <v>417.99456559608217</v>
      </c>
      <c r="AO101" s="59">
        <f t="shared" si="90"/>
        <v>651.41353014863932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148.28473414274799</v>
      </c>
      <c r="AV101" s="21">
        <f>EXP(-LN(2)/25)*AV100+(1-EXP(-LN(2)/25))/(LN(2)/25)*Calculateur!AQ101*Calculateur!AS101*VLOOKUP('Données projet'!$B$10,Paramètres!$A$1:$I$89,3,0)*0.475*44/12</f>
        <v>7.0297694311196999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155.31450357386768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236.00000000000003</v>
      </c>
      <c r="BE101" s="13">
        <f>BD101*VLOOKUP('Données projet'!$B$11,Paramètres!$A$1:$I$89,3,0)*VLOOKUP('Données projet'!$B$11,Paramètres!$A$1:$I$89,5,0)</f>
        <v>206.16960000000006</v>
      </c>
      <c r="BF101" s="13">
        <f t="shared" si="91"/>
        <v>51.097652263007333</v>
      </c>
      <c r="BG101" s="20">
        <f t="shared" si="61"/>
        <v>448.07379769140448</v>
      </c>
      <c r="BH101" s="59">
        <f t="shared" si="62"/>
        <v>741.40713102473774</v>
      </c>
      <c r="BI101" s="59">
        <f ca="1">AVERAGE(OFFSET($BH$3,0,0,'Données projet'!$E$11+1,1))-AVERAGE(OFFSET($H$3,0,0,'Données projet'!$E$11+1,1))</f>
        <v>247.61330734992077</v>
      </c>
      <c r="BJ101" s="59">
        <f t="shared" si="92"/>
        <v>278.55937893537259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46.330524846954603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46.330524846954603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382.55387448074327</v>
      </c>
      <c r="T102" s="59">
        <f t="shared" si="88"/>
        <v>476.29465646955543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6.0577301011496312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51.201438623404222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425.99999999999983</v>
      </c>
      <c r="AJ102" s="13">
        <f>AI102*VLOOKUP('Données projet'!$B$10,Paramètres!$A$1:$I$89,3,0)*VLOOKUP('Données projet'!$B$10,Paramètres!$A$1:$I$89,5,0)</f>
        <v>232.59599999999992</v>
      </c>
      <c r="AK102" s="13">
        <f t="shared" si="89"/>
        <v>56.843630236302218</v>
      </c>
      <c r="AL102" s="20">
        <f t="shared" si="58"/>
        <v>504.10735599489294</v>
      </c>
      <c r="AM102" s="59">
        <f t="shared" si="59"/>
        <v>797.4406893282262</v>
      </c>
      <c r="AN102" s="59">
        <f ca="1">AVERAGE(OFFSET($AM$3,0,0,'Données projet'!$E$10+1,1))-AVERAGE(OFFSET($H$3,0,0,'Données projet'!$E$10+1,1))</f>
        <v>417.99456559608217</v>
      </c>
      <c r="AO102" s="59">
        <f t="shared" si="90"/>
        <v>651.41353014863932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145.37696095096587</v>
      </c>
      <c r="AV102" s="21">
        <f>EXP(-LN(2)/25)*AV101+(1-EXP(-LN(2)/25))/(LN(2)/25)*Calculateur!AQ102*Calculateur!AS102*VLOOKUP('Données projet'!$B$10,Paramètres!$A$1:$I$89,3,0)*0.475*44/12</f>
        <v>6.8375400163462237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152.21450096731209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236.00000000000003</v>
      </c>
      <c r="BE102" s="13">
        <f>BD102*VLOOKUP('Données projet'!$B$11,Paramètres!$A$1:$I$89,3,0)*VLOOKUP('Données projet'!$B$11,Paramètres!$A$1:$I$89,5,0)</f>
        <v>206.16960000000006</v>
      </c>
      <c r="BF102" s="13">
        <f t="shared" si="91"/>
        <v>51.097652263007333</v>
      </c>
      <c r="BG102" s="20">
        <f t="shared" si="61"/>
        <v>448.07379769140448</v>
      </c>
      <c r="BH102" s="59">
        <f t="shared" si="62"/>
        <v>741.40713102473774</v>
      </c>
      <c r="BI102" s="59">
        <f ca="1">AVERAGE(OFFSET($BH$3,0,0,'Données projet'!$E$11+1,1))-AVERAGE(OFFSET($H$3,0,0,'Données projet'!$E$11+1,1))</f>
        <v>247.61330734992077</v>
      </c>
      <c r="BJ102" s="59">
        <f t="shared" si="92"/>
        <v>278.55937893537259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45.422011513535651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45.422011513535651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382.55387448074327</v>
      </c>
      <c r="T103" s="59">
        <f t="shared" si="88"/>
        <v>476.29465646955543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5.8920811529715138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50.150549086048045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425.99999999999983</v>
      </c>
      <c r="AJ103" s="13">
        <f>AI103*VLOOKUP('Données projet'!$B$10,Paramètres!$A$1:$I$89,3,0)*VLOOKUP('Données projet'!$B$10,Paramètres!$A$1:$I$89,5,0)</f>
        <v>232.59599999999992</v>
      </c>
      <c r="AK103" s="13">
        <f t="shared" si="89"/>
        <v>56.843630236302218</v>
      </c>
      <c r="AL103" s="20">
        <f t="shared" si="58"/>
        <v>504.10735599489294</v>
      </c>
      <c r="AM103" s="59">
        <f t="shared" si="59"/>
        <v>797.4406893282262</v>
      </c>
      <c r="AN103" s="59">
        <f ca="1">AVERAGE(OFFSET($AM$3,0,0,'Données projet'!$E$10+1,1))-AVERAGE(OFFSET($H$3,0,0,'Données projet'!$E$10+1,1))</f>
        <v>417.99456559608217</v>
      </c>
      <c r="AO103" s="59">
        <f t="shared" si="90"/>
        <v>651.41353014863932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142.52620741790804</v>
      </c>
      <c r="AV103" s="21">
        <f>EXP(-LN(2)/25)*AV102+(1-EXP(-LN(2)/25))/(LN(2)/25)*Calculateur!AQ103*Calculateur!AS103*VLOOKUP('Données projet'!$B$10,Paramètres!$A$1:$I$89,3,0)*0.475*44/12</f>
        <v>6.6505671250286342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149.17677454293667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236.00000000000003</v>
      </c>
      <c r="BE103" s="13">
        <f>BD103*VLOOKUP('Données projet'!$B$11,Paramètres!$A$1:$I$89,3,0)*VLOOKUP('Données projet'!$B$11,Paramètres!$A$1:$I$89,5,0)</f>
        <v>206.16960000000006</v>
      </c>
      <c r="BF103" s="13">
        <f t="shared" si="91"/>
        <v>51.097652263007333</v>
      </c>
      <c r="BG103" s="20">
        <f t="shared" si="61"/>
        <v>448.07379769140448</v>
      </c>
      <c r="BH103" s="59">
        <f t="shared" si="62"/>
        <v>741.40713102473774</v>
      </c>
      <c r="BI103" s="59">
        <f ca="1">AVERAGE(OFFSET($BH$3,0,0,'Données projet'!$E$11+1,1))-AVERAGE(OFFSET($H$3,0,0,'Données projet'!$E$11+1,1))</f>
        <v>247.61330734992077</v>
      </c>
      <c r="BJ103" s="59">
        <f t="shared" si="92"/>
        <v>278.55937893537259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44.531313572446628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44.531313572446628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382.55387448074327</v>
      </c>
      <c r="T104" s="59">
        <f t="shared" si="88"/>
        <v>476.29465646955543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5.7309618839924266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49.121548255901232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425.99999999999983</v>
      </c>
      <c r="AJ104" s="13">
        <f>AI104*VLOOKUP('Données projet'!$B$10,Paramètres!$A$1:$I$89,3,0)*VLOOKUP('Données projet'!$B$10,Paramètres!$A$1:$I$89,5,0)</f>
        <v>232.59599999999992</v>
      </c>
      <c r="AK104" s="13">
        <f t="shared" si="89"/>
        <v>56.843630236302218</v>
      </c>
      <c r="AL104" s="20">
        <f t="shared" si="58"/>
        <v>504.10735599489294</v>
      </c>
      <c r="AM104" s="59">
        <f t="shared" si="59"/>
        <v>797.4406893282262</v>
      </c>
      <c r="AN104" s="59">
        <f ca="1">AVERAGE(OFFSET($AM$3,0,0,'Données projet'!$E$10+1,1))-AVERAGE(OFFSET($H$3,0,0,'Données projet'!$E$10+1,1))</f>
        <v>417.99456559608217</v>
      </c>
      <c r="AO104" s="59">
        <f t="shared" si="90"/>
        <v>651.41353014863932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139.73135542284552</v>
      </c>
      <c r="AV104" s="21">
        <f>EXP(-LN(2)/25)*AV103+(1-EXP(-LN(2)/25))/(LN(2)/25)*Calculateur!AQ104*Calculateur!AS104*VLOOKUP('Données projet'!$B$10,Paramètres!$A$1:$I$89,3,0)*0.475*44/12</f>
        <v>6.4687070172566008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146.20006244010213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236.00000000000003</v>
      </c>
      <c r="BE104" s="13">
        <f>BD104*VLOOKUP('Données projet'!$B$11,Paramètres!$A$1:$I$89,3,0)*VLOOKUP('Données projet'!$B$11,Paramètres!$A$1:$I$89,5,0)</f>
        <v>206.16960000000006</v>
      </c>
      <c r="BF104" s="13">
        <f t="shared" si="91"/>
        <v>51.097652263007333</v>
      </c>
      <c r="BG104" s="20">
        <f t="shared" si="61"/>
        <v>448.07379769140448</v>
      </c>
      <c r="BH104" s="59">
        <f t="shared" si="62"/>
        <v>741.40713102473774</v>
      </c>
      <c r="BI104" s="59">
        <f ca="1">AVERAGE(OFFSET($BH$3,0,0,'Données projet'!$E$11+1,1))-AVERAGE(OFFSET($H$3,0,0,'Données projet'!$E$11+1,1))</f>
        <v>247.61330734992077</v>
      </c>
      <c r="BJ104" s="59">
        <f t="shared" si="92"/>
        <v>278.55937893537259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43.65808167471026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43.65808167471026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382.55387448074327</v>
      </c>
      <c r="T105" s="59">
        <f t="shared" si="88"/>
        <v>476.29465646955543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5.5742484298964667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48.113971868696559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425.99999999999983</v>
      </c>
      <c r="AJ105" s="13">
        <f>AI105*VLOOKUP('Données projet'!$B$10,Paramètres!$A$1:$I$89,3,0)*VLOOKUP('Données projet'!$B$10,Paramètres!$A$1:$I$89,5,0)</f>
        <v>232.59599999999992</v>
      </c>
      <c r="AK105" s="13">
        <f t="shared" si="89"/>
        <v>56.843630236302218</v>
      </c>
      <c r="AL105" s="20">
        <f t="shared" si="58"/>
        <v>504.10735599489294</v>
      </c>
      <c r="AM105" s="59">
        <f t="shared" si="59"/>
        <v>797.4406893282262</v>
      </c>
      <c r="AN105" s="59">
        <f ca="1">AVERAGE(OFFSET($AM$3,0,0,'Données projet'!$E$10+1,1))-AVERAGE(OFFSET($H$3,0,0,'Données projet'!$E$10+1,1))</f>
        <v>417.99456559608217</v>
      </c>
      <c r="AO105" s="59">
        <f t="shared" si="90"/>
        <v>651.41353014863932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136.9913087707148</v>
      </c>
      <c r="AV105" s="21">
        <f>EXP(-LN(2)/25)*AV104+(1-EXP(-LN(2)/25))/(LN(2)/25)*Calculateur!AQ105*Calculateur!AS105*VLOOKUP('Données projet'!$B$10,Paramètres!$A$1:$I$89,3,0)*0.475*44/12</f>
        <v>6.2918198836952017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143.28312865441001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236.00000000000003</v>
      </c>
      <c r="BE105" s="13">
        <f>BD105*VLOOKUP('Données projet'!$B$11,Paramètres!$A$1:$I$89,3,0)*VLOOKUP('Données projet'!$B$11,Paramètres!$A$1:$I$89,5,0)</f>
        <v>206.16960000000006</v>
      </c>
      <c r="BF105" s="13">
        <f t="shared" si="91"/>
        <v>51.097652263007333</v>
      </c>
      <c r="BG105" s="20">
        <f t="shared" si="61"/>
        <v>448.07379769140448</v>
      </c>
      <c r="BH105" s="59">
        <f t="shared" si="62"/>
        <v>741.40713102473774</v>
      </c>
      <c r="BI105" s="59">
        <f ca="1">AVERAGE(OFFSET($BH$3,0,0,'Données projet'!$E$11+1,1))-AVERAGE(OFFSET($H$3,0,0,'Données projet'!$E$11+1,1))</f>
        <v>247.61330734992077</v>
      </c>
      <c r="BJ105" s="59">
        <f t="shared" si="92"/>
        <v>278.55937893537259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42.801973321869639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42.801973321869639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382.55387448074327</v>
      </c>
      <c r="T106" s="59">
        <f t="shared" si="88"/>
        <v>476.29465646955543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5.4218203134439626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47.127365722278469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425.99999999999983</v>
      </c>
      <c r="AJ106" s="13">
        <f>AI106*VLOOKUP('Données projet'!$B$10,Paramètres!$A$1:$I$89,3,0)*VLOOKUP('Données projet'!$B$10,Paramètres!$A$1:$I$89,5,0)</f>
        <v>232.59599999999992</v>
      </c>
      <c r="AK106" s="13">
        <f t="shared" si="89"/>
        <v>56.843630236302218</v>
      </c>
      <c r="AL106" s="20">
        <f t="shared" si="58"/>
        <v>504.10735599489294</v>
      </c>
      <c r="AM106" s="59">
        <f t="shared" si="59"/>
        <v>797.4406893282262</v>
      </c>
      <c r="AN106" s="59">
        <f ca="1">AVERAGE(OFFSET($AM$3,0,0,'Données projet'!$E$10+1,1))-AVERAGE(OFFSET($H$3,0,0,'Données projet'!$E$10+1,1))</f>
        <v>417.99456559608217</v>
      </c>
      <c r="AO106" s="59">
        <f t="shared" si="90"/>
        <v>651.41353014863932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134.30499276216892</v>
      </c>
      <c r="AV106" s="21">
        <f>EXP(-LN(2)/25)*AV105+(1-EXP(-LN(2)/25))/(LN(2)/25)*Calculateur!AQ106*Calculateur!AS106*VLOOKUP('Données projet'!$B$10,Paramètres!$A$1:$I$89,3,0)*0.475*44/12</f>
        <v>6.1197697381031286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140.42476250027204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236.00000000000003</v>
      </c>
      <c r="BE106" s="13">
        <f>BD106*VLOOKUP('Données projet'!$B$11,Paramètres!$A$1:$I$89,3,0)*VLOOKUP('Données projet'!$B$11,Paramètres!$A$1:$I$89,5,0)</f>
        <v>206.16960000000006</v>
      </c>
      <c r="BF106" s="13">
        <f t="shared" si="91"/>
        <v>51.097652263007333</v>
      </c>
      <c r="BG106" s="20">
        <f t="shared" si="61"/>
        <v>448.07379769140448</v>
      </c>
      <c r="BH106" s="59">
        <f t="shared" si="62"/>
        <v>741.40713102473774</v>
      </c>
      <c r="BI106" s="59">
        <f ca="1">AVERAGE(OFFSET($BH$3,0,0,'Données projet'!$E$11+1,1))-AVERAGE(OFFSET($H$3,0,0,'Données projet'!$E$11+1,1))</f>
        <v>247.61330734992077</v>
      </c>
      <c r="BJ106" s="59">
        <f t="shared" si="92"/>
        <v>278.55937893537259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41.962652731653684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41.962652731653684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382.55387448074327</v>
      </c>
      <c r="T107" s="59">
        <f t="shared" si="88"/>
        <v>476.29465646955543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5.2735603518516987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46.161285453089874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425.99999999999983</v>
      </c>
      <c r="AJ107" s="13">
        <f>AI107*VLOOKUP('Données projet'!$B$10,Paramètres!$A$1:$I$89,3,0)*VLOOKUP('Données projet'!$B$10,Paramètres!$A$1:$I$89,5,0)</f>
        <v>232.59599999999992</v>
      </c>
      <c r="AK107" s="13">
        <f t="shared" si="89"/>
        <v>56.843630236302218</v>
      </c>
      <c r="AL107" s="20">
        <f t="shared" si="58"/>
        <v>504.10735599489294</v>
      </c>
      <c r="AM107" s="59">
        <f t="shared" si="59"/>
        <v>797.4406893282262</v>
      </c>
      <c r="AN107" s="59">
        <f ca="1">AVERAGE(OFFSET($AM$3,0,0,'Données projet'!$E$10+1,1))-AVERAGE(OFFSET($H$3,0,0,'Données projet'!$E$10+1,1))</f>
        <v>417.99456559608217</v>
      </c>
      <c r="AO107" s="59">
        <f t="shared" si="90"/>
        <v>651.41353014863932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131.67135377205966</v>
      </c>
      <c r="AV107" s="21">
        <f>EXP(-LN(2)/25)*AV106+(1-EXP(-LN(2)/25))/(LN(2)/25)*Calculateur!AQ107*Calculateur!AS107*VLOOKUP('Données projet'!$B$10,Paramètres!$A$1:$I$89,3,0)*0.475*44/12</f>
        <v>5.9524243127899954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137.62377808484965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236.00000000000003</v>
      </c>
      <c r="BE107" s="13">
        <f>BD107*VLOOKUP('Données projet'!$B$11,Paramètres!$A$1:$I$89,3,0)*VLOOKUP('Données projet'!$B$11,Paramètres!$A$1:$I$89,5,0)</f>
        <v>206.16960000000006</v>
      </c>
      <c r="BF107" s="13">
        <f t="shared" si="91"/>
        <v>51.097652263007333</v>
      </c>
      <c r="BG107" s="20">
        <f t="shared" si="61"/>
        <v>448.07379769140448</v>
      </c>
      <c r="BH107" s="59">
        <f t="shared" si="62"/>
        <v>741.40713102473774</v>
      </c>
      <c r="BI107" s="59">
        <f ca="1">AVERAGE(OFFSET($BH$3,0,0,'Données projet'!$E$11+1,1))-AVERAGE(OFFSET($H$3,0,0,'Données projet'!$E$11+1,1))</f>
        <v>247.61330734992077</v>
      </c>
      <c r="BJ107" s="59">
        <f t="shared" si="92"/>
        <v>278.55937893537259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41.139790706276855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41.139790706276855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382.55387448074327</v>
      </c>
      <c r="T108" s="59">
        <f t="shared" si="88"/>
        <v>476.29465646955543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5.1293545667058282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45.215296317758508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425.99999999999983</v>
      </c>
      <c r="AJ108" s="13">
        <f>AI108*VLOOKUP('Données projet'!$B$10,Paramètres!$A$1:$I$89,3,0)*VLOOKUP('Données projet'!$B$10,Paramètres!$A$1:$I$89,5,0)</f>
        <v>232.59599999999992</v>
      </c>
      <c r="AK108" s="13">
        <f t="shared" si="89"/>
        <v>56.843630236302218</v>
      </c>
      <c r="AL108" s="20">
        <f t="shared" si="58"/>
        <v>504.10735599489294</v>
      </c>
      <c r="AM108" s="59">
        <f t="shared" si="59"/>
        <v>797.4406893282262</v>
      </c>
      <c r="AN108" s="59">
        <f ca="1">AVERAGE(OFFSET($AM$3,0,0,'Données projet'!$E$10+1,1))-AVERAGE(OFFSET($H$3,0,0,'Données projet'!$E$10+1,1))</f>
        <v>417.99456559608217</v>
      </c>
      <c r="AO108" s="59">
        <f t="shared" si="90"/>
        <v>651.41353014863932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129.08935883618526</v>
      </c>
      <c r="AV108" s="21">
        <f>EXP(-LN(2)/25)*AV107+(1-EXP(-LN(2)/25))/(LN(2)/25)*Calculateur!AQ108*Calculateur!AS108*VLOOKUP('Données projet'!$B$10,Paramètres!$A$1:$I$89,3,0)*0.475*44/12</f>
        <v>5.7896549569323632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134.87901379311762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236.00000000000003</v>
      </c>
      <c r="BE108" s="13">
        <f>BD108*VLOOKUP('Données projet'!$B$11,Paramètres!$A$1:$I$89,3,0)*VLOOKUP('Données projet'!$B$11,Paramètres!$A$1:$I$89,5,0)</f>
        <v>206.16960000000006</v>
      </c>
      <c r="BF108" s="13">
        <f t="shared" si="91"/>
        <v>51.097652263007333</v>
      </c>
      <c r="BG108" s="20">
        <f t="shared" si="61"/>
        <v>448.07379769140448</v>
      </c>
      <c r="BH108" s="59">
        <f t="shared" si="62"/>
        <v>741.40713102473774</v>
      </c>
      <c r="BI108" s="59">
        <f ca="1">AVERAGE(OFFSET($BH$3,0,0,'Données projet'!$E$11+1,1))-AVERAGE(OFFSET($H$3,0,0,'Données projet'!$E$11+1,1))</f>
        <v>247.61330734992077</v>
      </c>
      <c r="BJ108" s="59">
        <f t="shared" si="92"/>
        <v>278.55937893537259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40.333064503321388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40.333064503321388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382.55387448074327</v>
      </c>
      <c r="T109" s="59">
        <f t="shared" si="88"/>
        <v>476.29465646955543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4.9890920963382239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44.288972979662994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425.99999999999983</v>
      </c>
      <c r="AJ109" s="13">
        <f>AI109*VLOOKUP('Données projet'!$B$10,Paramètres!$A$1:$I$89,3,0)*VLOOKUP('Données projet'!$B$10,Paramètres!$A$1:$I$89,5,0)</f>
        <v>232.59599999999992</v>
      </c>
      <c r="AK109" s="13">
        <f t="shared" si="89"/>
        <v>56.843630236302218</v>
      </c>
      <c r="AL109" s="20">
        <f t="shared" si="58"/>
        <v>504.10735599489294</v>
      </c>
      <c r="AM109" s="59">
        <f t="shared" si="59"/>
        <v>797.4406893282262</v>
      </c>
      <c r="AN109" s="59">
        <f ca="1">AVERAGE(OFFSET($AM$3,0,0,'Données projet'!$E$10+1,1))-AVERAGE(OFFSET($H$3,0,0,'Données projet'!$E$10+1,1))</f>
        <v>417.99456559608217</v>
      </c>
      <c r="AO109" s="59">
        <f t="shared" si="90"/>
        <v>651.41353014863932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126.55799524614194</v>
      </c>
      <c r="AV109" s="21">
        <f>EXP(-LN(2)/25)*AV108+(1-EXP(-LN(2)/25))/(LN(2)/25)*Calculateur!AQ109*Calculateur!AS109*VLOOKUP('Données projet'!$B$10,Paramètres!$A$1:$I$89,3,0)*0.475*44/12</f>
        <v>5.6313365376703262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132.18933178381226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236.00000000000003</v>
      </c>
      <c r="BE109" s="13">
        <f>BD109*VLOOKUP('Données projet'!$B$11,Paramètres!$A$1:$I$89,3,0)*VLOOKUP('Données projet'!$B$11,Paramètres!$A$1:$I$89,5,0)</f>
        <v>206.16960000000006</v>
      </c>
      <c r="BF109" s="13">
        <f t="shared" si="91"/>
        <v>51.097652263007333</v>
      </c>
      <c r="BG109" s="20">
        <f t="shared" si="61"/>
        <v>448.07379769140448</v>
      </c>
      <c r="BH109" s="59">
        <f t="shared" si="62"/>
        <v>741.40713102473774</v>
      </c>
      <c r="BI109" s="59">
        <f ca="1">AVERAGE(OFFSET($BH$3,0,0,'Données projet'!$E$11+1,1))-AVERAGE(OFFSET($H$3,0,0,'Données projet'!$E$11+1,1))</f>
        <v>247.61330734992077</v>
      </c>
      <c r="BJ109" s="59">
        <f t="shared" si="92"/>
        <v>278.55937893537259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39.542157709151482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39.542157709151482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382.55387448074327</v>
      </c>
      <c r="T110" s="59">
        <f t="shared" si="88"/>
        <v>476.29465646955543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4.8526651105989043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43.381899300362115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425.99999999999983</v>
      </c>
      <c r="AJ110" s="13">
        <f>AI110*VLOOKUP('Données projet'!$B$10,Paramètres!$A$1:$I$89,3,0)*VLOOKUP('Données projet'!$B$10,Paramètres!$A$1:$I$89,5,0)</f>
        <v>232.59599999999992</v>
      </c>
      <c r="AK110" s="13">
        <f t="shared" si="89"/>
        <v>56.843630236302218</v>
      </c>
      <c r="AL110" s="20">
        <f t="shared" si="58"/>
        <v>504.10735599489294</v>
      </c>
      <c r="AM110" s="59">
        <f t="shared" si="59"/>
        <v>797.4406893282262</v>
      </c>
      <c r="AN110" s="59">
        <f ca="1">AVERAGE(OFFSET($AM$3,0,0,'Données projet'!$E$10+1,1))-AVERAGE(OFFSET($H$3,0,0,'Données projet'!$E$10+1,1))</f>
        <v>417.99456559608217</v>
      </c>
      <c r="AO110" s="59">
        <f t="shared" si="90"/>
        <v>651.41353014863932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124.07627015212005</v>
      </c>
      <c r="AV110" s="21">
        <f>EXP(-LN(2)/25)*AV109+(1-EXP(-LN(2)/25))/(LN(2)/25)*Calculateur!AQ110*Calculateur!AS110*VLOOKUP('Données projet'!$B$10,Paramètres!$A$1:$I$89,3,0)*0.475*44/12</f>
        <v>5.4773473439086136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129.55361749602866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236.00000000000003</v>
      </c>
      <c r="BE110" s="13">
        <f>BD110*VLOOKUP('Données projet'!$B$11,Paramètres!$A$1:$I$89,3,0)*VLOOKUP('Données projet'!$B$11,Paramètres!$A$1:$I$89,5,0)</f>
        <v>206.16960000000006</v>
      </c>
      <c r="BF110" s="13">
        <f t="shared" si="91"/>
        <v>51.097652263007333</v>
      </c>
      <c r="BG110" s="20">
        <f t="shared" si="61"/>
        <v>448.07379769140448</v>
      </c>
      <c r="BH110" s="59">
        <f t="shared" si="62"/>
        <v>741.40713102473774</v>
      </c>
      <c r="BI110" s="59">
        <f ca="1">AVERAGE(OFFSET($BH$3,0,0,'Données projet'!$E$11+1,1))-AVERAGE(OFFSET($H$3,0,0,'Données projet'!$E$11+1,1))</f>
        <v>247.61330734992077</v>
      </c>
      <c r="BJ110" s="59">
        <f t="shared" si="92"/>
        <v>278.55937893537259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38.766760114809735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38.766760114809735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382.55387448074327</v>
      </c>
      <c r="T111" s="59">
        <f t="shared" si="88"/>
        <v>476.29465646955543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4.7199687279590101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42.493668135773333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425.99999999999983</v>
      </c>
      <c r="AJ111" s="13">
        <f>AI111*VLOOKUP('Données projet'!$B$10,Paramètres!$A$1:$I$89,3,0)*VLOOKUP('Données projet'!$B$10,Paramètres!$A$1:$I$89,5,0)</f>
        <v>232.59599999999992</v>
      </c>
      <c r="AK111" s="13">
        <f t="shared" si="89"/>
        <v>56.843630236302218</v>
      </c>
      <c r="AL111" s="20">
        <f t="shared" si="58"/>
        <v>504.10735599489294</v>
      </c>
      <c r="AM111" s="59">
        <f t="shared" si="59"/>
        <v>797.4406893282262</v>
      </c>
      <c r="AN111" s="59">
        <f ca="1">AVERAGE(OFFSET($AM$3,0,0,'Données projet'!$E$10+1,1))-AVERAGE(OFFSET($H$3,0,0,'Données projet'!$E$10+1,1))</f>
        <v>417.99456559608217</v>
      </c>
      <c r="AO111" s="59">
        <f t="shared" si="90"/>
        <v>651.41353014863932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121.64321017348908</v>
      </c>
      <c r="AV111" s="21">
        <f>EXP(-LN(2)/25)*AV110+(1-EXP(-LN(2)/25))/(LN(2)/25)*Calculateur!AQ111*Calculateur!AS111*VLOOKUP('Données projet'!$B$10,Paramètres!$A$1:$I$89,3,0)*0.475*44/12</f>
        <v>5.3275689927482546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126.97077916623734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236.00000000000003</v>
      </c>
      <c r="BE111" s="13">
        <f>BD111*VLOOKUP('Données projet'!$B$11,Paramètres!$A$1:$I$89,3,0)*VLOOKUP('Données projet'!$B$11,Paramètres!$A$1:$I$89,5,0)</f>
        <v>206.16960000000006</v>
      </c>
      <c r="BF111" s="13">
        <f t="shared" si="91"/>
        <v>51.097652263007333</v>
      </c>
      <c r="BG111" s="20">
        <f t="shared" si="61"/>
        <v>448.07379769140448</v>
      </c>
      <c r="BH111" s="59">
        <f t="shared" si="62"/>
        <v>741.40713102473774</v>
      </c>
      <c r="BI111" s="59">
        <f ca="1">AVERAGE(OFFSET($BH$3,0,0,'Données projet'!$E$11+1,1))-AVERAGE(OFFSET($H$3,0,0,'Données projet'!$E$11+1,1))</f>
        <v>247.61330734992077</v>
      </c>
      <c r="BJ111" s="59">
        <f t="shared" si="92"/>
        <v>278.55937893537259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38.006567594347196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38.006567594347196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382.55387448074327</v>
      </c>
      <c r="T112" s="59">
        <f t="shared" si="88"/>
        <v>476.29465646955543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4.5909009348806036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41.623881136989347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425.99999999999983</v>
      </c>
      <c r="AJ112" s="13">
        <f>AI112*VLOOKUP('Données projet'!$B$10,Paramètres!$A$1:$I$89,3,0)*VLOOKUP('Données projet'!$B$10,Paramètres!$A$1:$I$89,5,0)</f>
        <v>232.59599999999992</v>
      </c>
      <c r="AK112" s="13">
        <f t="shared" si="89"/>
        <v>56.843630236302218</v>
      </c>
      <c r="AL112" s="20">
        <f t="shared" si="58"/>
        <v>504.10735599489294</v>
      </c>
      <c r="AM112" s="59">
        <f t="shared" si="59"/>
        <v>797.4406893282262</v>
      </c>
      <c r="AN112" s="59">
        <f ca="1">AVERAGE(OFFSET($AM$3,0,0,'Données projet'!$E$10+1,1))-AVERAGE(OFFSET($H$3,0,0,'Données projet'!$E$10+1,1))</f>
        <v>417.99456559608217</v>
      </c>
      <c r="AO112" s="59">
        <f t="shared" si="90"/>
        <v>651.41353014863932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119.25786101701901</v>
      </c>
      <c r="AV112" s="21">
        <f>EXP(-LN(2)/25)*AV111+(1-EXP(-LN(2)/25))/(LN(2)/25)*Calculateur!AQ112*Calculateur!AS112*VLOOKUP('Données projet'!$B$10,Paramètres!$A$1:$I$89,3,0)*0.475*44/12</f>
        <v>5.1818863384768763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124.43974735549588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236.00000000000003</v>
      </c>
      <c r="BE112" s="13">
        <f>BD112*VLOOKUP('Données projet'!$B$11,Paramètres!$A$1:$I$89,3,0)*VLOOKUP('Données projet'!$B$11,Paramètres!$A$1:$I$89,5,0)</f>
        <v>206.16960000000006</v>
      </c>
      <c r="BF112" s="13">
        <f t="shared" si="91"/>
        <v>51.097652263007333</v>
      </c>
      <c r="BG112" s="20">
        <f t="shared" si="61"/>
        <v>448.07379769140448</v>
      </c>
      <c r="BH112" s="59">
        <f t="shared" si="62"/>
        <v>741.40713102473774</v>
      </c>
      <c r="BI112" s="59">
        <f ca="1">AVERAGE(OFFSET($BH$3,0,0,'Données projet'!$E$11+1,1))-AVERAGE(OFFSET($H$3,0,0,'Données projet'!$E$11+1,1))</f>
        <v>247.61330734992077</v>
      </c>
      <c r="BJ112" s="59">
        <f t="shared" si="92"/>
        <v>278.55937893537259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37.261281985539277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37.261281985539277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382.55387448074327</v>
      </c>
      <c r="T113" s="59">
        <f t="shared" si="88"/>
        <v>476.29465646955543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4.4653625073913057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40.772148555624256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425.99999999999983</v>
      </c>
      <c r="AJ113" s="13">
        <f>AI113*VLOOKUP('Données projet'!$B$10,Paramètres!$A$1:$I$89,3,0)*VLOOKUP('Données projet'!$B$10,Paramètres!$A$1:$I$89,5,0)</f>
        <v>232.59599999999992</v>
      </c>
      <c r="AK113" s="13">
        <f t="shared" si="89"/>
        <v>56.843630236302218</v>
      </c>
      <c r="AL113" s="20">
        <f t="shared" si="58"/>
        <v>504.10735599489294</v>
      </c>
      <c r="AM113" s="59">
        <f t="shared" si="59"/>
        <v>797.4406893282262</v>
      </c>
      <c r="AN113" s="59">
        <f ca="1">AVERAGE(OFFSET($AM$3,0,0,'Données projet'!$E$10+1,1))-AVERAGE(OFFSET($H$3,0,0,'Données projet'!$E$10+1,1))</f>
        <v>417.99456559608217</v>
      </c>
      <c r="AO113" s="59">
        <f t="shared" si="90"/>
        <v>651.41353014863932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116.919287102588</v>
      </c>
      <c r="AV113" s="21">
        <f>EXP(-LN(2)/25)*AV112+(1-EXP(-LN(2)/25))/(LN(2)/25)*Calculateur!AQ113*Calculateur!AS113*VLOOKUP('Données projet'!$B$10,Paramètres!$A$1:$I$89,3,0)*0.475*44/12</f>
        <v>5.040187384047667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121.95947448663567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236.00000000000003</v>
      </c>
      <c r="BE113" s="13">
        <f>BD113*VLOOKUP('Données projet'!$B$11,Paramètres!$A$1:$I$89,3,0)*VLOOKUP('Données projet'!$B$11,Paramètres!$A$1:$I$89,5,0)</f>
        <v>206.16960000000006</v>
      </c>
      <c r="BF113" s="13">
        <f t="shared" si="91"/>
        <v>51.097652263007333</v>
      </c>
      <c r="BG113" s="20">
        <f t="shared" si="61"/>
        <v>448.07379769140448</v>
      </c>
      <c r="BH113" s="59">
        <f t="shared" si="62"/>
        <v>741.40713102473774</v>
      </c>
      <c r="BI113" s="59">
        <f ca="1">AVERAGE(OFFSET($BH$3,0,0,'Données projet'!$E$11+1,1))-AVERAGE(OFFSET($H$3,0,0,'Données projet'!$E$11+1,1))</f>
        <v>247.61330734992077</v>
      </c>
      <c r="BJ113" s="59">
        <f t="shared" si="92"/>
        <v>278.55937893537259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36.530610972940742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36.530610972940742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382.55387448074327</v>
      </c>
      <c r="T114" s="59">
        <f t="shared" si="88"/>
        <v>476.29465646955543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4.343256934803482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39.938089053583447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425.99999999999983</v>
      </c>
      <c r="AJ114" s="13">
        <f>AI114*VLOOKUP('Données projet'!$B$10,Paramètres!$A$1:$I$89,3,0)*VLOOKUP('Données projet'!$B$10,Paramètres!$A$1:$I$89,5,0)</f>
        <v>232.59599999999992</v>
      </c>
      <c r="AK114" s="13">
        <f t="shared" si="89"/>
        <v>56.843630236302218</v>
      </c>
      <c r="AL114" s="20">
        <f t="shared" si="58"/>
        <v>504.10735599489294</v>
      </c>
      <c r="AM114" s="59">
        <f t="shared" si="59"/>
        <v>797.4406893282262</v>
      </c>
      <c r="AN114" s="59">
        <f ca="1">AVERAGE(OFFSET($AM$3,0,0,'Données projet'!$E$10+1,1))-AVERAGE(OFFSET($H$3,0,0,'Données projet'!$E$10+1,1))</f>
        <v>417.99456559608217</v>
      </c>
      <c r="AO114" s="59">
        <f t="shared" si="90"/>
        <v>651.41353014863932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114.62657119622973</v>
      </c>
      <c r="AV114" s="21">
        <f>EXP(-LN(2)/25)*AV113+(1-EXP(-LN(2)/25))/(LN(2)/25)*Calculateur!AQ114*Calculateur!AS114*VLOOKUP('Données projet'!$B$10,Paramètres!$A$1:$I$89,3,0)*0.475*44/12</f>
        <v>4.9023631949789488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119.52893439120868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236.00000000000003</v>
      </c>
      <c r="BE114" s="13">
        <f>BD114*VLOOKUP('Données projet'!$B$11,Paramètres!$A$1:$I$89,3,0)*VLOOKUP('Données projet'!$B$11,Paramètres!$A$1:$I$89,5,0)</f>
        <v>206.16960000000006</v>
      </c>
      <c r="BF114" s="13">
        <f t="shared" si="91"/>
        <v>51.097652263007333</v>
      </c>
      <c r="BG114" s="20">
        <f t="shared" si="61"/>
        <v>448.07379769140448</v>
      </c>
      <c r="BH114" s="59">
        <f t="shared" si="62"/>
        <v>741.40713102473774</v>
      </c>
      <c r="BI114" s="59">
        <f ca="1">AVERAGE(OFFSET($BH$3,0,0,'Données projet'!$E$11+1,1))-AVERAGE(OFFSET($H$3,0,0,'Données projet'!$E$11+1,1))</f>
        <v>247.61330734992077</v>
      </c>
      <c r="BJ114" s="59">
        <f t="shared" si="92"/>
        <v>278.55937893537259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35.814267973233953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35.814267973233953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382.55387448074327</v>
      </c>
      <c r="T115" s="59">
        <f t="shared" si="88"/>
        <v>476.29465646955543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4.2244903455193255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39.121329517153853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425.99999999999983</v>
      </c>
      <c r="AJ115" s="13">
        <f>AI115*VLOOKUP('Données projet'!$B$10,Paramètres!$A$1:$I$89,3,0)*VLOOKUP('Données projet'!$B$10,Paramètres!$A$1:$I$89,5,0)</f>
        <v>232.59599999999992</v>
      </c>
      <c r="AK115" s="13">
        <f t="shared" si="89"/>
        <v>56.843630236302218</v>
      </c>
      <c r="AL115" s="20">
        <f t="shared" si="58"/>
        <v>504.10735599489294</v>
      </c>
      <c r="AM115" s="59">
        <f t="shared" si="59"/>
        <v>797.4406893282262</v>
      </c>
      <c r="AN115" s="59">
        <f ca="1">AVERAGE(OFFSET($AM$3,0,0,'Données projet'!$E$10+1,1))-AVERAGE(OFFSET($H$3,0,0,'Données projet'!$E$10+1,1))</f>
        <v>417.99456559608217</v>
      </c>
      <c r="AO115" s="59">
        <f t="shared" si="90"/>
        <v>651.41353014863932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112.37881405037653</v>
      </c>
      <c r="AV115" s="21">
        <f>EXP(-LN(2)/25)*AV114+(1-EXP(-LN(2)/25))/(LN(2)/25)*Calculateur!AQ115*Calculateur!AS115*VLOOKUP('Données projet'!$B$10,Paramètres!$A$1:$I$89,3,0)*0.475*44/12</f>
        <v>4.7683078156081731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117.1471218659847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236.00000000000003</v>
      </c>
      <c r="BE115" s="13">
        <f>BD115*VLOOKUP('Données projet'!$B$11,Paramètres!$A$1:$I$89,3,0)*VLOOKUP('Données projet'!$B$11,Paramètres!$A$1:$I$89,5,0)</f>
        <v>206.16960000000006</v>
      </c>
      <c r="BF115" s="13">
        <f t="shared" si="91"/>
        <v>51.097652263007333</v>
      </c>
      <c r="BG115" s="20">
        <f t="shared" si="61"/>
        <v>448.07379769140448</v>
      </c>
      <c r="BH115" s="59">
        <f t="shared" si="62"/>
        <v>741.40713102473774</v>
      </c>
      <c r="BI115" s="59">
        <f ca="1">AVERAGE(OFFSET($BH$3,0,0,'Données projet'!$E$11+1,1))-AVERAGE(OFFSET($H$3,0,0,'Données projet'!$E$11+1,1))</f>
        <v>247.61330734992077</v>
      </c>
      <c r="BJ115" s="59">
        <f t="shared" si="92"/>
        <v>278.55937893537259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35.111972022825327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35.111972022825327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382.55387448074327</v>
      </c>
      <c r="T116" s="59">
        <f t="shared" si="88"/>
        <v>476.29465646955543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4.1089714348648076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38.321504875313757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425.99999999999983</v>
      </c>
      <c r="AJ116" s="13">
        <f>AI116*VLOOKUP('Données projet'!$B$10,Paramètres!$A$1:$I$89,3,0)*VLOOKUP('Données projet'!$B$10,Paramètres!$A$1:$I$89,5,0)</f>
        <v>232.59599999999992</v>
      </c>
      <c r="AK116" s="13">
        <f t="shared" si="89"/>
        <v>56.843630236302218</v>
      </c>
      <c r="AL116" s="20">
        <f t="shared" si="58"/>
        <v>504.10735599489294</v>
      </c>
      <c r="AM116" s="59">
        <f t="shared" si="59"/>
        <v>797.4406893282262</v>
      </c>
      <c r="AN116" s="59">
        <f ca="1">AVERAGE(OFFSET($AM$3,0,0,'Données projet'!$E$10+1,1))-AVERAGE(OFFSET($H$3,0,0,'Données projet'!$E$10+1,1))</f>
        <v>417.99456559608217</v>
      </c>
      <c r="AO116" s="59">
        <f t="shared" si="90"/>
        <v>651.41353014863932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110.17513405115703</v>
      </c>
      <c r="AV116" s="21">
        <f>EXP(-LN(2)/25)*AV115+(1-EXP(-LN(2)/25))/(LN(2)/25)*Calculateur!AQ116*Calculateur!AS116*VLOOKUP('Données projet'!$B$10,Paramètres!$A$1:$I$89,3,0)*0.475*44/12</f>
        <v>4.6379181876359574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114.81305223879299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236.00000000000003</v>
      </c>
      <c r="BE116" s="13">
        <f>BD116*VLOOKUP('Données projet'!$B$11,Paramètres!$A$1:$I$89,3,0)*VLOOKUP('Données projet'!$B$11,Paramètres!$A$1:$I$89,5,0)</f>
        <v>206.16960000000006</v>
      </c>
      <c r="BF116" s="13">
        <f t="shared" si="91"/>
        <v>51.097652263007333</v>
      </c>
      <c r="BG116" s="20">
        <f t="shared" si="61"/>
        <v>448.07379769140448</v>
      </c>
      <c r="BH116" s="59">
        <f t="shared" si="62"/>
        <v>741.40713102473774</v>
      </c>
      <c r="BI116" s="59">
        <f ca="1">AVERAGE(OFFSET($BH$3,0,0,'Données projet'!$E$11+1,1))-AVERAGE(OFFSET($H$3,0,0,'Données projet'!$E$11+1,1))</f>
        <v>247.61330734992077</v>
      </c>
      <c r="BJ116" s="59">
        <f t="shared" si="92"/>
        <v>278.55937893537259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34.423447667645981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34.423447667645981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382.55387448074327</v>
      </c>
      <c r="T117" s="59">
        <f t="shared" si="88"/>
        <v>476.29465646955543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3.996611394897013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37.538257922163659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425.99999999999983</v>
      </c>
      <c r="AJ117" s="13">
        <f>AI117*VLOOKUP('Données projet'!$B$10,Paramètres!$A$1:$I$89,3,0)*VLOOKUP('Données projet'!$B$10,Paramètres!$A$1:$I$89,5,0)</f>
        <v>232.59599999999992</v>
      </c>
      <c r="AK117" s="13">
        <f t="shared" si="89"/>
        <v>56.843630236302218</v>
      </c>
      <c r="AL117" s="20">
        <f t="shared" si="58"/>
        <v>504.10735599489294</v>
      </c>
      <c r="AM117" s="59">
        <f t="shared" si="59"/>
        <v>797.4406893282262</v>
      </c>
      <c r="AN117" s="59">
        <f ca="1">AVERAGE(OFFSET($AM$3,0,0,'Données projet'!$E$10+1,1))-AVERAGE(OFFSET($H$3,0,0,'Données projet'!$E$10+1,1))</f>
        <v>417.99456559608217</v>
      </c>
      <c r="AO117" s="59">
        <f t="shared" si="90"/>
        <v>651.41353014863932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108.01466687261015</v>
      </c>
      <c r="AV117" s="21">
        <f>EXP(-LN(2)/25)*AV116+(1-EXP(-LN(2)/25))/(LN(2)/25)*Calculateur!AQ117*Calculateur!AS117*VLOOKUP('Données projet'!$B$10,Paramètres!$A$1:$I$89,3,0)*0.475*44/12</f>
        <v>4.5110940708975349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112.52576094350769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236.00000000000003</v>
      </c>
      <c r="BE117" s="13">
        <f>BD117*VLOOKUP('Données projet'!$B$11,Paramètres!$A$1:$I$89,3,0)*VLOOKUP('Données projet'!$B$11,Paramètres!$A$1:$I$89,5,0)</f>
        <v>206.16960000000006</v>
      </c>
      <c r="BF117" s="13">
        <f t="shared" si="91"/>
        <v>51.097652263007333</v>
      </c>
      <c r="BG117" s="20">
        <f t="shared" si="61"/>
        <v>448.07379769140448</v>
      </c>
      <c r="BH117" s="59">
        <f t="shared" si="62"/>
        <v>741.40713102473774</v>
      </c>
      <c r="BI117" s="59">
        <f ca="1">AVERAGE(OFFSET($BH$3,0,0,'Données projet'!$E$11+1,1))-AVERAGE(OFFSET($H$3,0,0,'Données projet'!$E$11+1,1))</f>
        <v>247.61330734992077</v>
      </c>
      <c r="BJ117" s="59">
        <f t="shared" si="92"/>
        <v>278.55937893537259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33.748424855113313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33.748424855113313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382.55387448074327</v>
      </c>
      <c r="T118" s="59">
        <f t="shared" si="88"/>
        <v>476.29465646955543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3.8873238461308954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36.771239143382125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425.99999999999983</v>
      </c>
      <c r="AJ118" s="13">
        <f>AI118*VLOOKUP('Données projet'!$B$10,Paramètres!$A$1:$I$89,3,0)*VLOOKUP('Données projet'!$B$10,Paramètres!$A$1:$I$89,5,0)</f>
        <v>232.59599999999992</v>
      </c>
      <c r="AK118" s="13">
        <f t="shared" si="89"/>
        <v>56.843630236302218</v>
      </c>
      <c r="AL118" s="20">
        <f t="shared" si="58"/>
        <v>504.10735599489294</v>
      </c>
      <c r="AM118" s="59">
        <f t="shared" si="59"/>
        <v>797.4406893282262</v>
      </c>
      <c r="AN118" s="59">
        <f ca="1">AVERAGE(OFFSET($AM$3,0,0,'Données projet'!$E$10+1,1))-AVERAGE(OFFSET($H$3,0,0,'Données projet'!$E$10+1,1))</f>
        <v>417.99456559608217</v>
      </c>
      <c r="AO118" s="59">
        <f t="shared" si="90"/>
        <v>651.41353014863932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105.8965651376797</v>
      </c>
      <c r="AV118" s="21">
        <f>EXP(-LN(2)/25)*AV117+(1-EXP(-LN(2)/25))/(LN(2)/25)*Calculateur!AQ118*Calculateur!AS118*VLOOKUP('Données projet'!$B$10,Paramètres!$A$1:$I$89,3,0)*0.475*44/12</f>
        <v>4.3877379663007146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110.28430310398042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236.00000000000003</v>
      </c>
      <c r="BE118" s="13">
        <f>BD118*VLOOKUP('Données projet'!$B$11,Paramètres!$A$1:$I$89,3,0)*VLOOKUP('Données projet'!$B$11,Paramètres!$A$1:$I$89,5,0)</f>
        <v>206.16960000000006</v>
      </c>
      <c r="BF118" s="13">
        <f t="shared" si="91"/>
        <v>51.097652263007333</v>
      </c>
      <c r="BG118" s="20">
        <f t="shared" si="61"/>
        <v>448.07379769140448</v>
      </c>
      <c r="BH118" s="59">
        <f t="shared" si="62"/>
        <v>741.40713102473774</v>
      </c>
      <c r="BI118" s="59">
        <f ca="1">AVERAGE(OFFSET($BH$3,0,0,'Données projet'!$E$11+1,1))-AVERAGE(OFFSET($H$3,0,0,'Données projet'!$E$11+1,1))</f>
        <v>247.61330734992077</v>
      </c>
      <c r="BJ118" s="59">
        <f t="shared" si="92"/>
        <v>278.55937893537259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33.08663882821115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33.08663882821115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382.55387448074327</v>
      </c>
      <c r="T119" s="59">
        <f t="shared" si="88"/>
        <v>476.29465646955543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3.7810247711329694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36.020106546612951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425.99999999999983</v>
      </c>
      <c r="AJ119" s="13">
        <f>AI119*VLOOKUP('Données projet'!$B$10,Paramètres!$A$1:$I$89,3,0)*VLOOKUP('Données projet'!$B$10,Paramètres!$A$1:$I$89,5,0)</f>
        <v>232.59599999999992</v>
      </c>
      <c r="AK119" s="13">
        <f t="shared" si="89"/>
        <v>56.843630236302218</v>
      </c>
      <c r="AL119" s="20">
        <f t="shared" si="58"/>
        <v>504.10735599489294</v>
      </c>
      <c r="AM119" s="59">
        <f t="shared" si="59"/>
        <v>797.4406893282262</v>
      </c>
      <c r="AN119" s="59">
        <f ca="1">AVERAGE(OFFSET($AM$3,0,0,'Données projet'!$E$10+1,1))-AVERAGE(OFFSET($H$3,0,0,'Données projet'!$E$10+1,1))</f>
        <v>417.99456559608217</v>
      </c>
      <c r="AO119" s="59">
        <f t="shared" si="90"/>
        <v>651.41353014863932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103.81999808585675</v>
      </c>
      <c r="AV119" s="21">
        <f>EXP(-LN(2)/25)*AV118+(1-EXP(-LN(2)/25))/(LN(2)/25)*Calculateur!AQ119*Calculateur!AS119*VLOOKUP('Données projet'!$B$10,Paramètres!$A$1:$I$89,3,0)*0.475*44/12</f>
        <v>4.2677550408711102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108.08775312672786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236.00000000000003</v>
      </c>
      <c r="BE119" s="13">
        <f>BD119*VLOOKUP('Données projet'!$B$11,Paramètres!$A$1:$I$89,3,0)*VLOOKUP('Données projet'!$B$11,Paramètres!$A$1:$I$89,5,0)</f>
        <v>206.16960000000006</v>
      </c>
      <c r="BF119" s="13">
        <f t="shared" si="91"/>
        <v>51.097652263007333</v>
      </c>
      <c r="BG119" s="20">
        <f t="shared" si="61"/>
        <v>448.07379769140448</v>
      </c>
      <c r="BH119" s="59">
        <f t="shared" si="62"/>
        <v>741.40713102473774</v>
      </c>
      <c r="BI119" s="59">
        <f ca="1">AVERAGE(OFFSET($BH$3,0,0,'Données projet'!$E$11+1,1))-AVERAGE(OFFSET($H$3,0,0,'Données projet'!$E$11+1,1))</f>
        <v>247.61330734992077</v>
      </c>
      <c r="BJ119" s="59">
        <f t="shared" si="92"/>
        <v>278.55937893537259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32.437830021646917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32.437830021646917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382.55387448074327</v>
      </c>
      <c r="T120" s="59">
        <f t="shared" si="88"/>
        <v>476.29465646955543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3.6776324499308872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35.284525495691945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425.99999999999983</v>
      </c>
      <c r="AJ120" s="13">
        <f>AI120*VLOOKUP('Données projet'!$B$10,Paramètres!$A$1:$I$89,3,0)*VLOOKUP('Données projet'!$B$10,Paramètres!$A$1:$I$89,5,0)</f>
        <v>232.59599999999992</v>
      </c>
      <c r="AK120" s="13">
        <f t="shared" si="89"/>
        <v>56.843630236302218</v>
      </c>
      <c r="AL120" s="20">
        <f t="shared" si="58"/>
        <v>504.10735599489294</v>
      </c>
      <c r="AM120" s="59">
        <f t="shared" si="59"/>
        <v>797.4406893282262</v>
      </c>
      <c r="AN120" s="59">
        <f ca="1">AVERAGE(OFFSET($AM$3,0,0,'Données projet'!$E$10+1,1))-AVERAGE(OFFSET($H$3,0,0,'Données projet'!$E$10+1,1))</f>
        <v>417.99456559608217</v>
      </c>
      <c r="AO120" s="59">
        <f t="shared" si="90"/>
        <v>651.41353014863932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101.78415124733921</v>
      </c>
      <c r="AV120" s="21">
        <f>EXP(-LN(2)/25)*AV119+(1-EXP(-LN(2)/25))/(LN(2)/25)*Calculateur!AQ120*Calculateur!AS120*VLOOKUP('Données projet'!$B$10,Paramètres!$A$1:$I$89,3,0)*0.475*44/12</f>
        <v>4.1510530548470062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105.93520430218622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236.00000000000003</v>
      </c>
      <c r="BE120" s="13">
        <f>BD120*VLOOKUP('Données projet'!$B$11,Paramètres!$A$1:$I$89,3,0)*VLOOKUP('Données projet'!$B$11,Paramètres!$A$1:$I$89,5,0)</f>
        <v>206.16960000000006</v>
      </c>
      <c r="BF120" s="13">
        <f t="shared" si="91"/>
        <v>51.097652263007333</v>
      </c>
      <c r="BG120" s="20">
        <f t="shared" si="61"/>
        <v>448.07379769140448</v>
      </c>
      <c r="BH120" s="59">
        <f t="shared" si="62"/>
        <v>741.40713102473774</v>
      </c>
      <c r="BI120" s="59">
        <f ca="1">AVERAGE(OFFSET($BH$3,0,0,'Données projet'!$E$11+1,1))-AVERAGE(OFFSET($H$3,0,0,'Données projet'!$E$11+1,1))</f>
        <v>247.61330734992077</v>
      </c>
      <c r="BJ120" s="59">
        <f t="shared" si="92"/>
        <v>278.55937893537259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31.801743960045116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31.801743960045116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382.55387448074327</v>
      </c>
      <c r="T121" s="59">
        <f t="shared" si="88"/>
        <v>476.29465646955543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3.5770673971892419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34.564168548624103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425.99999999999983</v>
      </c>
      <c r="AJ121" s="13">
        <f>AI121*VLOOKUP('Données projet'!$B$10,Paramètres!$A$1:$I$89,3,0)*VLOOKUP('Données projet'!$B$10,Paramètres!$A$1:$I$89,5,0)</f>
        <v>232.59599999999992</v>
      </c>
      <c r="AK121" s="13">
        <f t="shared" si="89"/>
        <v>56.843630236302218</v>
      </c>
      <c r="AL121" s="20">
        <f t="shared" si="58"/>
        <v>504.10735599489294</v>
      </c>
      <c r="AM121" s="59">
        <f t="shared" si="59"/>
        <v>797.4406893282262</v>
      </c>
      <c r="AN121" s="59">
        <f ca="1">AVERAGE(OFFSET($AM$3,0,0,'Données projet'!$E$10+1,1))-AVERAGE(OFFSET($H$3,0,0,'Données projet'!$E$10+1,1))</f>
        <v>417.99456559608217</v>
      </c>
      <c r="AO121" s="59">
        <f t="shared" si="90"/>
        <v>651.41353014863932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99.78822612358104</v>
      </c>
      <c r="AV121" s="21">
        <f>EXP(-LN(2)/25)*AV120+(1-EXP(-LN(2)/25))/(LN(2)/25)*Calculateur!AQ121*Calculateur!AS121*VLOOKUP('Données projet'!$B$10,Paramètres!$A$1:$I$89,3,0)*0.475*44/12</f>
        <v>4.0375422907678216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103.82576841434886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236.00000000000003</v>
      </c>
      <c r="BE121" s="13">
        <f>BD121*VLOOKUP('Données projet'!$B$11,Paramètres!$A$1:$I$89,3,0)*VLOOKUP('Données projet'!$B$11,Paramètres!$A$1:$I$89,5,0)</f>
        <v>206.16960000000006</v>
      </c>
      <c r="BF121" s="13">
        <f t="shared" si="91"/>
        <v>51.097652263007333</v>
      </c>
      <c r="BG121" s="20">
        <f t="shared" si="61"/>
        <v>448.07379769140448</v>
      </c>
      <c r="BH121" s="59">
        <f t="shared" si="62"/>
        <v>741.40713102473774</v>
      </c>
      <c r="BI121" s="59">
        <f ca="1">AVERAGE(OFFSET($BH$3,0,0,'Données projet'!$E$11+1,1))-AVERAGE(OFFSET($H$3,0,0,'Données projet'!$E$11+1,1))</f>
        <v>247.61330734992077</v>
      </c>
      <c r="BJ121" s="59">
        <f t="shared" si="92"/>
        <v>278.55937893537259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31.178131158137138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31.178131158137138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382.55387448074327</v>
      </c>
      <c r="T122" s="59">
        <f t="shared" si="88"/>
        <v>476.29465646955543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3.4792523011033034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33.858715299223988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425.99999999999983</v>
      </c>
      <c r="AJ122" s="13">
        <f>AI122*VLOOKUP('Données projet'!$B$10,Paramètres!$A$1:$I$89,3,0)*VLOOKUP('Données projet'!$B$10,Paramètres!$A$1:$I$89,5,0)</f>
        <v>232.59599999999992</v>
      </c>
      <c r="AK122" s="13">
        <f t="shared" si="89"/>
        <v>56.843630236302218</v>
      </c>
      <c r="AL122" s="20">
        <f t="shared" si="58"/>
        <v>504.10735599489294</v>
      </c>
      <c r="AM122" s="59">
        <f t="shared" si="59"/>
        <v>797.4406893282262</v>
      </c>
      <c r="AN122" s="59">
        <f ca="1">AVERAGE(OFFSET($AM$3,0,0,'Données projet'!$E$10+1,1))-AVERAGE(OFFSET($H$3,0,0,'Données projet'!$E$10+1,1))</f>
        <v>417.99456559608217</v>
      </c>
      <c r="AO122" s="59">
        <f t="shared" si="90"/>
        <v>651.41353014863932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97.831439874105655</v>
      </c>
      <c r="AV122" s="21">
        <f>EXP(-LN(2)/25)*AV121+(1-EXP(-LN(2)/25))/(LN(2)/25)*Calculateur!AQ122*Calculateur!AS122*VLOOKUP('Données projet'!$B$10,Paramètres!$A$1:$I$89,3,0)*0.475*44/12</f>
        <v>3.9271354845016542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101.7585753586073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236.00000000000003</v>
      </c>
      <c r="BE122" s="13">
        <f>BD122*VLOOKUP('Données projet'!$B$11,Paramètres!$A$1:$I$89,3,0)*VLOOKUP('Données projet'!$B$11,Paramètres!$A$1:$I$89,5,0)</f>
        <v>206.16960000000006</v>
      </c>
      <c r="BF122" s="13">
        <f t="shared" si="91"/>
        <v>51.097652263007333</v>
      </c>
      <c r="BG122" s="20">
        <f t="shared" si="61"/>
        <v>448.07379769140448</v>
      </c>
      <c r="BH122" s="59">
        <f t="shared" si="62"/>
        <v>741.40713102473774</v>
      </c>
      <c r="BI122" s="59">
        <f ca="1">AVERAGE(OFFSET($BH$3,0,0,'Données projet'!$E$11+1,1))-AVERAGE(OFFSET($H$3,0,0,'Données projet'!$E$11+1,1))</f>
        <v>247.61330734992077</v>
      </c>
      <c r="BJ122" s="59">
        <f t="shared" si="92"/>
        <v>278.55937893537259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30.566747022908324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30.566747022908324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382.55387448074327</v>
      </c>
      <c r="T123" s="59">
        <f t="shared" si="88"/>
        <v>476.29465646955543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3.3841119639637069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33.16785222233402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425.99999999999983</v>
      </c>
      <c r="AJ123" s="13">
        <f>AI123*VLOOKUP('Données projet'!$B$10,Paramètres!$A$1:$I$89,3,0)*VLOOKUP('Données projet'!$B$10,Paramètres!$A$1:$I$89,5,0)</f>
        <v>232.59599999999992</v>
      </c>
      <c r="AK123" s="13">
        <f t="shared" si="89"/>
        <v>56.843630236302218</v>
      </c>
      <c r="AL123" s="20">
        <f t="shared" si="58"/>
        <v>504.10735599489294</v>
      </c>
      <c r="AM123" s="59">
        <f t="shared" si="59"/>
        <v>797.4406893282262</v>
      </c>
      <c r="AN123" s="59">
        <f ca="1">AVERAGE(OFFSET($AM$3,0,0,'Données projet'!$E$10+1,1))-AVERAGE(OFFSET($H$3,0,0,'Données projet'!$E$10+1,1))</f>
        <v>417.99456559608217</v>
      </c>
      <c r="AO123" s="59">
        <f t="shared" si="90"/>
        <v>651.41353014863932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95.913025009460711</v>
      </c>
      <c r="AV123" s="21">
        <f>EXP(-LN(2)/25)*AV122+(1-EXP(-LN(2)/25))/(LN(2)/25)*Calculateur!AQ123*Calculateur!AS123*VLOOKUP('Données projet'!$B$10,Paramètres!$A$1:$I$89,3,0)*0.475*44/12</f>
        <v>3.819747758158877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99.732772767619593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236.00000000000003</v>
      </c>
      <c r="BE123" s="13">
        <f>BD123*VLOOKUP('Données projet'!$B$11,Paramètres!$A$1:$I$89,3,0)*VLOOKUP('Données projet'!$B$11,Paramètres!$A$1:$I$89,5,0)</f>
        <v>206.16960000000006</v>
      </c>
      <c r="BF123" s="13">
        <f t="shared" si="91"/>
        <v>51.097652263007333</v>
      </c>
      <c r="BG123" s="20">
        <f t="shared" si="61"/>
        <v>448.07379769140448</v>
      </c>
      <c r="BH123" s="59">
        <f t="shared" si="62"/>
        <v>741.40713102473774</v>
      </c>
      <c r="BI123" s="59">
        <f ca="1">AVERAGE(OFFSET($BH$3,0,0,'Données projet'!$E$11+1,1))-AVERAGE(OFFSET($H$3,0,0,'Données projet'!$E$11+1,1))</f>
        <v>247.61330734992077</v>
      </c>
      <c r="BJ123" s="59">
        <f t="shared" si="92"/>
        <v>278.55937893537259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29.967351757663845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29.967351757663845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382.55387448074327</v>
      </c>
      <c r="T124" s="59">
        <f t="shared" si="88"/>
        <v>476.29465646955543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3.2915732443464059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32.491272522537869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425.99999999999983</v>
      </c>
      <c r="AJ124" s="13">
        <f>AI124*VLOOKUP('Données projet'!$B$10,Paramètres!$A$1:$I$89,3,0)*VLOOKUP('Données projet'!$B$10,Paramètres!$A$1:$I$89,5,0)</f>
        <v>232.59599999999992</v>
      </c>
      <c r="AK124" s="13">
        <f t="shared" si="89"/>
        <v>56.843630236302218</v>
      </c>
      <c r="AL124" s="20">
        <f t="shared" si="58"/>
        <v>504.10735599489294</v>
      </c>
      <c r="AM124" s="59">
        <f t="shared" si="59"/>
        <v>797.4406893282262</v>
      </c>
      <c r="AN124" s="59">
        <f ca="1">AVERAGE(OFFSET($AM$3,0,0,'Données projet'!$E$10+1,1))-AVERAGE(OFFSET($H$3,0,0,'Données projet'!$E$10+1,1))</f>
        <v>417.99456559608217</v>
      </c>
      <c r="AO124" s="59">
        <f t="shared" si="90"/>
        <v>651.41353014863932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94.032229090193937</v>
      </c>
      <c r="AV124" s="21">
        <f>EXP(-LN(2)/25)*AV123+(1-EXP(-LN(2)/25))/(LN(2)/25)*Calculateur!AQ124*Calculateur!AS124*VLOOKUP('Données projet'!$B$10,Paramètres!$A$1:$I$89,3,0)*0.475*44/12</f>
        <v>3.7152965548402181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97.747525645034159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236.00000000000003</v>
      </c>
      <c r="BE124" s="13">
        <f>BD124*VLOOKUP('Données projet'!$B$11,Paramètres!$A$1:$I$89,3,0)*VLOOKUP('Données projet'!$B$11,Paramètres!$A$1:$I$89,5,0)</f>
        <v>206.16960000000006</v>
      </c>
      <c r="BF124" s="13">
        <f t="shared" si="91"/>
        <v>51.097652263007333</v>
      </c>
      <c r="BG124" s="20">
        <f t="shared" si="61"/>
        <v>448.07379769140448</v>
      </c>
      <c r="BH124" s="59">
        <f t="shared" si="62"/>
        <v>741.40713102473774</v>
      </c>
      <c r="BI124" s="59">
        <f ca="1">AVERAGE(OFFSET($BH$3,0,0,'Données projet'!$E$11+1,1))-AVERAGE(OFFSET($H$3,0,0,'Données projet'!$E$11+1,1))</f>
        <v>247.61330734992077</v>
      </c>
      <c r="BJ124" s="59">
        <f t="shared" si="92"/>
        <v>278.55937893537259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29.379710267975799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29.379710267975799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382.55387448074327</v>
      </c>
      <c r="T125" s="59">
        <f t="shared" si="88"/>
        <v>476.29465646955543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3.2015650008834395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31.828675986287529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425.99999999999983</v>
      </c>
      <c r="AJ125" s="13">
        <f>AI125*VLOOKUP('Données projet'!$B$10,Paramètres!$A$1:$I$89,3,0)*VLOOKUP('Données projet'!$B$10,Paramètres!$A$1:$I$89,5,0)</f>
        <v>232.59599999999992</v>
      </c>
      <c r="AK125" s="13">
        <f t="shared" si="89"/>
        <v>56.843630236302218</v>
      </c>
      <c r="AL125" s="20">
        <f t="shared" si="58"/>
        <v>504.10735599489294</v>
      </c>
      <c r="AM125" s="59">
        <f t="shared" si="59"/>
        <v>797.4406893282262</v>
      </c>
      <c r="AN125" s="59">
        <f ca="1">AVERAGE(OFFSET($AM$3,0,0,'Données projet'!$E$10+1,1))-AVERAGE(OFFSET($H$3,0,0,'Données projet'!$E$10+1,1))</f>
        <v>417.99456559608217</v>
      </c>
      <c r="AO125" s="59">
        <f t="shared" si="90"/>
        <v>651.41353014863932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92.18831443173174</v>
      </c>
      <c r="AV125" s="21">
        <f>EXP(-LN(2)/25)*AV124+(1-EXP(-LN(2)/25))/(LN(2)/25)*Calculateur!AQ125*Calculateur!AS125*VLOOKUP('Données projet'!$B$10,Paramètres!$A$1:$I$89,3,0)*0.475*44/12</f>
        <v>3.6137015751691579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95.802016006900899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236.00000000000003</v>
      </c>
      <c r="BE125" s="13">
        <f>BD125*VLOOKUP('Données projet'!$B$11,Paramètres!$A$1:$I$89,3,0)*VLOOKUP('Données projet'!$B$11,Paramètres!$A$1:$I$89,5,0)</f>
        <v>206.16960000000006</v>
      </c>
      <c r="BF125" s="13">
        <f t="shared" si="91"/>
        <v>51.097652263007333</v>
      </c>
      <c r="BG125" s="20">
        <f t="shared" si="61"/>
        <v>448.07379769140448</v>
      </c>
      <c r="BH125" s="59">
        <f t="shared" si="62"/>
        <v>741.40713102473774</v>
      </c>
      <c r="BI125" s="59">
        <f ca="1">AVERAGE(OFFSET($BH$3,0,0,'Données projet'!$E$11+1,1))-AVERAGE(OFFSET($H$3,0,0,'Données projet'!$E$11+1,1))</f>
        <v>247.61330734992077</v>
      </c>
      <c r="BJ125" s="59">
        <f t="shared" si="92"/>
        <v>278.55937893537259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28.803592069474618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28.803592069474618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382.55387448074327</v>
      </c>
      <c r="T126" s="59">
        <f t="shared" si="88"/>
        <v>476.29465646955543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3.1140180375712956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31.179768837365199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425.99999999999983</v>
      </c>
      <c r="AJ126" s="13">
        <f>AI126*VLOOKUP('Données projet'!$B$10,Paramètres!$A$1:$I$89,3,0)*VLOOKUP('Données projet'!$B$10,Paramètres!$A$1:$I$89,5,0)</f>
        <v>232.59599999999992</v>
      </c>
      <c r="AK126" s="13">
        <f t="shared" si="89"/>
        <v>56.843630236302218</v>
      </c>
      <c r="AL126" s="20">
        <f t="shared" si="58"/>
        <v>504.10735599489294</v>
      </c>
      <c r="AM126" s="59">
        <f t="shared" si="59"/>
        <v>797.4406893282262</v>
      </c>
      <c r="AN126" s="59">
        <f ca="1">AVERAGE(OFFSET($AM$3,0,0,'Données projet'!$E$10+1,1))-AVERAGE(OFFSET($H$3,0,0,'Données projet'!$E$10+1,1))</f>
        <v>417.99456559608217</v>
      </c>
      <c r="AO126" s="59">
        <f t="shared" si="90"/>
        <v>651.41353014863932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90.380557815045094</v>
      </c>
      <c r="AV126" s="21">
        <f>EXP(-LN(2)/25)*AV125+(1-EXP(-LN(2)/25))/(LN(2)/25)*Calculateur!AQ126*Calculateur!AS126*VLOOKUP('Données projet'!$B$10,Paramètres!$A$1:$I$89,3,0)*0.475*44/12</f>
        <v>3.5148847155598508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93.895442530604939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236.00000000000003</v>
      </c>
      <c r="BE126" s="13">
        <f>BD126*VLOOKUP('Données projet'!$B$11,Paramètres!$A$1:$I$89,3,0)*VLOOKUP('Données projet'!$B$11,Paramètres!$A$1:$I$89,5,0)</f>
        <v>206.16960000000006</v>
      </c>
      <c r="BF126" s="13">
        <f t="shared" si="91"/>
        <v>51.097652263007333</v>
      </c>
      <c r="BG126" s="20">
        <f t="shared" si="61"/>
        <v>448.07379769140448</v>
      </c>
      <c r="BH126" s="59">
        <f t="shared" si="62"/>
        <v>741.40713102473774</v>
      </c>
      <c r="BI126" s="59">
        <f ca="1">AVERAGE(OFFSET($BH$3,0,0,'Données projet'!$E$11+1,1))-AVERAGE(OFFSET($H$3,0,0,'Données projet'!$E$11+1,1))</f>
        <v>247.61330734992077</v>
      </c>
      <c r="BJ126" s="59">
        <f t="shared" si="92"/>
        <v>278.55937893537259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28.238771197448642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28.238771197448642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382.55387448074327</v>
      </c>
      <c r="T127" s="59">
        <f t="shared" si="88"/>
        <v>476.29465646955543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3.0288650505748169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30.544263595602445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425.99999999999983</v>
      </c>
      <c r="AJ127" s="13">
        <f>AI127*VLOOKUP('Données projet'!$B$10,Paramètres!$A$1:$I$89,3,0)*VLOOKUP('Données projet'!$B$10,Paramètres!$A$1:$I$89,5,0)</f>
        <v>232.59599999999992</v>
      </c>
      <c r="AK127" s="13">
        <f t="shared" si="89"/>
        <v>56.843630236302218</v>
      </c>
      <c r="AL127" s="20">
        <f t="shared" si="58"/>
        <v>504.10735599489294</v>
      </c>
      <c r="AM127" s="59">
        <f t="shared" si="59"/>
        <v>797.4406893282262</v>
      </c>
      <c r="AN127" s="59">
        <f ca="1">AVERAGE(OFFSET($AM$3,0,0,'Données projet'!$E$10+1,1))-AVERAGE(OFFSET($H$3,0,0,'Données projet'!$E$10+1,1))</f>
        <v>417.99456559608217</v>
      </c>
      <c r="AO127" s="59">
        <f t="shared" si="90"/>
        <v>651.41353014863932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88.608250202989012</v>
      </c>
      <c r="AV127" s="21">
        <f>EXP(-LN(2)/25)*AV126+(1-EXP(-LN(2)/25))/(LN(2)/25)*Calculateur!AQ127*Calculateur!AS127*VLOOKUP('Données projet'!$B$10,Paramètres!$A$1:$I$89,3,0)*0.475*44/12</f>
        <v>3.4187700081731127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92.027020211162124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236.00000000000003</v>
      </c>
      <c r="BE127" s="13">
        <f>BD127*VLOOKUP('Données projet'!$B$11,Paramètres!$A$1:$I$89,3,0)*VLOOKUP('Données projet'!$B$11,Paramètres!$A$1:$I$89,5,0)</f>
        <v>206.16960000000006</v>
      </c>
      <c r="BF127" s="13">
        <f t="shared" si="91"/>
        <v>51.097652263007333</v>
      </c>
      <c r="BG127" s="20">
        <f t="shared" si="61"/>
        <v>448.07379769140448</v>
      </c>
      <c r="BH127" s="59">
        <f t="shared" si="62"/>
        <v>741.40713102473774</v>
      </c>
      <c r="BI127" s="59">
        <f ca="1">AVERAGE(OFFSET($BH$3,0,0,'Données projet'!$E$11+1,1))-AVERAGE(OFFSET($H$3,0,0,'Données projet'!$E$11+1,1))</f>
        <v>247.61330734992077</v>
      </c>
      <c r="BJ127" s="59">
        <f t="shared" si="92"/>
        <v>278.55937893537259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27.685026118216381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27.685026118216381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382.55387448074327</v>
      </c>
      <c r="T128" s="59">
        <f t="shared" si="88"/>
        <v>476.29465646955543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2.9460405764857582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29.921878938781351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425.99999999999983</v>
      </c>
      <c r="AJ128" s="13">
        <f>AI128*VLOOKUP('Données projet'!$B$10,Paramètres!$A$1:$I$89,3,0)*VLOOKUP('Données projet'!$B$10,Paramètres!$A$1:$I$89,5,0)</f>
        <v>232.59599999999992</v>
      </c>
      <c r="AK128" s="13">
        <f t="shared" si="89"/>
        <v>56.843630236302218</v>
      </c>
      <c r="AL128" s="20">
        <f t="shared" si="58"/>
        <v>504.10735599489294</v>
      </c>
      <c r="AM128" s="59">
        <f t="shared" si="59"/>
        <v>797.4406893282262</v>
      </c>
      <c r="AN128" s="59">
        <f ca="1">AVERAGE(OFFSET($AM$3,0,0,'Données projet'!$E$10+1,1))-AVERAGE(OFFSET($H$3,0,0,'Données projet'!$E$10+1,1))</f>
        <v>417.99456559608217</v>
      </c>
      <c r="AO128" s="59">
        <f t="shared" si="90"/>
        <v>651.41353014863932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86.87069646220445</v>
      </c>
      <c r="AV128" s="21">
        <f>EXP(-LN(2)/25)*AV127+(1-EXP(-LN(2)/25))/(LN(2)/25)*Calculateur!AQ128*Calculateur!AS128*VLOOKUP('Données projet'!$B$10,Paramètres!$A$1:$I$89,3,0)*0.475*44/12</f>
        <v>3.325283562514318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90.195980024718764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236.00000000000003</v>
      </c>
      <c r="BE128" s="13">
        <f>BD128*VLOOKUP('Données projet'!$B$11,Paramètres!$A$1:$I$89,3,0)*VLOOKUP('Données projet'!$B$11,Paramètres!$A$1:$I$89,5,0)</f>
        <v>206.16960000000006</v>
      </c>
      <c r="BF128" s="13">
        <f t="shared" si="91"/>
        <v>51.097652263007333</v>
      </c>
      <c r="BG128" s="20">
        <f t="shared" si="61"/>
        <v>448.07379769140448</v>
      </c>
      <c r="BH128" s="59">
        <f t="shared" si="62"/>
        <v>741.40713102473774</v>
      </c>
      <c r="BI128" s="59">
        <f ca="1">AVERAGE(OFFSET($BH$3,0,0,'Données projet'!$E$11+1,1))-AVERAGE(OFFSET($H$3,0,0,'Données projet'!$E$11+1,1))</f>
        <v>247.61330734992077</v>
      </c>
      <c r="BJ128" s="59">
        <f t="shared" si="92"/>
        <v>278.55937893537259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27.142139642236717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27.142139642236717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382.55387448074327</v>
      </c>
      <c r="T129" s="59">
        <f t="shared" si="88"/>
        <v>476.29465646955543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2.8654809419962146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29.312339567643932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425.99999999999983</v>
      </c>
      <c r="AJ129" s="13">
        <f>AI129*VLOOKUP('Données projet'!$B$10,Paramètres!$A$1:$I$89,3,0)*VLOOKUP('Données projet'!$B$10,Paramètres!$A$1:$I$89,5,0)</f>
        <v>232.59599999999992</v>
      </c>
      <c r="AK129" s="13">
        <f t="shared" si="89"/>
        <v>56.843630236302218</v>
      </c>
      <c r="AL129" s="20">
        <f t="shared" si="58"/>
        <v>504.10735599489294</v>
      </c>
      <c r="AM129" s="59">
        <f t="shared" si="59"/>
        <v>797.4406893282262</v>
      </c>
      <c r="AN129" s="59">
        <f ca="1">AVERAGE(OFFSET($AM$3,0,0,'Données projet'!$E$10+1,1))-AVERAGE(OFFSET($H$3,0,0,'Données projet'!$E$10+1,1))</f>
        <v>417.99456559608217</v>
      </c>
      <c r="AO129" s="59">
        <f t="shared" si="90"/>
        <v>651.41353014863932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85.167215090473533</v>
      </c>
      <c r="AV129" s="21">
        <f>EXP(-LN(2)/25)*AV128+(1-EXP(-LN(2)/25))/(LN(2)/25)*Calculateur!AQ129*Calculateur!AS129*VLOOKUP('Données projet'!$B$10,Paramètres!$A$1:$I$89,3,0)*0.475*44/12</f>
        <v>3.2343535086283013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88.401568599101836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236.00000000000003</v>
      </c>
      <c r="BE129" s="13">
        <f>BD129*VLOOKUP('Données projet'!$B$11,Paramètres!$A$1:$I$89,3,0)*VLOOKUP('Données projet'!$B$11,Paramètres!$A$1:$I$89,5,0)</f>
        <v>206.16960000000006</v>
      </c>
      <c r="BF129" s="13">
        <f t="shared" si="91"/>
        <v>51.097652263007333</v>
      </c>
      <c r="BG129" s="20">
        <f t="shared" si="61"/>
        <v>448.07379769140448</v>
      </c>
      <c r="BH129" s="59">
        <f t="shared" si="62"/>
        <v>741.40713102473774</v>
      </c>
      <c r="BI129" s="59">
        <f ca="1">AVERAGE(OFFSET($BH$3,0,0,'Données projet'!$E$11+1,1))-AVERAGE(OFFSET($H$3,0,0,'Données projet'!$E$11+1,1))</f>
        <v>247.61330734992077</v>
      </c>
      <c r="BJ129" s="59">
        <f t="shared" si="92"/>
        <v>278.55937893537259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26.609898838922959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26.609898838922959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382.55387448074327</v>
      </c>
      <c r="T130" s="59">
        <f t="shared" si="88"/>
        <v>476.29465646955543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2.7871242149482347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28.715376073937961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425.99999999999983</v>
      </c>
      <c r="AJ130" s="13">
        <f>AI130*VLOOKUP('Données projet'!$B$10,Paramètres!$A$1:$I$89,3,0)*VLOOKUP('Données projet'!$B$10,Paramètres!$A$1:$I$89,5,0)</f>
        <v>232.59599999999992</v>
      </c>
      <c r="AK130" s="13">
        <f t="shared" si="89"/>
        <v>56.843630236302218</v>
      </c>
      <c r="AL130" s="20">
        <f t="shared" si="58"/>
        <v>504.10735599489294</v>
      </c>
      <c r="AM130" s="59">
        <f t="shared" si="59"/>
        <v>797.4406893282262</v>
      </c>
      <c r="AN130" s="59">
        <f ca="1">AVERAGE(OFFSET($AM$3,0,0,'Données projet'!$E$10+1,1))-AVERAGE(OFFSET($H$3,0,0,'Données projet'!$E$10+1,1))</f>
        <v>417.99456559608217</v>
      </c>
      <c r="AO130" s="59">
        <f t="shared" si="90"/>
        <v>651.41353014863932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83.49713794942123</v>
      </c>
      <c r="AV130" s="21">
        <f>EXP(-LN(2)/25)*AV129+(1-EXP(-LN(2)/25))/(LN(2)/25)*Calculateur!AQ130*Calculateur!AS130*VLOOKUP('Données projet'!$B$10,Paramètres!$A$1:$I$89,3,0)*0.475*44/12</f>
        <v>3.1459099418476018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86.643047891268836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236.00000000000003</v>
      </c>
      <c r="BE130" s="13">
        <f>BD130*VLOOKUP('Données projet'!$B$11,Paramètres!$A$1:$I$89,3,0)*VLOOKUP('Données projet'!$B$11,Paramètres!$A$1:$I$89,5,0)</f>
        <v>206.16960000000006</v>
      </c>
      <c r="BF130" s="13">
        <f t="shared" si="91"/>
        <v>51.097652263007333</v>
      </c>
      <c r="BG130" s="20">
        <f t="shared" si="61"/>
        <v>448.07379769140448</v>
      </c>
      <c r="BH130" s="59">
        <f t="shared" si="62"/>
        <v>741.40713102473774</v>
      </c>
      <c r="BI130" s="59">
        <f ca="1">AVERAGE(OFFSET($BH$3,0,0,'Données projet'!$E$11+1,1))-AVERAGE(OFFSET($H$3,0,0,'Données projet'!$E$11+1,1))</f>
        <v>247.61330734992077</v>
      </c>
      <c r="BJ130" s="59">
        <f t="shared" si="92"/>
        <v>278.55937893537259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26.088094953127349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26.088094953127349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382.55387448074327</v>
      </c>
      <c r="T131" s="59">
        <f t="shared" si="88"/>
        <v>476.29465646955543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2.7109101567219827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28.130724811428983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425.99999999999983</v>
      </c>
      <c r="AJ131" s="13">
        <f>AI131*VLOOKUP('Données projet'!$B$10,Paramètres!$A$1:$I$89,3,0)*VLOOKUP('Données projet'!$B$10,Paramètres!$A$1:$I$89,5,0)</f>
        <v>232.59599999999992</v>
      </c>
      <c r="AK131" s="13">
        <f t="shared" si="89"/>
        <v>56.843630236302218</v>
      </c>
      <c r="AL131" s="20">
        <f t="shared" si="58"/>
        <v>504.10735599489294</v>
      </c>
      <c r="AM131" s="59">
        <f t="shared" si="59"/>
        <v>797.4406893282262</v>
      </c>
      <c r="AN131" s="59">
        <f ca="1">AVERAGE(OFFSET($AM$3,0,0,'Données projet'!$E$10+1,1))-AVERAGE(OFFSET($H$3,0,0,'Données projet'!$E$10+1,1))</f>
        <v>417.99456559608217</v>
      </c>
      <c r="AO131" s="59">
        <f t="shared" si="90"/>
        <v>651.41353014863932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81.859810002458488</v>
      </c>
      <c r="AV131" s="21">
        <f>EXP(-LN(2)/25)*AV130+(1-EXP(-LN(2)/25))/(LN(2)/25)*Calculateur!AQ131*Calculateur!AS131*VLOOKUP('Données projet'!$B$10,Paramètres!$A$1:$I$89,3,0)*0.475*44/12</f>
        <v>3.0598848690515652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84.919694871510046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236.00000000000003</v>
      </c>
      <c r="BE131" s="13">
        <f>BD131*VLOOKUP('Données projet'!$B$11,Paramètres!$A$1:$I$89,3,0)*VLOOKUP('Données projet'!$B$11,Paramètres!$A$1:$I$89,5,0)</f>
        <v>206.16960000000006</v>
      </c>
      <c r="BF131" s="13">
        <f t="shared" si="91"/>
        <v>51.097652263007333</v>
      </c>
      <c r="BG131" s="20">
        <f t="shared" si="61"/>
        <v>448.07379769140448</v>
      </c>
      <c r="BH131" s="59">
        <f t="shared" si="62"/>
        <v>741.40713102473774</v>
      </c>
      <c r="BI131" s="59">
        <f ca="1">AVERAGE(OFFSET($BH$3,0,0,'Données projet'!$E$11+1,1))-AVERAGE(OFFSET($H$3,0,0,'Données projet'!$E$11+1,1))</f>
        <v>247.61330734992077</v>
      </c>
      <c r="BJ131" s="59">
        <f t="shared" si="92"/>
        <v>278.55937893537259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25.576523323263249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25.576523323263249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382.55387448074327</v>
      </c>
      <c r="T132" s="59">
        <f t="shared" si="88"/>
        <v>476.29465646955543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2.6367801759258507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27.558127769810039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425.99999999999983</v>
      </c>
      <c r="AJ132" s="13">
        <f>AI132*VLOOKUP('Données projet'!$B$10,Paramètres!$A$1:$I$89,3,0)*VLOOKUP('Données projet'!$B$10,Paramètres!$A$1:$I$89,5,0)</f>
        <v>232.59599999999992</v>
      </c>
      <c r="AK132" s="13">
        <f t="shared" si="89"/>
        <v>56.843630236302218</v>
      </c>
      <c r="AL132" s="20">
        <f t="shared" ref="AL132:AL153" si="112">(AJ132+AK132)*0.475*44/12</f>
        <v>504.10735599489294</v>
      </c>
      <c r="AM132" s="59">
        <f t="shared" ref="AM132:AM195" si="113">AL132+(AD132+AE132)*44/12</f>
        <v>797.4406893282262</v>
      </c>
      <c r="AN132" s="59">
        <f ca="1">AVERAGE(OFFSET($AM$3,0,0,'Données projet'!$E$10+1,1))-AVERAGE(OFFSET($H$3,0,0,'Données projet'!$E$10+1,1))</f>
        <v>417.99456559608217</v>
      </c>
      <c r="AO132" s="59">
        <f t="shared" si="90"/>
        <v>651.41353014863932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80.254589057864251</v>
      </c>
      <c r="AV132" s="21">
        <f>EXP(-LN(2)/25)*AV131+(1-EXP(-LN(2)/25))/(LN(2)/25)*Calculateur!AQ132*Calculateur!AS132*VLOOKUP('Données projet'!$B$10,Paramètres!$A$1:$I$89,3,0)*0.475*44/12</f>
        <v>2.9762121563949981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83.230801214259245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236.00000000000003</v>
      </c>
      <c r="BE132" s="13">
        <f>BD132*VLOOKUP('Données projet'!$B$11,Paramètres!$A$1:$I$89,3,0)*VLOOKUP('Données projet'!$B$11,Paramètres!$A$1:$I$89,5,0)</f>
        <v>206.16960000000006</v>
      </c>
      <c r="BF132" s="13">
        <f t="shared" si="91"/>
        <v>51.097652263007333</v>
      </c>
      <c r="BG132" s="20">
        <f t="shared" ref="BG132:BG153" si="115">(BE132+BF132)*0.475*44/12</f>
        <v>448.07379769140448</v>
      </c>
      <c r="BH132" s="59">
        <f t="shared" ref="BH132:BH195" si="116">BG132+(AY132+AZ132)*44/12</f>
        <v>741.40713102473774</v>
      </c>
      <c r="BI132" s="59">
        <f ca="1">AVERAGE(OFFSET($BH$3,0,0,'Données projet'!$E$11+1,1))-AVERAGE(OFFSET($H$3,0,0,'Données projet'!$E$11+1,1))</f>
        <v>247.61330734992077</v>
      </c>
      <c r="BJ132" s="59">
        <f t="shared" si="92"/>
        <v>278.55937893537259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25.074983301032898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25.074983301032898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382.55387448074327</v>
      </c>
      <c r="T133" s="59">
        <f t="shared" ref="T133:T196" si="142">$T$3</f>
        <v>476.29465646955543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2.5646772833529154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26.997332451442141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425.99999999999983</v>
      </c>
      <c r="AJ133" s="13">
        <f>AI133*VLOOKUP('Données projet'!$B$10,Paramètres!$A$1:$I$89,3,0)*VLOOKUP('Données projet'!$B$10,Paramètres!$A$1:$I$89,5,0)</f>
        <v>232.59599999999992</v>
      </c>
      <c r="AK133" s="13">
        <f t="shared" ref="AK133:AK153" si="143">EXP(-1.0587+0.8836*LN(AJ133)+0.284)</f>
        <v>56.843630236302218</v>
      </c>
      <c r="AL133" s="20">
        <f t="shared" si="112"/>
        <v>504.10735599489294</v>
      </c>
      <c r="AM133" s="59">
        <f t="shared" si="113"/>
        <v>797.4406893282262</v>
      </c>
      <c r="AN133" s="59">
        <f ca="1">AVERAGE(OFFSET($AM$3,0,0,'Données projet'!$E$10+1,1))-AVERAGE(OFFSET($H$3,0,0,'Données projet'!$E$10+1,1))</f>
        <v>417.99456559608217</v>
      </c>
      <c r="AO133" s="59">
        <f t="shared" ref="AO133:AO196" si="144">$AO$3</f>
        <v>651.41353014863932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78.680845516905407</v>
      </c>
      <c r="AV133" s="21">
        <f>EXP(-LN(2)/25)*AV132+(1-EXP(-LN(2)/25))/(LN(2)/25)*Calculateur!AQ133*Calculateur!AS133*VLOOKUP('Données projet'!$B$10,Paramètres!$A$1:$I$89,3,0)*0.475*44/12</f>
        <v>2.894827478466182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81.57567299537159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236.00000000000003</v>
      </c>
      <c r="BE133" s="13">
        <f>BD133*VLOOKUP('Données projet'!$B$11,Paramètres!$A$1:$I$89,3,0)*VLOOKUP('Données projet'!$B$11,Paramètres!$A$1:$I$89,5,0)</f>
        <v>206.16960000000006</v>
      </c>
      <c r="BF133" s="13">
        <f t="shared" ref="BF133:BF153" si="145">EXP(-1.0587+0.8836*LN(BE133)+0.284)</f>
        <v>51.097652263007333</v>
      </c>
      <c r="BG133" s="20">
        <f t="shared" si="115"/>
        <v>448.07379769140448</v>
      </c>
      <c r="BH133" s="59">
        <f t="shared" si="116"/>
        <v>741.40713102473774</v>
      </c>
      <c r="BI133" s="59">
        <f ca="1">AVERAGE(OFFSET($BH$3,0,0,'Données projet'!$E$11+1,1))-AVERAGE(OFFSET($H$3,0,0,'Données projet'!$E$11+1,1))</f>
        <v>247.61330734992077</v>
      </c>
      <c r="BJ133" s="59">
        <f t="shared" ref="BJ133:BJ196" si="146">$BJ$3</f>
        <v>278.55937893537259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24.583278172729276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24.583278172729276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382.55387448074327</v>
      </c>
      <c r="T134" s="59">
        <f t="shared" si="142"/>
        <v>476.29465646955543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2.4945460481691133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26.448091750860268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425.99999999999983</v>
      </c>
      <c r="AJ134" s="13">
        <f>AI134*VLOOKUP('Données projet'!$B$10,Paramètres!$A$1:$I$89,3,0)*VLOOKUP('Données projet'!$B$10,Paramètres!$A$1:$I$89,5,0)</f>
        <v>232.59599999999992</v>
      </c>
      <c r="AK134" s="13">
        <f t="shared" si="143"/>
        <v>56.843630236302218</v>
      </c>
      <c r="AL134" s="20">
        <f t="shared" si="112"/>
        <v>504.10735599489294</v>
      </c>
      <c r="AM134" s="59">
        <f t="shared" si="113"/>
        <v>797.4406893282262</v>
      </c>
      <c r="AN134" s="59">
        <f ca="1">AVERAGE(OFFSET($AM$3,0,0,'Données projet'!$E$10+1,1))-AVERAGE(OFFSET($H$3,0,0,'Données projet'!$E$10+1,1))</f>
        <v>417.99456559608217</v>
      </c>
      <c r="AO134" s="59">
        <f t="shared" si="144"/>
        <v>651.41353014863932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77.137962126895985</v>
      </c>
      <c r="AV134" s="21">
        <f>EXP(-LN(2)/25)*AV133+(1-EXP(-LN(2)/25))/(LN(2)/25)*Calculateur!AQ134*Calculateur!AS134*VLOOKUP('Données projet'!$B$10,Paramètres!$A$1:$I$89,3,0)*0.475*44/12</f>
        <v>2.8156682688351635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79.953630395731153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236.00000000000003</v>
      </c>
      <c r="BE134" s="13">
        <f>BD134*VLOOKUP('Données projet'!$B$11,Paramètres!$A$1:$I$89,3,0)*VLOOKUP('Données projet'!$B$11,Paramètres!$A$1:$I$89,5,0)</f>
        <v>206.16960000000006</v>
      </c>
      <c r="BF134" s="13">
        <f t="shared" si="145"/>
        <v>51.097652263007333</v>
      </c>
      <c r="BG134" s="20">
        <f t="shared" si="115"/>
        <v>448.07379769140448</v>
      </c>
      <c r="BH134" s="59">
        <f t="shared" si="116"/>
        <v>741.40713102473774</v>
      </c>
      <c r="BI134" s="59">
        <f ca="1">AVERAGE(OFFSET($BH$3,0,0,'Données projet'!$E$11+1,1))-AVERAGE(OFFSET($H$3,0,0,'Données projet'!$E$11+1,1))</f>
        <v>247.61330734992077</v>
      </c>
      <c r="BJ134" s="59">
        <f t="shared" si="146"/>
        <v>278.55937893537259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24.101215082081175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24.101215082081175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382.55387448074327</v>
      </c>
      <c r="T135" s="59">
        <f t="shared" si="142"/>
        <v>476.29465646955543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2.4263325552994535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25.910163836981074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425.99999999999983</v>
      </c>
      <c r="AJ135" s="13">
        <f>AI135*VLOOKUP('Données projet'!$B$10,Paramètres!$A$1:$I$89,3,0)*VLOOKUP('Données projet'!$B$10,Paramètres!$A$1:$I$89,5,0)</f>
        <v>232.59599999999992</v>
      </c>
      <c r="AK135" s="13">
        <f t="shared" si="143"/>
        <v>56.843630236302218</v>
      </c>
      <c r="AL135" s="20">
        <f t="shared" si="112"/>
        <v>504.10735599489294</v>
      </c>
      <c r="AM135" s="59">
        <f t="shared" si="113"/>
        <v>797.4406893282262</v>
      </c>
      <c r="AN135" s="59">
        <f ca="1">AVERAGE(OFFSET($AM$3,0,0,'Données projet'!$E$10+1,1))-AVERAGE(OFFSET($H$3,0,0,'Données projet'!$E$10+1,1))</f>
        <v>417.99456559608217</v>
      </c>
      <c r="AO135" s="59">
        <f t="shared" si="144"/>
        <v>651.41353014863932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75.625333739098693</v>
      </c>
      <c r="AV135" s="21">
        <f>EXP(-LN(2)/25)*AV134+(1-EXP(-LN(2)/25))/(LN(2)/25)*Calculateur!AQ135*Calculateur!AS135*VLOOKUP('Données projet'!$B$10,Paramètres!$A$1:$I$89,3,0)*0.475*44/12</f>
        <v>2.7386736719543072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78.364007411052995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236.00000000000003</v>
      </c>
      <c r="BE135" s="13">
        <f>BD135*VLOOKUP('Données projet'!$B$11,Paramètres!$A$1:$I$89,3,0)*VLOOKUP('Données projet'!$B$11,Paramètres!$A$1:$I$89,5,0)</f>
        <v>206.16960000000006</v>
      </c>
      <c r="BF135" s="13">
        <f t="shared" si="145"/>
        <v>51.097652263007333</v>
      </c>
      <c r="BG135" s="20">
        <f t="shared" si="115"/>
        <v>448.07379769140448</v>
      </c>
      <c r="BH135" s="59">
        <f t="shared" si="116"/>
        <v>741.40713102473774</v>
      </c>
      <c r="BI135" s="59">
        <f ca="1">AVERAGE(OFFSET($BH$3,0,0,'Données projet'!$E$11+1,1))-AVERAGE(OFFSET($H$3,0,0,'Données projet'!$E$11+1,1))</f>
        <v>247.61330734992077</v>
      </c>
      <c r="BJ135" s="59">
        <f t="shared" si="146"/>
        <v>278.55937893537259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23.62860495461123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23.62860495461123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382.55387448074327</v>
      </c>
      <c r="T136" s="59">
        <f t="shared" si="142"/>
        <v>476.29465646955543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2.3599843639795064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25.383312037950084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425.99999999999983</v>
      </c>
      <c r="AJ136" s="13">
        <f>AI136*VLOOKUP('Données projet'!$B$10,Paramètres!$A$1:$I$89,3,0)*VLOOKUP('Données projet'!$B$10,Paramètres!$A$1:$I$89,5,0)</f>
        <v>232.59599999999992</v>
      </c>
      <c r="AK136" s="13">
        <f t="shared" si="143"/>
        <v>56.843630236302218</v>
      </c>
      <c r="AL136" s="20">
        <f t="shared" si="112"/>
        <v>504.10735599489294</v>
      </c>
      <c r="AM136" s="59">
        <f t="shared" si="113"/>
        <v>797.4406893282262</v>
      </c>
      <c r="AN136" s="59">
        <f ca="1">AVERAGE(OFFSET($AM$3,0,0,'Données projet'!$E$10+1,1))-AVERAGE(OFFSET($H$3,0,0,'Données projet'!$E$10+1,1))</f>
        <v>417.99456559608217</v>
      </c>
      <c r="AO136" s="59">
        <f t="shared" si="144"/>
        <v>651.41353014863932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74.142367071373897</v>
      </c>
      <c r="AV136" s="21">
        <f>EXP(-LN(2)/25)*AV135+(1-EXP(-LN(2)/25))/(LN(2)/25)*Calculateur!AQ136*Calculateur!AS136*VLOOKUP('Données projet'!$B$10,Paramètres!$A$1:$I$89,3,0)*0.475*44/12</f>
        <v>2.6637844963741277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76.806151567748032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236.00000000000003</v>
      </c>
      <c r="BE136" s="13">
        <f>BD136*VLOOKUP('Données projet'!$B$11,Paramètres!$A$1:$I$89,3,0)*VLOOKUP('Données projet'!$B$11,Paramètres!$A$1:$I$89,5,0)</f>
        <v>206.16960000000006</v>
      </c>
      <c r="BF136" s="13">
        <f t="shared" si="145"/>
        <v>51.097652263007333</v>
      </c>
      <c r="BG136" s="20">
        <f t="shared" si="115"/>
        <v>448.07379769140448</v>
      </c>
      <c r="BH136" s="59">
        <f t="shared" si="116"/>
        <v>741.40713102473774</v>
      </c>
      <c r="BI136" s="59">
        <f ca="1">AVERAGE(OFFSET($BH$3,0,0,'Données projet'!$E$11+1,1))-AVERAGE(OFFSET($H$3,0,0,'Données projet'!$E$11+1,1))</f>
        <v>247.61330734992077</v>
      </c>
      <c r="BJ136" s="59">
        <f t="shared" si="146"/>
        <v>278.55937893537259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23.165262423477255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23.165262423477255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382.55387448074327</v>
      </c>
      <c r="T137" s="59">
        <f t="shared" si="142"/>
        <v>476.29465646955543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2.2954504674403031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24.867304728567582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425.99999999999983</v>
      </c>
      <c r="AJ137" s="13">
        <f>AI137*VLOOKUP('Données projet'!$B$10,Paramètres!$A$1:$I$89,3,0)*VLOOKUP('Données projet'!$B$10,Paramètres!$A$1:$I$89,5,0)</f>
        <v>232.59599999999992</v>
      </c>
      <c r="AK137" s="13">
        <f t="shared" si="143"/>
        <v>56.843630236302218</v>
      </c>
      <c r="AL137" s="20">
        <f t="shared" si="112"/>
        <v>504.10735599489294</v>
      </c>
      <c r="AM137" s="59">
        <f t="shared" si="113"/>
        <v>797.4406893282262</v>
      </c>
      <c r="AN137" s="59">
        <f ca="1">AVERAGE(OFFSET($AM$3,0,0,'Données projet'!$E$10+1,1))-AVERAGE(OFFSET($H$3,0,0,'Données projet'!$E$10+1,1))</f>
        <v>417.99456559608217</v>
      </c>
      <c r="AO137" s="59">
        <f t="shared" si="144"/>
        <v>651.41353014863932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72.688480475482834</v>
      </c>
      <c r="AV137" s="21">
        <f>EXP(-LN(2)/25)*AV136+(1-EXP(-LN(2)/25))/(LN(2)/25)*Calculateur!AQ137*Calculateur!AS137*VLOOKUP('Données projet'!$B$10,Paramètres!$A$1:$I$89,3,0)*0.475*44/12</f>
        <v>2.5909431692384386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75.279423644721277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236.00000000000003</v>
      </c>
      <c r="BE137" s="13">
        <f>BD137*VLOOKUP('Données projet'!$B$11,Paramètres!$A$1:$I$89,3,0)*VLOOKUP('Données projet'!$B$11,Paramètres!$A$1:$I$89,5,0)</f>
        <v>206.16960000000006</v>
      </c>
      <c r="BF137" s="13">
        <f t="shared" si="145"/>
        <v>51.097652263007333</v>
      </c>
      <c r="BG137" s="20">
        <f t="shared" si="115"/>
        <v>448.07379769140448</v>
      </c>
      <c r="BH137" s="59">
        <f t="shared" si="116"/>
        <v>741.40713102473774</v>
      </c>
      <c r="BI137" s="59">
        <f ca="1">AVERAGE(OFFSET($BH$3,0,0,'Données projet'!$E$11+1,1))-AVERAGE(OFFSET($H$3,0,0,'Données projet'!$E$11+1,1))</f>
        <v>247.61330734992077</v>
      </c>
      <c r="BJ137" s="59">
        <f t="shared" si="146"/>
        <v>278.55937893537259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22.711005756767779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22.711005756767779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382.55387448074327</v>
      </c>
      <c r="T138" s="59">
        <f t="shared" si="142"/>
        <v>476.29465646955543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2.2326812536956542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24.361915220233904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425.99999999999983</v>
      </c>
      <c r="AJ138" s="13">
        <f>AI138*VLOOKUP('Données projet'!$B$10,Paramètres!$A$1:$I$89,3,0)*VLOOKUP('Données projet'!$B$10,Paramètres!$A$1:$I$89,5,0)</f>
        <v>232.59599999999992</v>
      </c>
      <c r="AK138" s="13">
        <f t="shared" si="143"/>
        <v>56.843630236302218</v>
      </c>
      <c r="AL138" s="20">
        <f t="shared" si="112"/>
        <v>504.10735599489294</v>
      </c>
      <c r="AM138" s="59">
        <f t="shared" si="113"/>
        <v>797.4406893282262</v>
      </c>
      <c r="AN138" s="59">
        <f ca="1">AVERAGE(OFFSET($AM$3,0,0,'Données projet'!$E$10+1,1))-AVERAGE(OFFSET($H$3,0,0,'Données projet'!$E$10+1,1))</f>
        <v>417.99456559608217</v>
      </c>
      <c r="AO138" s="59">
        <f t="shared" si="144"/>
        <v>651.41353014863932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71.263103708953935</v>
      </c>
      <c r="AV138" s="21">
        <f>EXP(-LN(2)/25)*AV137+(1-EXP(-LN(2)/25))/(LN(2)/25)*Calculateur!AQ138*Calculateur!AS138*VLOOKUP('Données projet'!$B$10,Paramètres!$A$1:$I$89,3,0)*0.475*44/12</f>
        <v>2.5200936920238339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73.78319740097777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236.00000000000003</v>
      </c>
      <c r="BE138" s="13">
        <f>BD138*VLOOKUP('Données projet'!$B$11,Paramètres!$A$1:$I$89,3,0)*VLOOKUP('Données projet'!$B$11,Paramètres!$A$1:$I$89,5,0)</f>
        <v>206.16960000000006</v>
      </c>
      <c r="BF138" s="13">
        <f t="shared" si="145"/>
        <v>51.097652263007333</v>
      </c>
      <c r="BG138" s="20">
        <f t="shared" si="115"/>
        <v>448.07379769140448</v>
      </c>
      <c r="BH138" s="59">
        <f t="shared" si="116"/>
        <v>741.40713102473774</v>
      </c>
      <c r="BI138" s="59">
        <f ca="1">AVERAGE(OFFSET($BH$3,0,0,'Données projet'!$E$11+1,1))-AVERAGE(OFFSET($H$3,0,0,'Données projet'!$E$11+1,1))</f>
        <v>247.61330734992077</v>
      </c>
      <c r="BJ138" s="59">
        <f t="shared" si="146"/>
        <v>278.55937893537259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22.265656786223268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22.265656786223268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382.55387448074327</v>
      </c>
      <c r="T139" s="59">
        <f t="shared" si="142"/>
        <v>476.29465646955543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2.1716284674017423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23.866921653356126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425.99999999999983</v>
      </c>
      <c r="AJ139" s="13">
        <f>AI139*VLOOKUP('Données projet'!$B$10,Paramètres!$A$1:$I$89,3,0)*VLOOKUP('Données projet'!$B$10,Paramètres!$A$1:$I$89,5,0)</f>
        <v>232.59599999999992</v>
      </c>
      <c r="AK139" s="13">
        <f t="shared" si="143"/>
        <v>56.843630236302218</v>
      </c>
      <c r="AL139" s="20">
        <f t="shared" si="112"/>
        <v>504.10735599489294</v>
      </c>
      <c r="AM139" s="59">
        <f t="shared" si="113"/>
        <v>797.4406893282262</v>
      </c>
      <c r="AN139" s="59">
        <f ca="1">AVERAGE(OFFSET($AM$3,0,0,'Données projet'!$E$10+1,1))-AVERAGE(OFFSET($H$3,0,0,'Données projet'!$E$10+1,1))</f>
        <v>417.99456559608217</v>
      </c>
      <c r="AO139" s="59">
        <f t="shared" si="144"/>
        <v>651.41353014863932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69.865677711422677</v>
      </c>
      <c r="AV139" s="21">
        <f>EXP(-LN(2)/25)*AV138+(1-EXP(-LN(2)/25))/(LN(2)/25)*Calculateur!AQ139*Calculateur!AS139*VLOOKUP('Données projet'!$B$10,Paramètres!$A$1:$I$89,3,0)*0.475*44/12</f>
        <v>2.4511815974894748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72.316859308912157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236.00000000000003</v>
      </c>
      <c r="BE139" s="13">
        <f>BD139*VLOOKUP('Données projet'!$B$11,Paramètres!$A$1:$I$89,3,0)*VLOOKUP('Données projet'!$B$11,Paramètres!$A$1:$I$89,5,0)</f>
        <v>206.16960000000006</v>
      </c>
      <c r="BF139" s="13">
        <f t="shared" si="145"/>
        <v>51.097652263007333</v>
      </c>
      <c r="BG139" s="20">
        <f t="shared" si="115"/>
        <v>448.07379769140448</v>
      </c>
      <c r="BH139" s="59">
        <f t="shared" si="116"/>
        <v>741.40713102473774</v>
      </c>
      <c r="BI139" s="59">
        <f ca="1">AVERAGE(OFFSET($BH$3,0,0,'Données projet'!$E$11+1,1))-AVERAGE(OFFSET($H$3,0,0,'Données projet'!$E$11+1,1))</f>
        <v>247.61330734992077</v>
      </c>
      <c r="BJ139" s="59">
        <f t="shared" si="146"/>
        <v>278.55937893537259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21.829040837355084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21.829040837355084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382.55387448074327</v>
      </c>
      <c r="T140" s="59">
        <f t="shared" si="142"/>
        <v>476.29465646955543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2.1122451727596641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23.382106892159694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425.99999999999983</v>
      </c>
      <c r="AJ140" s="13">
        <f>AI140*VLOOKUP('Données projet'!$B$10,Paramètres!$A$1:$I$89,3,0)*VLOOKUP('Données projet'!$B$10,Paramètres!$A$1:$I$89,5,0)</f>
        <v>232.59599999999992</v>
      </c>
      <c r="AK140" s="13">
        <f t="shared" si="143"/>
        <v>56.843630236302218</v>
      </c>
      <c r="AL140" s="20">
        <f t="shared" si="112"/>
        <v>504.10735599489294</v>
      </c>
      <c r="AM140" s="59">
        <f t="shared" si="113"/>
        <v>797.4406893282262</v>
      </c>
      <c r="AN140" s="59">
        <f ca="1">AVERAGE(OFFSET($AM$3,0,0,'Données projet'!$E$10+1,1))-AVERAGE(OFFSET($H$3,0,0,'Données projet'!$E$10+1,1))</f>
        <v>417.99456559608217</v>
      </c>
      <c r="AO140" s="59">
        <f t="shared" si="144"/>
        <v>651.41353014863932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68.495654385357312</v>
      </c>
      <c r="AV140" s="21">
        <f>EXP(-LN(2)/25)*AV139+(1-EXP(-LN(2)/25))/(LN(2)/25)*Calculateur!AQ140*Calculateur!AS140*VLOOKUP('Données projet'!$B$10,Paramètres!$A$1:$I$89,3,0)*0.475*44/12</f>
        <v>2.384153907804087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70.879808293161403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236.00000000000003</v>
      </c>
      <c r="BE140" s="13">
        <f>BD140*VLOOKUP('Données projet'!$B$11,Paramètres!$A$1:$I$89,3,0)*VLOOKUP('Données projet'!$B$11,Paramètres!$A$1:$I$89,5,0)</f>
        <v>206.16960000000006</v>
      </c>
      <c r="BF140" s="13">
        <f t="shared" si="145"/>
        <v>51.097652263007333</v>
      </c>
      <c r="BG140" s="20">
        <f t="shared" si="115"/>
        <v>448.07379769140448</v>
      </c>
      <c r="BH140" s="59">
        <f t="shared" si="116"/>
        <v>741.40713102473774</v>
      </c>
      <c r="BI140" s="59">
        <f ca="1">AVERAGE(OFFSET($BH$3,0,0,'Données projet'!$E$11+1,1))-AVERAGE(OFFSET($H$3,0,0,'Données projet'!$E$11+1,1))</f>
        <v>247.61330734992077</v>
      </c>
      <c r="BJ140" s="59">
        <f t="shared" si="146"/>
        <v>278.55937893537259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21.400986660934773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21.400986660934773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382.55387448074327</v>
      </c>
      <c r="T141" s="59">
        <f t="shared" si="142"/>
        <v>476.29465646955543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2.0544857174324052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22.90725842184964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425.99999999999983</v>
      </c>
      <c r="AJ141" s="13">
        <f>AI141*VLOOKUP('Données projet'!$B$10,Paramètres!$A$1:$I$89,3,0)*VLOOKUP('Données projet'!$B$10,Paramètres!$A$1:$I$89,5,0)</f>
        <v>232.59599999999992</v>
      </c>
      <c r="AK141" s="13">
        <f t="shared" si="143"/>
        <v>56.843630236302218</v>
      </c>
      <c r="AL141" s="20">
        <f t="shared" si="112"/>
        <v>504.10735599489294</v>
      </c>
      <c r="AM141" s="59">
        <f t="shared" si="113"/>
        <v>797.4406893282262</v>
      </c>
      <c r="AN141" s="59">
        <f ca="1">AVERAGE(OFFSET($AM$3,0,0,'Données projet'!$E$10+1,1))-AVERAGE(OFFSET($H$3,0,0,'Données projet'!$E$10+1,1))</f>
        <v>417.99456559608217</v>
      </c>
      <c r="AO141" s="59">
        <f t="shared" si="144"/>
        <v>651.41353014863932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67.152496381084376</v>
      </c>
      <c r="AV141" s="21">
        <f>EXP(-LN(2)/25)*AV140+(1-EXP(-LN(2)/25))/(LN(2)/25)*Calculateur!AQ141*Calculateur!AS141*VLOOKUP('Données projet'!$B$10,Paramètres!$A$1:$I$89,3,0)*0.475*44/12</f>
        <v>2.3189590938179792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69.471455474902356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236.00000000000003</v>
      </c>
      <c r="BE141" s="13">
        <f>BD141*VLOOKUP('Données projet'!$B$11,Paramètres!$A$1:$I$89,3,0)*VLOOKUP('Données projet'!$B$11,Paramètres!$A$1:$I$89,5,0)</f>
        <v>206.16960000000006</v>
      </c>
      <c r="BF141" s="13">
        <f t="shared" si="145"/>
        <v>51.097652263007333</v>
      </c>
      <c r="BG141" s="20">
        <f t="shared" si="115"/>
        <v>448.07379769140448</v>
      </c>
      <c r="BH141" s="59">
        <f t="shared" si="116"/>
        <v>741.40713102473774</v>
      </c>
      <c r="BI141" s="59">
        <f ca="1">AVERAGE(OFFSET($BH$3,0,0,'Données projet'!$E$11+1,1))-AVERAGE(OFFSET($H$3,0,0,'Données projet'!$E$11+1,1))</f>
        <v>247.61330734992077</v>
      </c>
      <c r="BJ141" s="59">
        <f t="shared" si="146"/>
        <v>278.55937893537259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20.981326365826799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20.981326365826799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382.55387448074327</v>
      </c>
      <c r="T142" s="59">
        <f t="shared" si="142"/>
        <v>476.29465646955543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1.9983056974485078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22.442168248067578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425.99999999999983</v>
      </c>
      <c r="AJ142" s="13">
        <f>AI142*VLOOKUP('Données projet'!$B$10,Paramètres!$A$1:$I$89,3,0)*VLOOKUP('Données projet'!$B$10,Paramètres!$A$1:$I$89,5,0)</f>
        <v>232.59599999999992</v>
      </c>
      <c r="AK142" s="13">
        <f t="shared" si="143"/>
        <v>56.843630236302218</v>
      </c>
      <c r="AL142" s="20">
        <f t="shared" si="112"/>
        <v>504.10735599489294</v>
      </c>
      <c r="AM142" s="59">
        <f t="shared" si="113"/>
        <v>797.4406893282262</v>
      </c>
      <c r="AN142" s="59">
        <f ca="1">AVERAGE(OFFSET($AM$3,0,0,'Données projet'!$E$10+1,1))-AVERAGE(OFFSET($H$3,0,0,'Données projet'!$E$10+1,1))</f>
        <v>417.99456559608217</v>
      </c>
      <c r="AO142" s="59">
        <f t="shared" si="144"/>
        <v>651.41353014863932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65.835676886029745</v>
      </c>
      <c r="AV142" s="21">
        <f>EXP(-LN(2)/25)*AV141+(1-EXP(-LN(2)/25))/(LN(2)/25)*Calculateur!AQ142*Calculateur!AS142*VLOOKUP('Données projet'!$B$10,Paramètres!$A$1:$I$89,3,0)*0.475*44/12</f>
        <v>2.2555470354487679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68.091223921478516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236.00000000000003</v>
      </c>
      <c r="BE142" s="13">
        <f>BD142*VLOOKUP('Données projet'!$B$11,Paramètres!$A$1:$I$89,3,0)*VLOOKUP('Données projet'!$B$11,Paramètres!$A$1:$I$89,5,0)</f>
        <v>206.16960000000006</v>
      </c>
      <c r="BF142" s="13">
        <f t="shared" si="145"/>
        <v>51.097652263007333</v>
      </c>
      <c r="BG142" s="20">
        <f t="shared" si="115"/>
        <v>448.07379769140448</v>
      </c>
      <c r="BH142" s="59">
        <f t="shared" si="116"/>
        <v>741.40713102473774</v>
      </c>
      <c r="BI142" s="59">
        <f ca="1">AVERAGE(OFFSET($BH$3,0,0,'Données projet'!$E$11+1,1))-AVERAGE(OFFSET($H$3,0,0,'Données projet'!$E$11+1,1))</f>
        <v>247.61330734992077</v>
      </c>
      <c r="BJ142" s="59">
        <f t="shared" si="146"/>
        <v>278.55937893537259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20.569895353138385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20.569895353138385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382.55387448074327</v>
      </c>
      <c r="T143" s="59">
        <f t="shared" si="142"/>
        <v>476.29465646955543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1.943661923065449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21.986632798591771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425.99999999999983</v>
      </c>
      <c r="AJ143" s="13">
        <f>AI143*VLOOKUP('Données projet'!$B$10,Paramètres!$A$1:$I$89,3,0)*VLOOKUP('Données projet'!$B$10,Paramètres!$A$1:$I$89,5,0)</f>
        <v>232.59599999999992</v>
      </c>
      <c r="AK143" s="13">
        <f t="shared" si="143"/>
        <v>56.843630236302218</v>
      </c>
      <c r="AL143" s="20">
        <f t="shared" si="112"/>
        <v>504.10735599489294</v>
      </c>
      <c r="AM143" s="59">
        <f t="shared" si="113"/>
        <v>797.4406893282262</v>
      </c>
      <c r="AN143" s="59">
        <f ca="1">AVERAGE(OFFSET($AM$3,0,0,'Données projet'!$E$10+1,1))-AVERAGE(OFFSET($H$3,0,0,'Données projet'!$E$10+1,1))</f>
        <v>417.99456559608217</v>
      </c>
      <c r="AO143" s="59">
        <f t="shared" si="144"/>
        <v>651.41353014863932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64.544679418092542</v>
      </c>
      <c r="AV143" s="21">
        <f>EXP(-LN(2)/25)*AV142+(1-EXP(-LN(2)/25))/(LN(2)/25)*Calculateur!AQ143*Calculateur!AS143*VLOOKUP('Données projet'!$B$10,Paramètres!$A$1:$I$89,3,0)*0.475*44/12</f>
        <v>2.1938689831503577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66.738548401242895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236.00000000000003</v>
      </c>
      <c r="BE143" s="13">
        <f>BD143*VLOOKUP('Données projet'!$B$11,Paramètres!$A$1:$I$89,3,0)*VLOOKUP('Données projet'!$B$11,Paramètres!$A$1:$I$89,5,0)</f>
        <v>206.16960000000006</v>
      </c>
      <c r="BF143" s="13">
        <f t="shared" si="145"/>
        <v>51.097652263007333</v>
      </c>
      <c r="BG143" s="20">
        <f t="shared" si="115"/>
        <v>448.07379769140448</v>
      </c>
      <c r="BH143" s="59">
        <f t="shared" si="116"/>
        <v>741.40713102473774</v>
      </c>
      <c r="BI143" s="59">
        <f ca="1">AVERAGE(OFFSET($BH$3,0,0,'Données projet'!$E$11+1,1))-AVERAGE(OFFSET($H$3,0,0,'Données projet'!$E$11+1,1))</f>
        <v>247.61330734992077</v>
      </c>
      <c r="BJ143" s="59">
        <f t="shared" si="146"/>
        <v>278.55937893537259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20.166532251660652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20.166532251660652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382.55387448074327</v>
      </c>
      <c r="T144" s="59">
        <f t="shared" si="142"/>
        <v>476.29465646955543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1.890512385566486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21.540452827228851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425.99999999999983</v>
      </c>
      <c r="AJ144" s="13">
        <f>AI144*VLOOKUP('Données projet'!$B$10,Paramètres!$A$1:$I$89,3,0)*VLOOKUP('Données projet'!$B$10,Paramètres!$A$1:$I$89,5,0)</f>
        <v>232.59599999999992</v>
      </c>
      <c r="AK144" s="13">
        <f t="shared" si="143"/>
        <v>56.843630236302218</v>
      </c>
      <c r="AL144" s="20">
        <f t="shared" si="112"/>
        <v>504.10735599489294</v>
      </c>
      <c r="AM144" s="59">
        <f t="shared" si="113"/>
        <v>797.4406893282262</v>
      </c>
      <c r="AN144" s="59">
        <f ca="1">AVERAGE(OFFSET($AM$3,0,0,'Données projet'!$E$10+1,1))-AVERAGE(OFFSET($H$3,0,0,'Données projet'!$E$10+1,1))</f>
        <v>417.99456559608217</v>
      </c>
      <c r="AO144" s="59">
        <f t="shared" si="144"/>
        <v>651.41353014863932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63.278997623070886</v>
      </c>
      <c r="AV144" s="21">
        <f>EXP(-LN(2)/25)*AV143+(1-EXP(-LN(2)/25))/(LN(2)/25)*Calculateur!AQ144*Calculateur!AS144*VLOOKUP('Données projet'!$B$10,Paramètres!$A$1:$I$89,3,0)*0.475*44/12</f>
        <v>2.1338775204355556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65.41287514350644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236.00000000000003</v>
      </c>
      <c r="BE144" s="13">
        <f>BD144*VLOOKUP('Données projet'!$B$11,Paramètres!$A$1:$I$89,3,0)*VLOOKUP('Données projet'!$B$11,Paramètres!$A$1:$I$89,5,0)</f>
        <v>206.16960000000006</v>
      </c>
      <c r="BF144" s="13">
        <f t="shared" si="145"/>
        <v>51.097652263007333</v>
      </c>
      <c r="BG144" s="20">
        <f t="shared" si="115"/>
        <v>448.07379769140448</v>
      </c>
      <c r="BH144" s="59">
        <f t="shared" si="116"/>
        <v>741.40713102473774</v>
      </c>
      <c r="BI144" s="59">
        <f ca="1">AVERAGE(OFFSET($BH$3,0,0,'Données projet'!$E$11+1,1))-AVERAGE(OFFSET($H$3,0,0,'Données projet'!$E$11+1,1))</f>
        <v>247.61330734992077</v>
      </c>
      <c r="BJ144" s="59">
        <f t="shared" si="146"/>
        <v>278.55937893537259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19.771078854575698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19.771078854575698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382.55387448074327</v>
      </c>
      <c r="T145" s="59">
        <f t="shared" si="142"/>
        <v>476.29465646955543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1.8388162249654449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21.103433319847035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425.99999999999983</v>
      </c>
      <c r="AJ145" s="13">
        <f>AI145*VLOOKUP('Données projet'!$B$10,Paramètres!$A$1:$I$89,3,0)*VLOOKUP('Données projet'!$B$10,Paramètres!$A$1:$I$89,5,0)</f>
        <v>232.59599999999992</v>
      </c>
      <c r="AK145" s="13">
        <f t="shared" si="143"/>
        <v>56.843630236302218</v>
      </c>
      <c r="AL145" s="20">
        <f t="shared" si="112"/>
        <v>504.10735599489294</v>
      </c>
      <c r="AM145" s="59">
        <f t="shared" si="113"/>
        <v>797.4406893282262</v>
      </c>
      <c r="AN145" s="59">
        <f ca="1">AVERAGE(OFFSET($AM$3,0,0,'Données projet'!$E$10+1,1))-AVERAGE(OFFSET($H$3,0,0,'Données projet'!$E$10+1,1))</f>
        <v>417.99456559608217</v>
      </c>
      <c r="AO145" s="59">
        <f t="shared" si="144"/>
        <v>651.41353014863932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62.038135076059937</v>
      </c>
      <c r="AV145" s="21">
        <f>EXP(-LN(2)/25)*AV144+(1-EXP(-LN(2)/25))/(LN(2)/25)*Calculateur!AQ145*Calculateur!AS145*VLOOKUP('Données projet'!$B$10,Paramètres!$A$1:$I$89,3,0)*0.475*44/12</f>
        <v>2.0755265274235035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64.113661603483436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236.00000000000003</v>
      </c>
      <c r="BE145" s="13">
        <f>BD145*VLOOKUP('Données projet'!$B$11,Paramètres!$A$1:$I$89,3,0)*VLOOKUP('Données projet'!$B$11,Paramètres!$A$1:$I$89,5,0)</f>
        <v>206.16960000000006</v>
      </c>
      <c r="BF145" s="13">
        <f t="shared" si="145"/>
        <v>51.097652263007333</v>
      </c>
      <c r="BG145" s="20">
        <f t="shared" si="115"/>
        <v>448.07379769140448</v>
      </c>
      <c r="BH145" s="59">
        <f t="shared" si="116"/>
        <v>741.40713102473774</v>
      </c>
      <c r="BI145" s="59">
        <f ca="1">AVERAGE(OFFSET($BH$3,0,0,'Données projet'!$E$11+1,1))-AVERAGE(OFFSET($H$3,0,0,'Données projet'!$E$11+1,1))</f>
        <v>247.61330734992077</v>
      </c>
      <c r="BJ145" s="59">
        <f t="shared" si="146"/>
        <v>278.55937893537259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19.383380057404825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19.383380057404825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382.55387448074327</v>
      </c>
      <c r="T146" s="59">
        <f t="shared" si="142"/>
        <v>476.29465646955543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1.7885336985946223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20.675383402501772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425.99999999999983</v>
      </c>
      <c r="AJ146" s="13">
        <f>AI146*VLOOKUP('Données projet'!$B$10,Paramètres!$A$1:$I$89,3,0)*VLOOKUP('Données projet'!$B$10,Paramètres!$A$1:$I$89,5,0)</f>
        <v>232.59599999999992</v>
      </c>
      <c r="AK146" s="13">
        <f t="shared" si="143"/>
        <v>56.843630236302218</v>
      </c>
      <c r="AL146" s="20">
        <f t="shared" si="112"/>
        <v>504.10735599489294</v>
      </c>
      <c r="AM146" s="59">
        <f t="shared" si="113"/>
        <v>797.4406893282262</v>
      </c>
      <c r="AN146" s="59">
        <f ca="1">AVERAGE(OFFSET($AM$3,0,0,'Données projet'!$E$10+1,1))-AVERAGE(OFFSET($H$3,0,0,'Données projet'!$E$10+1,1))</f>
        <v>417.99456559608217</v>
      </c>
      <c r="AO146" s="59">
        <f t="shared" si="144"/>
        <v>651.41353014863932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60.821605086744455</v>
      </c>
      <c r="AV146" s="21">
        <f>EXP(-LN(2)/25)*AV145+(1-EXP(-LN(2)/25))/(LN(2)/25)*Calculateur!AQ146*Calculateur!AS146*VLOOKUP('Données projet'!$B$10,Paramètres!$A$1:$I$89,3,0)*0.475*44/12</f>
        <v>2.0187711453839112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62.840376232128364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236.00000000000003</v>
      </c>
      <c r="BE146" s="13">
        <f>BD146*VLOOKUP('Données projet'!$B$11,Paramètres!$A$1:$I$89,3,0)*VLOOKUP('Données projet'!$B$11,Paramètres!$A$1:$I$89,5,0)</f>
        <v>206.16960000000006</v>
      </c>
      <c r="BF146" s="13">
        <f t="shared" si="145"/>
        <v>51.097652263007333</v>
      </c>
      <c r="BG146" s="20">
        <f t="shared" si="115"/>
        <v>448.07379769140448</v>
      </c>
      <c r="BH146" s="59">
        <f t="shared" si="116"/>
        <v>741.40713102473774</v>
      </c>
      <c r="BI146" s="59">
        <f ca="1">AVERAGE(OFFSET($BH$3,0,0,'Données projet'!$E$11+1,1))-AVERAGE(OFFSET($H$3,0,0,'Données projet'!$E$11+1,1))</f>
        <v>247.61330734992077</v>
      </c>
      <c r="BJ146" s="59">
        <f t="shared" si="146"/>
        <v>278.55937893537259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19.003283797173555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19.003283797173555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382.55387448074327</v>
      </c>
      <c r="T147" s="59">
        <f t="shared" si="142"/>
        <v>476.29465646955543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1.7396261505516528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20.256116251606013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425.99999999999983</v>
      </c>
      <c r="AJ147" s="13">
        <f>AI147*VLOOKUP('Données projet'!$B$10,Paramètres!$A$1:$I$89,3,0)*VLOOKUP('Données projet'!$B$10,Paramètres!$A$1:$I$89,5,0)</f>
        <v>232.59599999999992</v>
      </c>
      <c r="AK147" s="13">
        <f t="shared" si="143"/>
        <v>56.843630236302218</v>
      </c>
      <c r="AL147" s="20">
        <f t="shared" si="112"/>
        <v>504.10735599489294</v>
      </c>
      <c r="AM147" s="59">
        <f t="shared" si="113"/>
        <v>797.4406893282262</v>
      </c>
      <c r="AN147" s="59">
        <f ca="1">AVERAGE(OFFSET($AM$3,0,0,'Données projet'!$E$10+1,1))-AVERAGE(OFFSET($H$3,0,0,'Données projet'!$E$10+1,1))</f>
        <v>417.99456559608217</v>
      </c>
      <c r="AO147" s="59">
        <f t="shared" si="144"/>
        <v>651.41353014863932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59.628930508509427</v>
      </c>
      <c r="AV147" s="21">
        <f>EXP(-LN(2)/25)*AV146+(1-EXP(-LN(2)/25))/(LN(2)/25)*Calculateur!AQ147*Calculateur!AS147*VLOOKUP('Données projet'!$B$10,Paramètres!$A$1:$I$89,3,0)*0.475*44/12</f>
        <v>1.9635677422508275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61.592498250760258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236.00000000000003</v>
      </c>
      <c r="BE147" s="13">
        <f>BD147*VLOOKUP('Données projet'!$B$11,Paramètres!$A$1:$I$89,3,0)*VLOOKUP('Données projet'!$B$11,Paramètres!$A$1:$I$89,5,0)</f>
        <v>206.16960000000006</v>
      </c>
      <c r="BF147" s="13">
        <f t="shared" si="145"/>
        <v>51.097652263007333</v>
      </c>
      <c r="BG147" s="20">
        <f t="shared" si="115"/>
        <v>448.07379769140448</v>
      </c>
      <c r="BH147" s="59">
        <f t="shared" si="116"/>
        <v>741.40713102473774</v>
      </c>
      <c r="BI147" s="59">
        <f ca="1">AVERAGE(OFFSET($BH$3,0,0,'Données projet'!$E$11+1,1))-AVERAGE(OFFSET($H$3,0,0,'Données projet'!$E$11+1,1))</f>
        <v>247.61330734992077</v>
      </c>
      <c r="BJ147" s="59">
        <f t="shared" si="146"/>
        <v>278.55937893537259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18.630640992769596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18.630640992769596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382.55387448074327</v>
      </c>
      <c r="T148" s="59">
        <f t="shared" si="142"/>
        <v>476.29465646955543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1.6920559819818546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19.845449006098317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425.99999999999983</v>
      </c>
      <c r="AJ148" s="13">
        <f>AI148*VLOOKUP('Données projet'!$B$10,Paramètres!$A$1:$I$89,3,0)*VLOOKUP('Données projet'!$B$10,Paramètres!$A$1:$I$89,5,0)</f>
        <v>232.59599999999992</v>
      </c>
      <c r="AK148" s="13">
        <f t="shared" si="143"/>
        <v>56.843630236302218</v>
      </c>
      <c r="AL148" s="20">
        <f t="shared" si="112"/>
        <v>504.10735599489294</v>
      </c>
      <c r="AM148" s="59">
        <f t="shared" si="113"/>
        <v>797.4406893282262</v>
      </c>
      <c r="AN148" s="59">
        <f ca="1">AVERAGE(OFFSET($AM$3,0,0,'Données projet'!$E$10+1,1))-AVERAGE(OFFSET($H$3,0,0,'Données projet'!$E$10+1,1))</f>
        <v>417.99456559608217</v>
      </c>
      <c r="AO148" s="59">
        <f t="shared" si="144"/>
        <v>651.41353014863932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58.459643551293922</v>
      </c>
      <c r="AV148" s="21">
        <f>EXP(-LN(2)/25)*AV147+(1-EXP(-LN(2)/25))/(LN(2)/25)*Calculateur!AQ148*Calculateur!AS148*VLOOKUP('Données projet'!$B$10,Paramètres!$A$1:$I$89,3,0)*0.475*44/12</f>
        <v>1.909873879079439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60.369517430373364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236.00000000000003</v>
      </c>
      <c r="BE148" s="13">
        <f>BD148*VLOOKUP('Données projet'!$B$11,Paramètres!$A$1:$I$89,3,0)*VLOOKUP('Données projet'!$B$11,Paramètres!$A$1:$I$89,5,0)</f>
        <v>206.16960000000006</v>
      </c>
      <c r="BF148" s="13">
        <f t="shared" si="145"/>
        <v>51.097652263007333</v>
      </c>
      <c r="BG148" s="20">
        <f t="shared" si="115"/>
        <v>448.07379769140448</v>
      </c>
      <c r="BH148" s="59">
        <f t="shared" si="116"/>
        <v>741.40713102473774</v>
      </c>
      <c r="BI148" s="59">
        <f ca="1">AVERAGE(OFFSET($BH$3,0,0,'Données projet'!$E$11+1,1))-AVERAGE(OFFSET($H$3,0,0,'Données projet'!$E$11+1,1))</f>
        <v>247.61330734992077</v>
      </c>
      <c r="BJ148" s="59">
        <f t="shared" si="146"/>
        <v>278.55937893537259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18.265305486470332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18.265305486470332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382.55387448074327</v>
      </c>
      <c r="T149" s="59">
        <f t="shared" si="142"/>
        <v>476.29465646955543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1.6457866221732038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19.443202681563172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425.99999999999983</v>
      </c>
      <c r="AJ149" s="13">
        <f>AI149*VLOOKUP('Données projet'!$B$10,Paramètres!$A$1:$I$89,3,0)*VLOOKUP('Données projet'!$B$10,Paramètres!$A$1:$I$89,5,0)</f>
        <v>232.59599999999992</v>
      </c>
      <c r="AK149" s="13">
        <f t="shared" si="143"/>
        <v>56.843630236302218</v>
      </c>
      <c r="AL149" s="20">
        <f t="shared" si="112"/>
        <v>504.10735599489294</v>
      </c>
      <c r="AM149" s="59">
        <f t="shared" si="113"/>
        <v>797.4406893282262</v>
      </c>
      <c r="AN149" s="59">
        <f ca="1">AVERAGE(OFFSET($AM$3,0,0,'Données projet'!$E$10+1,1))-AVERAGE(OFFSET($H$3,0,0,'Données projet'!$E$10+1,1))</f>
        <v>417.99456559608217</v>
      </c>
      <c r="AO149" s="59">
        <f t="shared" si="144"/>
        <v>651.41353014863932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57.313285598114796</v>
      </c>
      <c r="AV149" s="21">
        <f>EXP(-LN(2)/25)*AV148+(1-EXP(-LN(2)/25))/(LN(2)/25)*Calculateur!AQ149*Calculateur!AS149*VLOOKUP('Données projet'!$B$10,Paramètres!$A$1:$I$89,3,0)*0.475*44/12</f>
        <v>1.8576482774201095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59.170933875534907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236.00000000000003</v>
      </c>
      <c r="BE149" s="13">
        <f>BD149*VLOOKUP('Données projet'!$B$11,Paramètres!$A$1:$I$89,3,0)*VLOOKUP('Données projet'!$B$11,Paramètres!$A$1:$I$89,5,0)</f>
        <v>206.16960000000006</v>
      </c>
      <c r="BF149" s="13">
        <f t="shared" si="145"/>
        <v>51.097652263007333</v>
      </c>
      <c r="BG149" s="20">
        <f t="shared" si="115"/>
        <v>448.07379769140448</v>
      </c>
      <c r="BH149" s="59">
        <f t="shared" si="116"/>
        <v>741.40713102473774</v>
      </c>
      <c r="BI149" s="59">
        <f ca="1">AVERAGE(OFFSET($BH$3,0,0,'Données projet'!$E$11+1,1))-AVERAGE(OFFSET($H$3,0,0,'Données projet'!$E$11+1,1))</f>
        <v>247.61330734992077</v>
      </c>
      <c r="BJ149" s="59">
        <f t="shared" si="146"/>
        <v>278.55937893537259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17.907133986616941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17.907133986616941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382.55387448074327</v>
      </c>
      <c r="T150" s="59">
        <f t="shared" si="142"/>
        <v>476.29465646955543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1.6007825004417207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19.049202086258969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425.99999999999983</v>
      </c>
      <c r="AJ150" s="13">
        <f>AI150*VLOOKUP('Données projet'!$B$10,Paramètres!$A$1:$I$89,3,0)*VLOOKUP('Données projet'!$B$10,Paramètres!$A$1:$I$89,5,0)</f>
        <v>232.59599999999992</v>
      </c>
      <c r="AK150" s="13">
        <f t="shared" si="143"/>
        <v>56.843630236302218</v>
      </c>
      <c r="AL150" s="20">
        <f t="shared" si="112"/>
        <v>504.10735599489294</v>
      </c>
      <c r="AM150" s="59">
        <f t="shared" si="113"/>
        <v>797.4406893282262</v>
      </c>
      <c r="AN150" s="59">
        <f ca="1">AVERAGE(OFFSET($AM$3,0,0,'Données projet'!$E$10+1,1))-AVERAGE(OFFSET($H$3,0,0,'Données projet'!$E$10+1,1))</f>
        <v>417.99456559608217</v>
      </c>
      <c r="AO150" s="59">
        <f t="shared" si="144"/>
        <v>651.41353014863932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56.189407025188196</v>
      </c>
      <c r="AV150" s="21">
        <f>EXP(-LN(2)/25)*AV149+(1-EXP(-LN(2)/25))/(LN(2)/25)*Calculateur!AQ150*Calculateur!AS150*VLOOKUP('Données projet'!$B$10,Paramètres!$A$1:$I$89,3,0)*0.475*44/12</f>
        <v>1.8068507875845794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57.996257812772775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236.00000000000003</v>
      </c>
      <c r="BE150" s="13">
        <f>BD150*VLOOKUP('Données projet'!$B$11,Paramètres!$A$1:$I$89,3,0)*VLOOKUP('Données projet'!$B$11,Paramètres!$A$1:$I$89,5,0)</f>
        <v>206.16960000000006</v>
      </c>
      <c r="BF150" s="13">
        <f t="shared" si="145"/>
        <v>51.097652263007333</v>
      </c>
      <c r="BG150" s="20">
        <f t="shared" si="115"/>
        <v>448.07379769140448</v>
      </c>
      <c r="BH150" s="59">
        <f t="shared" si="116"/>
        <v>741.40713102473774</v>
      </c>
      <c r="BI150" s="59">
        <f ca="1">AVERAGE(OFFSET($BH$3,0,0,'Données projet'!$E$11+1,1))-AVERAGE(OFFSET($H$3,0,0,'Données projet'!$E$11+1,1))</f>
        <v>247.61330734992077</v>
      </c>
      <c r="BJ150" s="59">
        <f t="shared" si="146"/>
        <v>278.55937893537259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17.555986011412628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17.555986011412628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382.55387448074327</v>
      </c>
      <c r="T151" s="59">
        <f t="shared" si="142"/>
        <v>476.29465646955543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1.5570090187856487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18.66327573901011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425.99999999999983</v>
      </c>
      <c r="AJ151" s="13">
        <f>AI151*VLOOKUP('Données projet'!$B$10,Paramètres!$A$1:$I$89,3,0)*VLOOKUP('Données projet'!$B$10,Paramètres!$A$1:$I$89,5,0)</f>
        <v>232.59599999999992</v>
      </c>
      <c r="AK151" s="13">
        <f t="shared" si="143"/>
        <v>56.843630236302218</v>
      </c>
      <c r="AL151" s="20">
        <f t="shared" si="112"/>
        <v>504.10735599489294</v>
      </c>
      <c r="AM151" s="59">
        <f t="shared" si="113"/>
        <v>797.4406893282262</v>
      </c>
      <c r="AN151" s="59">
        <f ca="1">AVERAGE(OFFSET($AM$3,0,0,'Données projet'!$E$10+1,1))-AVERAGE(OFFSET($H$3,0,0,'Données projet'!$E$10+1,1))</f>
        <v>417.99456559608217</v>
      </c>
      <c r="AO151" s="59">
        <f t="shared" si="144"/>
        <v>651.41353014863932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55.087567025578444</v>
      </c>
      <c r="AV151" s="21">
        <f>EXP(-LN(2)/25)*AV150+(1-EXP(-LN(2)/25))/(LN(2)/25)*Calculateur!AQ151*Calculateur!AS151*VLOOKUP('Données projet'!$B$10,Paramètres!$A$1:$I$89,3,0)*0.475*44/12</f>
        <v>1.7574423577799259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56.845009383358374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236.00000000000003</v>
      </c>
      <c r="BE151" s="13">
        <f>BD151*VLOOKUP('Données projet'!$B$11,Paramètres!$A$1:$I$89,3,0)*VLOOKUP('Données projet'!$B$11,Paramètres!$A$1:$I$89,5,0)</f>
        <v>206.16960000000006</v>
      </c>
      <c r="BF151" s="13">
        <f t="shared" si="145"/>
        <v>51.097652263007333</v>
      </c>
      <c r="BG151" s="20">
        <f t="shared" si="115"/>
        <v>448.07379769140448</v>
      </c>
      <c r="BH151" s="59">
        <f t="shared" si="116"/>
        <v>741.40713102473774</v>
      </c>
      <c r="BI151" s="59">
        <f ca="1">AVERAGE(OFFSET($BH$3,0,0,'Données projet'!$E$11+1,1))-AVERAGE(OFFSET($H$3,0,0,'Données projet'!$E$11+1,1))</f>
        <v>247.61330734992077</v>
      </c>
      <c r="BJ151" s="59">
        <f t="shared" si="146"/>
        <v>278.55937893537259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17.211723833822958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17.211723833822958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382.55387448074327</v>
      </c>
      <c r="T152" s="59">
        <f t="shared" si="142"/>
        <v>476.29465646955543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1.5144325252874093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18.285255788920715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425.99999999999983</v>
      </c>
      <c r="AJ152" s="13">
        <f>AI152*VLOOKUP('Données projet'!$B$10,Paramètres!$A$1:$I$89,3,0)*VLOOKUP('Données projet'!$B$10,Paramètres!$A$1:$I$89,5,0)</f>
        <v>232.59599999999992</v>
      </c>
      <c r="AK152" s="13">
        <f t="shared" si="143"/>
        <v>56.843630236302218</v>
      </c>
      <c r="AL152" s="20">
        <f t="shared" si="112"/>
        <v>504.10735599489294</v>
      </c>
      <c r="AM152" s="59">
        <f t="shared" si="113"/>
        <v>797.4406893282262</v>
      </c>
      <c r="AN152" s="59">
        <f ca="1">AVERAGE(OFFSET($AM$3,0,0,'Données projet'!$E$10+1,1))-AVERAGE(OFFSET($H$3,0,0,'Données projet'!$E$10+1,1))</f>
        <v>417.99456559608217</v>
      </c>
      <c r="AO152" s="59">
        <f t="shared" si="144"/>
        <v>651.41353014863932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54.007333436305004</v>
      </c>
      <c r="AV152" s="21">
        <f>EXP(-LN(2)/25)*AV151+(1-EXP(-LN(2)/25))/(LN(2)/25)*Calculateur!AQ152*Calculateur!AS152*VLOOKUP('Données projet'!$B$10,Paramètres!$A$1:$I$89,3,0)*0.475*44/12</f>
        <v>1.7093850040865568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55.71671844039156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236.00000000000003</v>
      </c>
      <c r="BE152" s="13">
        <f>BD152*VLOOKUP('Données projet'!$B$11,Paramètres!$A$1:$I$89,3,0)*VLOOKUP('Données projet'!$B$11,Paramètres!$A$1:$I$89,5,0)</f>
        <v>206.16960000000006</v>
      </c>
      <c r="BF152" s="13">
        <f t="shared" si="145"/>
        <v>51.097652263007333</v>
      </c>
      <c r="BG152" s="20">
        <f t="shared" si="115"/>
        <v>448.07379769140448</v>
      </c>
      <c r="BH152" s="59">
        <f t="shared" si="116"/>
        <v>741.40713102473774</v>
      </c>
      <c r="BI152" s="59">
        <f ca="1">AVERAGE(OFFSET($BH$3,0,0,'Données projet'!$E$11+1,1))-AVERAGE(OFFSET($H$3,0,0,'Données projet'!$E$11+1,1))</f>
        <v>247.61330734992077</v>
      </c>
      <c r="BJ152" s="59">
        <f t="shared" si="146"/>
        <v>278.55937893537259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16.874212427556625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16.874212427556625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382.55387448074327</v>
      </c>
      <c r="T153" s="59">
        <f t="shared" si="142"/>
        <v>476.29465646955543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1.47302028824288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17.914977936868478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425.99999999999983</v>
      </c>
      <c r="AJ153" s="13">
        <f>AI153*VLOOKUP('Données projet'!$B$10,Paramètres!$A$1:$I$89,3,0)*VLOOKUP('Données projet'!$B$10,Paramètres!$A$1:$I$89,5,0)</f>
        <v>232.59599999999992</v>
      </c>
      <c r="AK153" s="13">
        <f t="shared" si="143"/>
        <v>56.843630236302218</v>
      </c>
      <c r="AL153" s="20">
        <f t="shared" si="112"/>
        <v>504.10735599489294</v>
      </c>
      <c r="AM153" s="59">
        <f t="shared" si="113"/>
        <v>797.4406893282262</v>
      </c>
      <c r="AN153" s="59">
        <f ca="1">AVERAGE(OFFSET($AM$3,0,0,'Données projet'!$E$10+1,1))-AVERAGE(OFFSET($H$3,0,0,'Données projet'!$E$10+1,1))</f>
        <v>417.99456559608217</v>
      </c>
      <c r="AO153" s="59">
        <f t="shared" si="144"/>
        <v>651.41353014863932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52.948282568839787</v>
      </c>
      <c r="AV153" s="21">
        <f>EXP(-LN(2)/25)*AV152+(1-EXP(-LN(2)/25))/(LN(2)/25)*Calculateur!AQ153*Calculateur!AS153*VLOOKUP('Données projet'!$B$10,Paramètres!$A$1:$I$89,3,0)*0.475*44/12</f>
        <v>1.6626417812571594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54.610924350096944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236.00000000000003</v>
      </c>
      <c r="BE153" s="13">
        <f>BD153*VLOOKUP('Données projet'!$B$11,Paramètres!$A$1:$I$89,3,0)*VLOOKUP('Données projet'!$B$11,Paramètres!$A$1:$I$89,5,0)</f>
        <v>206.16960000000006</v>
      </c>
      <c r="BF153" s="13">
        <f t="shared" si="145"/>
        <v>51.097652263007333</v>
      </c>
      <c r="BG153" s="20">
        <f t="shared" si="115"/>
        <v>448.07379769140448</v>
      </c>
      <c r="BH153" s="59">
        <f t="shared" si="116"/>
        <v>741.40713102473774</v>
      </c>
      <c r="BI153" s="59">
        <f ca="1">AVERAGE(OFFSET($BH$3,0,0,'Données projet'!$E$11+1,1))-AVERAGE(OFFSET($H$3,0,0,'Données projet'!$E$11+1,1))</f>
        <v>247.61330734992077</v>
      </c>
      <c r="BJ153" s="59">
        <f t="shared" si="146"/>
        <v>278.55937893537259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16.543319414105543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16.543319414105543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382.55387448074327</v>
      </c>
      <c r="T154" s="59">
        <f t="shared" si="142"/>
        <v>476.29465646955543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1.4327404709981082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17.552281358738085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425.99999999999983</v>
      </c>
      <c r="AJ154" s="13">
        <f>AI154*VLOOKUP('Données projet'!$B$10,Paramètres!$A$1:$I$89,3,0)*VLOOKUP('Données projet'!$B$10,Paramètres!$A$1:$I$89,5,0)</f>
        <v>232.59599999999992</v>
      </c>
      <c r="AK154" s="13">
        <f t="shared" ref="AK154:AK203" si="164">EXP(-1.0587+0.8836*LN(AJ154)+0.284)</f>
        <v>56.843630236302218</v>
      </c>
      <c r="AL154" s="20">
        <f t="shared" ref="AL154:AL203" si="165">(AJ154+AK154)*0.475*44/12</f>
        <v>504.10735599489294</v>
      </c>
      <c r="AM154" s="59">
        <f t="shared" si="113"/>
        <v>797.4406893282262</v>
      </c>
      <c r="AN154" s="59">
        <f ca="1">AVERAGE(OFFSET($AM$3,0,0,'Données projet'!$E$10+1,1))-AVERAGE(OFFSET($H$3,0,0,'Données projet'!$E$10+1,1))</f>
        <v>417.99456559608217</v>
      </c>
      <c r="AO154" s="59">
        <f t="shared" si="144"/>
        <v>651.41353014863932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51.909999042928312</v>
      </c>
      <c r="AV154" s="21">
        <f>EXP(-LN(2)/25)*AV153+(1-EXP(-LN(2)/25))/(LN(2)/25)*Calculateur!AQ154*Calculateur!AS154*VLOOKUP('Données projet'!$B$10,Paramètres!$A$1:$I$89,3,0)*0.475*44/12</f>
        <v>1.6171767543141511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53.527175797242464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236.00000000000003</v>
      </c>
      <c r="BE154" s="13">
        <f>BD154*VLOOKUP('Données projet'!$B$11,Paramètres!$A$1:$I$89,3,0)*VLOOKUP('Données projet'!$B$11,Paramètres!$A$1:$I$89,5,0)</f>
        <v>206.16960000000006</v>
      </c>
      <c r="BF154" s="13">
        <f t="shared" ref="BF154:BF203" si="167">EXP(-1.0587+0.8836*LN(BE154)+0.284)</f>
        <v>51.097652263007333</v>
      </c>
      <c r="BG154" s="20">
        <f t="shared" ref="BG154:BG203" si="168">(BE154+BF154)*0.475*44/12</f>
        <v>448.07379769140448</v>
      </c>
      <c r="BH154" s="59">
        <f t="shared" si="116"/>
        <v>741.40713102473774</v>
      </c>
      <c r="BI154" s="59">
        <f ca="1">AVERAGE(OFFSET($BH$3,0,0,'Données projet'!$E$11+1,1))-AVERAGE(OFFSET($H$3,0,0,'Données projet'!$E$11+1,1))</f>
        <v>247.61330734992077</v>
      </c>
      <c r="BJ154" s="59">
        <f t="shared" si="146"/>
        <v>278.55937893537259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16.21891501082343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16.21891501082343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382.55387448074327</v>
      </c>
      <c r="T155" s="59">
        <f t="shared" si="142"/>
        <v>476.29465646955543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1.3935621074741182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17.197008630354631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425.99999999999983</v>
      </c>
      <c r="AJ155" s="13">
        <f>AI155*VLOOKUP('Données projet'!$B$10,Paramètres!$A$1:$I$89,3,0)*VLOOKUP('Données projet'!$B$10,Paramètres!$A$1:$I$89,5,0)</f>
        <v>232.59599999999992</v>
      </c>
      <c r="AK155" s="13">
        <f t="shared" si="164"/>
        <v>56.843630236302218</v>
      </c>
      <c r="AL155" s="20">
        <f t="shared" si="165"/>
        <v>504.10735599489294</v>
      </c>
      <c r="AM155" s="59">
        <f t="shared" si="113"/>
        <v>797.4406893282262</v>
      </c>
      <c r="AN155" s="59">
        <f ca="1">AVERAGE(OFFSET($AM$3,0,0,'Données projet'!$E$10+1,1))-AVERAGE(OFFSET($H$3,0,0,'Données projet'!$E$10+1,1))</f>
        <v>417.99456559608217</v>
      </c>
      <c r="AO155" s="59">
        <f t="shared" si="144"/>
        <v>651.41353014863932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50.892075623669541</v>
      </c>
      <c r="AV155" s="21">
        <f>EXP(-LN(2)/25)*AV154+(1-EXP(-LN(2)/25))/(LN(2)/25)*Calculateur!AQ155*Calculateur!AS155*VLOOKUP('Données projet'!$B$10,Paramètres!$A$1:$I$89,3,0)*0.475*44/12</f>
        <v>1.5729549709238013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52.465030594593344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236.00000000000003</v>
      </c>
      <c r="BE155" s="13">
        <f>BD155*VLOOKUP('Données projet'!$B$11,Paramètres!$A$1:$I$89,3,0)*VLOOKUP('Données projet'!$B$11,Paramètres!$A$1:$I$89,5,0)</f>
        <v>206.16960000000006</v>
      </c>
      <c r="BF155" s="13">
        <f t="shared" si="167"/>
        <v>51.097652263007333</v>
      </c>
      <c r="BG155" s="20">
        <f t="shared" si="168"/>
        <v>448.07379769140448</v>
      </c>
      <c r="BH155" s="59">
        <f t="shared" si="116"/>
        <v>741.40713102473774</v>
      </c>
      <c r="BI155" s="59">
        <f ca="1">AVERAGE(OFFSET($BH$3,0,0,'Données projet'!$E$11+1,1))-AVERAGE(OFFSET($H$3,0,0,'Données projet'!$E$11+1,1))</f>
        <v>247.61330734992077</v>
      </c>
      <c r="BJ155" s="59">
        <f t="shared" si="146"/>
        <v>278.55937893537259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15.900871980022529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15.900871980022529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382.55387448074327</v>
      </c>
      <c r="T156" s="59">
        <f t="shared" si="142"/>
        <v>476.29465646955543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1.3554550783609922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16.849005654078411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425.99999999999983</v>
      </c>
      <c r="AJ156" s="13">
        <f>AI156*VLOOKUP('Données projet'!$B$10,Paramètres!$A$1:$I$89,3,0)*VLOOKUP('Données projet'!$B$10,Paramètres!$A$1:$I$89,5,0)</f>
        <v>232.59599999999992</v>
      </c>
      <c r="AK156" s="13">
        <f t="shared" si="164"/>
        <v>56.843630236302218</v>
      </c>
      <c r="AL156" s="20">
        <f t="shared" si="165"/>
        <v>504.10735599489294</v>
      </c>
      <c r="AM156" s="59">
        <f t="shared" si="113"/>
        <v>797.4406893282262</v>
      </c>
      <c r="AN156" s="59">
        <f ca="1">AVERAGE(OFFSET($AM$3,0,0,'Données projet'!$E$10+1,1))-AVERAGE(OFFSET($H$3,0,0,'Données projet'!$E$10+1,1))</f>
        <v>417.99456559608217</v>
      </c>
      <c r="AO156" s="59">
        <f t="shared" si="144"/>
        <v>651.41353014863932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49.894113061790456</v>
      </c>
      <c r="AV156" s="21">
        <f>EXP(-LN(2)/25)*AV155+(1-EXP(-LN(2)/25))/(LN(2)/25)*Calculateur!AQ156*Calculateur!AS156*VLOOKUP('Données projet'!$B$10,Paramètres!$A$1:$I$89,3,0)*0.475*44/12</f>
        <v>1.529942434525783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51.424055496316242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236.00000000000003</v>
      </c>
      <c r="BE156" s="13">
        <f>BD156*VLOOKUP('Données projet'!$B$11,Paramètres!$A$1:$I$89,3,0)*VLOOKUP('Données projet'!$B$11,Paramètres!$A$1:$I$89,5,0)</f>
        <v>206.16960000000006</v>
      </c>
      <c r="BF156" s="13">
        <f t="shared" si="167"/>
        <v>51.097652263007333</v>
      </c>
      <c r="BG156" s="20">
        <f t="shared" si="168"/>
        <v>448.07379769140448</v>
      </c>
      <c r="BH156" s="59">
        <f t="shared" si="116"/>
        <v>741.40713102473774</v>
      </c>
      <c r="BI156" s="59">
        <f ca="1">AVERAGE(OFFSET($BH$3,0,0,'Données projet'!$E$11+1,1))-AVERAGE(OFFSET($H$3,0,0,'Données projet'!$E$11+1,1))</f>
        <v>247.61330734992077</v>
      </c>
      <c r="BJ156" s="59">
        <f t="shared" si="146"/>
        <v>278.55937893537259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15.58906557906854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15.58906557906854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382.55387448074327</v>
      </c>
      <c r="T157" s="59">
        <f t="shared" si="142"/>
        <v>476.29465646955543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1.3183900879629262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16.508121587023254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425.99999999999983</v>
      </c>
      <c r="AJ157" s="13">
        <f>AI157*VLOOKUP('Données projet'!$B$10,Paramètres!$A$1:$I$89,3,0)*VLOOKUP('Données projet'!$B$10,Paramètres!$A$1:$I$89,5,0)</f>
        <v>232.59599999999992</v>
      </c>
      <c r="AK157" s="13">
        <f t="shared" si="164"/>
        <v>56.843630236302218</v>
      </c>
      <c r="AL157" s="20">
        <f t="shared" si="165"/>
        <v>504.10735599489294</v>
      </c>
      <c r="AM157" s="59">
        <f t="shared" si="113"/>
        <v>797.4406893282262</v>
      </c>
      <c r="AN157" s="59">
        <f ca="1">AVERAGE(OFFSET($AM$3,0,0,'Données projet'!$E$10+1,1))-AVERAGE(OFFSET($H$3,0,0,'Données projet'!$E$10+1,1))</f>
        <v>417.99456559608217</v>
      </c>
      <c r="AO157" s="59">
        <f t="shared" si="144"/>
        <v>651.41353014863932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48.915719937052764</v>
      </c>
      <c r="AV157" s="21">
        <f>EXP(-LN(2)/25)*AV156+(1-EXP(-LN(2)/25))/(LN(2)/25)*Calculateur!AQ157*Calculateur!AS157*VLOOKUP('Données projet'!$B$10,Paramètres!$A$1:$I$89,3,0)*0.475*44/12</f>
        <v>1.4881060781974995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50.40382601525026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236.00000000000003</v>
      </c>
      <c r="BE157" s="13">
        <f>BD157*VLOOKUP('Données projet'!$B$11,Paramètres!$A$1:$I$89,3,0)*VLOOKUP('Données projet'!$B$11,Paramètres!$A$1:$I$89,5,0)</f>
        <v>206.16960000000006</v>
      </c>
      <c r="BF157" s="13">
        <f t="shared" si="167"/>
        <v>51.097652263007333</v>
      </c>
      <c r="BG157" s="20">
        <f t="shared" si="168"/>
        <v>448.07379769140448</v>
      </c>
      <c r="BH157" s="59">
        <f t="shared" si="116"/>
        <v>741.40713102473774</v>
      </c>
      <c r="BI157" s="59">
        <f ca="1">AVERAGE(OFFSET($BH$3,0,0,'Données projet'!$E$11+1,1))-AVERAGE(OFFSET($H$3,0,0,'Données projet'!$E$11+1,1))</f>
        <v>247.61330734992077</v>
      </c>
      <c r="BJ157" s="59">
        <f t="shared" si="146"/>
        <v>278.55937893537259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15.283373511454133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15.283373511454133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382.55387448074327</v>
      </c>
      <c r="T158" s="59">
        <f t="shared" si="142"/>
        <v>476.29465646955543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1.2823386416764586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16.1742087708616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425.99999999999983</v>
      </c>
      <c r="AJ158" s="13">
        <f>AI158*VLOOKUP('Données projet'!$B$10,Paramètres!$A$1:$I$89,3,0)*VLOOKUP('Données projet'!$B$10,Paramètres!$A$1:$I$89,5,0)</f>
        <v>232.59599999999992</v>
      </c>
      <c r="AK158" s="13">
        <f t="shared" si="164"/>
        <v>56.843630236302218</v>
      </c>
      <c r="AL158" s="20">
        <f t="shared" si="165"/>
        <v>504.10735599489294</v>
      </c>
      <c r="AM158" s="59">
        <f t="shared" si="113"/>
        <v>797.4406893282262</v>
      </c>
      <c r="AN158" s="59">
        <f ca="1">AVERAGE(OFFSET($AM$3,0,0,'Données projet'!$E$10+1,1))-AVERAGE(OFFSET($H$3,0,0,'Données projet'!$E$10+1,1))</f>
        <v>417.99456559608217</v>
      </c>
      <c r="AO158" s="59">
        <f t="shared" si="144"/>
        <v>651.41353014863932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47.956512504730298</v>
      </c>
      <c r="AV158" s="21">
        <f>EXP(-LN(2)/25)*AV157+(1-EXP(-LN(2)/25))/(LN(2)/25)*Calculateur!AQ158*Calculateur!AS158*VLOOKUP('Données projet'!$B$10,Paramètres!$A$1:$I$89,3,0)*0.475*44/12</f>
        <v>1.4474137392330912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49.40392624396339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236.00000000000003</v>
      </c>
      <c r="BE158" s="13">
        <f>BD158*VLOOKUP('Données projet'!$B$11,Paramètres!$A$1:$I$89,3,0)*VLOOKUP('Données projet'!$B$11,Paramètres!$A$1:$I$89,5,0)</f>
        <v>206.16960000000006</v>
      </c>
      <c r="BF158" s="13">
        <f t="shared" si="167"/>
        <v>51.097652263007333</v>
      </c>
      <c r="BG158" s="20">
        <f t="shared" si="168"/>
        <v>448.07379769140448</v>
      </c>
      <c r="BH158" s="59">
        <f t="shared" si="116"/>
        <v>741.40713102473774</v>
      </c>
      <c r="BI158" s="59">
        <f ca="1">AVERAGE(OFFSET($BH$3,0,0,'Données projet'!$E$11+1,1))-AVERAGE(OFFSET($H$3,0,0,'Données projet'!$E$11+1,1))</f>
        <v>247.61330734992077</v>
      </c>
      <c r="BJ158" s="59">
        <f t="shared" si="146"/>
        <v>278.55937893537259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14.983675878831894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14.983675878831894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382.55387448074327</v>
      </c>
      <c r="T159" s="59">
        <f t="shared" si="142"/>
        <v>476.29465646955543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1.2472730240845575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15.847122663180274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425.99999999999983</v>
      </c>
      <c r="AJ159" s="13">
        <f>AI159*VLOOKUP('Données projet'!$B$10,Paramètres!$A$1:$I$89,3,0)*VLOOKUP('Données projet'!$B$10,Paramètres!$A$1:$I$89,5,0)</f>
        <v>232.59599999999992</v>
      </c>
      <c r="AK159" s="13">
        <f t="shared" si="164"/>
        <v>56.843630236302218</v>
      </c>
      <c r="AL159" s="20">
        <f t="shared" si="165"/>
        <v>504.10735599489294</v>
      </c>
      <c r="AM159" s="59">
        <f t="shared" si="113"/>
        <v>797.4406893282262</v>
      </c>
      <c r="AN159" s="59">
        <f ca="1">AVERAGE(OFFSET($AM$3,0,0,'Données projet'!$E$10+1,1))-AVERAGE(OFFSET($H$3,0,0,'Données projet'!$E$10+1,1))</f>
        <v>417.99456559608217</v>
      </c>
      <c r="AO159" s="59">
        <f t="shared" si="144"/>
        <v>651.41353014863932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47.016114545096912</v>
      </c>
      <c r="AV159" s="21">
        <f>EXP(-LN(2)/25)*AV158+(1-EXP(-LN(2)/25))/(LN(2)/25)*Calculateur!AQ159*Calculateur!AS159*VLOOKUP('Données projet'!$B$10,Paramètres!$A$1:$I$89,3,0)*0.475*44/12</f>
        <v>1.407834134417582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48.423948679514496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236.00000000000003</v>
      </c>
      <c r="BE159" s="13">
        <f>BD159*VLOOKUP('Données projet'!$B$11,Paramètres!$A$1:$I$89,3,0)*VLOOKUP('Données projet'!$B$11,Paramètres!$A$1:$I$89,5,0)</f>
        <v>206.16960000000006</v>
      </c>
      <c r="BF159" s="13">
        <f t="shared" si="167"/>
        <v>51.097652263007333</v>
      </c>
      <c r="BG159" s="20">
        <f t="shared" si="168"/>
        <v>448.07379769140448</v>
      </c>
      <c r="BH159" s="59">
        <f t="shared" si="116"/>
        <v>741.40713102473774</v>
      </c>
      <c r="BI159" s="59">
        <f ca="1">AVERAGE(OFFSET($BH$3,0,0,'Données projet'!$E$11+1,1))-AVERAGE(OFFSET($H$3,0,0,'Données projet'!$E$11+1,1))</f>
        <v>247.61330734992077</v>
      </c>
      <c r="BJ159" s="59">
        <f t="shared" si="146"/>
        <v>278.55937893537259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14.689855133987871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14.689855133987871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382.55387448074327</v>
      </c>
      <c r="T160" s="59">
        <f t="shared" si="142"/>
        <v>476.29465646955543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1.2131662776497276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15.526721770351758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425.99999999999983</v>
      </c>
      <c r="AJ160" s="13">
        <f>AI160*VLOOKUP('Données projet'!$B$10,Paramètres!$A$1:$I$89,3,0)*VLOOKUP('Données projet'!$B$10,Paramètres!$A$1:$I$89,5,0)</f>
        <v>232.59599999999992</v>
      </c>
      <c r="AK160" s="13">
        <f t="shared" si="164"/>
        <v>56.843630236302218</v>
      </c>
      <c r="AL160" s="20">
        <f t="shared" si="165"/>
        <v>504.10735599489294</v>
      </c>
      <c r="AM160" s="59">
        <f t="shared" si="113"/>
        <v>797.4406893282262</v>
      </c>
      <c r="AN160" s="59">
        <f ca="1">AVERAGE(OFFSET($AM$3,0,0,'Données projet'!$E$10+1,1))-AVERAGE(OFFSET($H$3,0,0,'Données projet'!$E$10+1,1))</f>
        <v>417.99456559608217</v>
      </c>
      <c r="AO160" s="59">
        <f t="shared" si="144"/>
        <v>651.41353014863932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46.094157215865813</v>
      </c>
      <c r="AV160" s="21">
        <f>EXP(-LN(2)/25)*AV159+(1-EXP(-LN(2)/25))/(LN(2)/25)*Calculateur!AQ160*Calculateur!AS160*VLOOKUP('Données projet'!$B$10,Paramètres!$A$1:$I$89,3,0)*0.475*44/12</f>
        <v>1.3693368359771538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47.463494051842964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236.00000000000003</v>
      </c>
      <c r="BE160" s="13">
        <f>BD160*VLOOKUP('Données projet'!$B$11,Paramètres!$A$1:$I$89,3,0)*VLOOKUP('Données projet'!$B$11,Paramètres!$A$1:$I$89,5,0)</f>
        <v>206.16960000000006</v>
      </c>
      <c r="BF160" s="13">
        <f t="shared" si="167"/>
        <v>51.097652263007333</v>
      </c>
      <c r="BG160" s="20">
        <f t="shared" si="168"/>
        <v>448.07379769140448</v>
      </c>
      <c r="BH160" s="59">
        <f t="shared" si="116"/>
        <v>741.40713102473774</v>
      </c>
      <c r="BI160" s="59">
        <f ca="1">AVERAGE(OFFSET($BH$3,0,0,'Données projet'!$E$11+1,1))-AVERAGE(OFFSET($H$3,0,0,'Données projet'!$E$11+1,1))</f>
        <v>247.61330734992077</v>
      </c>
      <c r="BJ160" s="59">
        <f t="shared" si="146"/>
        <v>278.55937893537259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14.401796034737281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14.401796034737281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382.55387448074327</v>
      </c>
      <c r="T161" s="59">
        <f t="shared" si="142"/>
        <v>476.29465646955543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1.1799921819897541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15.212867581886691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425.99999999999983</v>
      </c>
      <c r="AJ161" s="13">
        <f>AI161*VLOOKUP('Données projet'!$B$10,Paramètres!$A$1:$I$89,3,0)*VLOOKUP('Données projet'!$B$10,Paramètres!$A$1:$I$89,5,0)</f>
        <v>232.59599999999992</v>
      </c>
      <c r="AK161" s="13">
        <f t="shared" si="164"/>
        <v>56.843630236302218</v>
      </c>
      <c r="AL161" s="20">
        <f t="shared" si="165"/>
        <v>504.10735599489294</v>
      </c>
      <c r="AM161" s="59">
        <f t="shared" si="113"/>
        <v>797.4406893282262</v>
      </c>
      <c r="AN161" s="59">
        <f ca="1">AVERAGE(OFFSET($AM$3,0,0,'Données projet'!$E$10+1,1))-AVERAGE(OFFSET($H$3,0,0,'Données projet'!$E$10+1,1))</f>
        <v>417.99456559608217</v>
      </c>
      <c r="AO161" s="59">
        <f t="shared" si="144"/>
        <v>651.41353014863932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45.190278907522497</v>
      </c>
      <c r="AV161" s="21">
        <f>EXP(-LN(2)/25)*AV160+(1-EXP(-LN(2)/25))/(LN(2)/25)*Calculateur!AQ161*Calculateur!AS161*VLOOKUP('Données projet'!$B$10,Paramètres!$A$1:$I$89,3,0)*0.475*44/12</f>
        <v>1.3318922481870641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46.522171155709565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236.00000000000003</v>
      </c>
      <c r="BE161" s="13">
        <f>BD161*VLOOKUP('Données projet'!$B$11,Paramètres!$A$1:$I$89,3,0)*VLOOKUP('Données projet'!$B$11,Paramètres!$A$1:$I$89,5,0)</f>
        <v>206.16960000000006</v>
      </c>
      <c r="BF161" s="13">
        <f t="shared" si="167"/>
        <v>51.097652263007333</v>
      </c>
      <c r="BG161" s="20">
        <f t="shared" si="168"/>
        <v>448.07379769140448</v>
      </c>
      <c r="BH161" s="59">
        <f t="shared" si="116"/>
        <v>741.40713102473774</v>
      </c>
      <c r="BI161" s="59">
        <f ca="1">AVERAGE(OFFSET($BH$3,0,0,'Données projet'!$E$11+1,1))-AVERAGE(OFFSET($H$3,0,0,'Données projet'!$E$11+1,1))</f>
        <v>247.61330734992077</v>
      </c>
      <c r="BJ161" s="59">
        <f t="shared" si="146"/>
        <v>278.55937893537259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14.119385598724293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14.119385598724293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382.55387448074327</v>
      </c>
      <c r="T162" s="59">
        <f t="shared" si="142"/>
        <v>476.29465646955543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1.1477252337201522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14.905424506233953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425.99999999999983</v>
      </c>
      <c r="AJ162" s="13">
        <f>AI162*VLOOKUP('Données projet'!$B$10,Paramètres!$A$1:$I$89,3,0)*VLOOKUP('Données projet'!$B$10,Paramètres!$A$1:$I$89,5,0)</f>
        <v>232.59599999999992</v>
      </c>
      <c r="AK162" s="13">
        <f t="shared" si="164"/>
        <v>56.843630236302218</v>
      </c>
      <c r="AL162" s="20">
        <f t="shared" si="165"/>
        <v>504.10735599489294</v>
      </c>
      <c r="AM162" s="59">
        <f t="shared" si="113"/>
        <v>797.4406893282262</v>
      </c>
      <c r="AN162" s="59">
        <f ca="1">AVERAGE(OFFSET($AM$3,0,0,'Données projet'!$E$10+1,1))-AVERAGE(OFFSET($H$3,0,0,'Données projet'!$E$10+1,1))</f>
        <v>417.99456559608217</v>
      </c>
      <c r="AO162" s="59">
        <f t="shared" si="144"/>
        <v>651.41353014863932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44.304125101494463</v>
      </c>
      <c r="AV162" s="21">
        <f>EXP(-LN(2)/25)*AV161+(1-EXP(-LN(2)/25))/(LN(2)/25)*Calculateur!AQ162*Calculateur!AS162*VLOOKUP('Données projet'!$B$10,Paramètres!$A$1:$I$89,3,0)*0.475*44/12</f>
        <v>1.2954715846192195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45.599596686113685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236.00000000000003</v>
      </c>
      <c r="BE162" s="13">
        <f>BD162*VLOOKUP('Données projet'!$B$11,Paramètres!$A$1:$I$89,3,0)*VLOOKUP('Données projet'!$B$11,Paramètres!$A$1:$I$89,5,0)</f>
        <v>206.16960000000006</v>
      </c>
      <c r="BF162" s="13">
        <f t="shared" si="167"/>
        <v>51.097652263007333</v>
      </c>
      <c r="BG162" s="20">
        <f t="shared" si="168"/>
        <v>448.07379769140448</v>
      </c>
      <c r="BH162" s="59">
        <f t="shared" si="116"/>
        <v>741.40713102473774</v>
      </c>
      <c r="BI162" s="59">
        <f ca="1">AVERAGE(OFFSET($BH$3,0,0,'Données projet'!$E$11+1,1))-AVERAGE(OFFSET($H$3,0,0,'Données projet'!$E$11+1,1))</f>
        <v>247.61330734992077</v>
      </c>
      <c r="BJ162" s="59">
        <f t="shared" si="146"/>
        <v>278.55937893537259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13.842513059108162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13.842513059108162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382.55387448074327</v>
      </c>
      <c r="T163" s="59">
        <f t="shared" si="142"/>
        <v>476.29465646955543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1.1163406268478278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14.604259807995611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425.99999999999983</v>
      </c>
      <c r="AJ163" s="13">
        <f>AI163*VLOOKUP('Données projet'!$B$10,Paramètres!$A$1:$I$89,3,0)*VLOOKUP('Données projet'!$B$10,Paramètres!$A$1:$I$89,5,0)</f>
        <v>232.59599999999992</v>
      </c>
      <c r="AK163" s="13">
        <f t="shared" si="164"/>
        <v>56.843630236302218</v>
      </c>
      <c r="AL163" s="20">
        <f t="shared" si="165"/>
        <v>504.10735599489294</v>
      </c>
      <c r="AM163" s="59">
        <f t="shared" si="113"/>
        <v>797.4406893282262</v>
      </c>
      <c r="AN163" s="59">
        <f ca="1">AVERAGE(OFFSET($AM$3,0,0,'Données projet'!$E$10+1,1))-AVERAGE(OFFSET($H$3,0,0,'Données projet'!$E$10+1,1))</f>
        <v>417.99456559608217</v>
      </c>
      <c r="AO163" s="59">
        <f t="shared" si="144"/>
        <v>651.41353014863932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43.435348231102182</v>
      </c>
      <c r="AV163" s="21">
        <f>EXP(-LN(2)/25)*AV162+(1-EXP(-LN(2)/25))/(LN(2)/25)*Calculateur!AQ163*Calculateur!AS163*VLOOKUP('Données projet'!$B$10,Paramètres!$A$1:$I$89,3,0)*0.475*44/12</f>
        <v>1.2600468460119172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44.6953950771141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236.00000000000003</v>
      </c>
      <c r="BE163" s="13">
        <f>BD163*VLOOKUP('Données projet'!$B$11,Paramètres!$A$1:$I$89,3,0)*VLOOKUP('Données projet'!$B$11,Paramètres!$A$1:$I$89,5,0)</f>
        <v>206.16960000000006</v>
      </c>
      <c r="BF163" s="13">
        <f t="shared" si="167"/>
        <v>51.097652263007333</v>
      </c>
      <c r="BG163" s="20">
        <f t="shared" si="168"/>
        <v>448.07379769140448</v>
      </c>
      <c r="BH163" s="59">
        <f t="shared" si="116"/>
        <v>741.40713102473774</v>
      </c>
      <c r="BI163" s="59">
        <f ca="1">AVERAGE(OFFSET($BH$3,0,0,'Données projet'!$E$11+1,1))-AVERAGE(OFFSET($H$3,0,0,'Données projet'!$E$11+1,1))</f>
        <v>247.61330734992077</v>
      </c>
      <c r="BJ163" s="59">
        <f t="shared" si="146"/>
        <v>278.55937893537259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13.57106982111833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13.57106982111833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382.55387448074327</v>
      </c>
      <c r="T164" s="59">
        <f t="shared" si="142"/>
        <v>476.29465646955543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1.0858142337008718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14.309243546524716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425.99999999999983</v>
      </c>
      <c r="AJ164" s="13">
        <f>AI164*VLOOKUP('Données projet'!$B$10,Paramètres!$A$1:$I$89,3,0)*VLOOKUP('Données projet'!$B$10,Paramètres!$A$1:$I$89,5,0)</f>
        <v>232.59599999999992</v>
      </c>
      <c r="AK164" s="13">
        <f t="shared" si="164"/>
        <v>56.843630236302218</v>
      </c>
      <c r="AL164" s="20">
        <f t="shared" si="165"/>
        <v>504.10735599489294</v>
      </c>
      <c r="AM164" s="59">
        <f t="shared" si="113"/>
        <v>797.4406893282262</v>
      </c>
      <c r="AN164" s="59">
        <f ca="1">AVERAGE(OFFSET($AM$3,0,0,'Données projet'!$E$10+1,1))-AVERAGE(OFFSET($H$3,0,0,'Données projet'!$E$10+1,1))</f>
        <v>417.99456559608217</v>
      </c>
      <c r="AO164" s="59">
        <f t="shared" si="144"/>
        <v>651.41353014863932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42.583607545236731</v>
      </c>
      <c r="AV164" s="21">
        <f>EXP(-LN(2)/25)*AV163+(1-EXP(-LN(2)/25))/(LN(2)/25)*Calculateur!AQ164*Calculateur!AS164*VLOOKUP('Données projet'!$B$10,Paramètres!$A$1:$I$89,3,0)*0.475*44/12</f>
        <v>1.2255907987447376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43.809198343981471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236.00000000000003</v>
      </c>
      <c r="BE164" s="13">
        <f>BD164*VLOOKUP('Données projet'!$B$11,Paramètres!$A$1:$I$89,3,0)*VLOOKUP('Données projet'!$B$11,Paramètres!$A$1:$I$89,5,0)</f>
        <v>206.16960000000006</v>
      </c>
      <c r="BF164" s="13">
        <f t="shared" si="167"/>
        <v>51.097652263007333</v>
      </c>
      <c r="BG164" s="20">
        <f t="shared" si="168"/>
        <v>448.07379769140448</v>
      </c>
      <c r="BH164" s="59">
        <f t="shared" si="116"/>
        <v>741.40713102473774</v>
      </c>
      <c r="BI164" s="59">
        <f ca="1">AVERAGE(OFFSET($BH$3,0,0,'Données projet'!$E$11+1,1))-AVERAGE(OFFSET($H$3,0,0,'Données projet'!$E$11+1,1))</f>
        <v>247.61330734992077</v>
      </c>
      <c r="BJ164" s="59">
        <f t="shared" si="146"/>
        <v>278.55937893537259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13.304949419461453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13.304949419461453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382.55387448074327</v>
      </c>
      <c r="T165" s="59">
        <f t="shared" si="142"/>
        <v>476.29465646955543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1.0561225863798327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14.02024851587468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425.99999999999983</v>
      </c>
      <c r="AJ165" s="13">
        <f>AI165*VLOOKUP('Données projet'!$B$10,Paramètres!$A$1:$I$89,3,0)*VLOOKUP('Données projet'!$B$10,Paramètres!$A$1:$I$89,5,0)</f>
        <v>232.59599999999992</v>
      </c>
      <c r="AK165" s="13">
        <f t="shared" si="164"/>
        <v>56.843630236302218</v>
      </c>
      <c r="AL165" s="20">
        <f t="shared" si="165"/>
        <v>504.10735599489294</v>
      </c>
      <c r="AM165" s="59">
        <f t="shared" si="113"/>
        <v>797.4406893282262</v>
      </c>
      <c r="AN165" s="59">
        <f ca="1">AVERAGE(OFFSET($AM$3,0,0,'Données projet'!$E$10+1,1))-AVERAGE(OFFSET($H$3,0,0,'Données projet'!$E$10+1,1))</f>
        <v>417.99456559608217</v>
      </c>
      <c r="AO165" s="59">
        <f t="shared" si="144"/>
        <v>651.41353014863932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41.748568974710579</v>
      </c>
      <c r="AV165" s="21">
        <f>EXP(-LN(2)/25)*AV164+(1-EXP(-LN(2)/25))/(LN(2)/25)*Calculateur!AQ165*Calculateur!AS165*VLOOKUP('Données projet'!$B$10,Paramètres!$A$1:$I$89,3,0)*0.475*44/12</f>
        <v>1.1920769539020437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42.940645928612625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236.00000000000003</v>
      </c>
      <c r="BE165" s="13">
        <f>BD165*VLOOKUP('Données projet'!$B$11,Paramètres!$A$1:$I$89,3,0)*VLOOKUP('Données projet'!$B$11,Paramètres!$A$1:$I$89,5,0)</f>
        <v>206.16960000000006</v>
      </c>
      <c r="BF165" s="13">
        <f t="shared" si="167"/>
        <v>51.097652263007333</v>
      </c>
      <c r="BG165" s="20">
        <f t="shared" si="168"/>
        <v>448.07379769140448</v>
      </c>
      <c r="BH165" s="59">
        <f t="shared" si="116"/>
        <v>741.40713102473774</v>
      </c>
      <c r="BI165" s="59">
        <f ca="1">AVERAGE(OFFSET($BH$3,0,0,'Données projet'!$E$11+1,1))-AVERAGE(OFFSET($H$3,0,0,'Données projet'!$E$11+1,1))</f>
        <v>247.61330734992077</v>
      </c>
      <c r="BJ165" s="59">
        <f t="shared" si="146"/>
        <v>278.55937893537259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13.044047476563648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13.044047476563648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382.55387448074327</v>
      </c>
      <c r="T166" s="59">
        <f t="shared" si="142"/>
        <v>476.29465646955543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1.0272428587162032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13.737150186069689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425.99999999999983</v>
      </c>
      <c r="AJ166" s="13">
        <f>AI166*VLOOKUP('Données projet'!$B$10,Paramètres!$A$1:$I$89,3,0)*VLOOKUP('Données projet'!$B$10,Paramètres!$A$1:$I$89,5,0)</f>
        <v>232.59599999999992</v>
      </c>
      <c r="AK166" s="13">
        <f t="shared" si="164"/>
        <v>56.843630236302218</v>
      </c>
      <c r="AL166" s="20">
        <f t="shared" si="165"/>
        <v>504.10735599489294</v>
      </c>
      <c r="AM166" s="59">
        <f t="shared" si="113"/>
        <v>797.4406893282262</v>
      </c>
      <c r="AN166" s="59">
        <f ca="1">AVERAGE(OFFSET($AM$3,0,0,'Données projet'!$E$10+1,1))-AVERAGE(OFFSET($H$3,0,0,'Données projet'!$E$10+1,1))</f>
        <v>417.99456559608217</v>
      </c>
      <c r="AO166" s="59">
        <f t="shared" si="144"/>
        <v>651.41353014863932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40.929905001229208</v>
      </c>
      <c r="AV166" s="21">
        <f>EXP(-LN(2)/25)*AV165+(1-EXP(-LN(2)/25))/(LN(2)/25)*Calculateur!AQ166*Calculateur!AS166*VLOOKUP('Données projet'!$B$10,Paramètres!$A$1:$I$89,3,0)*0.475*44/12</f>
        <v>1.1594795469089898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42.089384548138199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236.00000000000003</v>
      </c>
      <c r="BE166" s="13">
        <f>BD166*VLOOKUP('Données projet'!$B$11,Paramètres!$A$1:$I$89,3,0)*VLOOKUP('Données projet'!$B$11,Paramètres!$A$1:$I$89,5,0)</f>
        <v>206.16960000000006</v>
      </c>
      <c r="BF166" s="13">
        <f t="shared" si="167"/>
        <v>51.097652263007333</v>
      </c>
      <c r="BG166" s="20">
        <f t="shared" si="168"/>
        <v>448.07379769140448</v>
      </c>
      <c r="BH166" s="59">
        <f t="shared" si="116"/>
        <v>741.40713102473774</v>
      </c>
      <c r="BI166" s="59">
        <f ca="1">AVERAGE(OFFSET($BH$3,0,0,'Données projet'!$E$11+1,1))-AVERAGE(OFFSET($H$3,0,0,'Données projet'!$E$11+1,1))</f>
        <v>247.61330734992077</v>
      </c>
      <c r="BJ166" s="59">
        <f t="shared" si="146"/>
        <v>278.55937893537259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12.788261661631598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12.788261661631598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382.55387448074327</v>
      </c>
      <c r="T167" s="59">
        <f t="shared" si="142"/>
        <v>476.29465646955543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0.99915284872425447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13.459826645666334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425.99999999999983</v>
      </c>
      <c r="AJ167" s="13">
        <f>AI167*VLOOKUP('Données projet'!$B$10,Paramètres!$A$1:$I$89,3,0)*VLOOKUP('Données projet'!$B$10,Paramètres!$A$1:$I$89,5,0)</f>
        <v>232.59599999999992</v>
      </c>
      <c r="AK167" s="13">
        <f t="shared" si="164"/>
        <v>56.843630236302218</v>
      </c>
      <c r="AL167" s="20">
        <f t="shared" si="165"/>
        <v>504.10735599489294</v>
      </c>
      <c r="AM167" s="59">
        <f t="shared" si="113"/>
        <v>797.4406893282262</v>
      </c>
      <c r="AN167" s="59">
        <f ca="1">AVERAGE(OFFSET($AM$3,0,0,'Données projet'!$E$10+1,1))-AVERAGE(OFFSET($H$3,0,0,'Données projet'!$E$10+1,1))</f>
        <v>417.99456559608217</v>
      </c>
      <c r="AO167" s="59">
        <f t="shared" si="144"/>
        <v>651.41353014863932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40.12729452893209</v>
      </c>
      <c r="AV167" s="21">
        <f>EXP(-LN(2)/25)*AV166+(1-EXP(-LN(2)/25))/(LN(2)/25)*Calculateur!AQ167*Calculateur!AS167*VLOOKUP('Données projet'!$B$10,Paramètres!$A$1:$I$89,3,0)*0.475*44/12</f>
        <v>1.1277735177243842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41.255068046656476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236.00000000000003</v>
      </c>
      <c r="BE167" s="13">
        <f>BD167*VLOOKUP('Données projet'!$B$11,Paramètres!$A$1:$I$89,3,0)*VLOOKUP('Données projet'!$B$11,Paramètres!$A$1:$I$89,5,0)</f>
        <v>206.16960000000006</v>
      </c>
      <c r="BF167" s="13">
        <f t="shared" si="167"/>
        <v>51.097652263007333</v>
      </c>
      <c r="BG167" s="20">
        <f t="shared" si="168"/>
        <v>448.07379769140448</v>
      </c>
      <c r="BH167" s="59">
        <f t="shared" si="116"/>
        <v>741.40713102473774</v>
      </c>
      <c r="BI167" s="59">
        <f ca="1">AVERAGE(OFFSET($BH$3,0,0,'Données projet'!$E$11+1,1))-AVERAGE(OFFSET($H$3,0,0,'Données projet'!$E$11+1,1))</f>
        <v>247.61330734992077</v>
      </c>
      <c r="BJ167" s="59">
        <f t="shared" si="146"/>
        <v>278.55937893537259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12.537491650516422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12.537491650516422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382.55387448074327</v>
      </c>
      <c r="T168" s="59">
        <f t="shared" si="142"/>
        <v>476.29465646955543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0.97183096153272497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13.188158545577323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425.99999999999983</v>
      </c>
      <c r="AJ168" s="13">
        <f>AI168*VLOOKUP('Données projet'!$B$10,Paramètres!$A$1:$I$89,3,0)*VLOOKUP('Données projet'!$B$10,Paramètres!$A$1:$I$89,5,0)</f>
        <v>232.59599999999992</v>
      </c>
      <c r="AK168" s="13">
        <f t="shared" si="164"/>
        <v>56.843630236302218</v>
      </c>
      <c r="AL168" s="20">
        <f t="shared" si="165"/>
        <v>504.10735599489294</v>
      </c>
      <c r="AM168" s="59">
        <f t="shared" si="113"/>
        <v>797.4406893282262</v>
      </c>
      <c r="AN168" s="59">
        <f ca="1">AVERAGE(OFFSET($AM$3,0,0,'Données projet'!$E$10+1,1))-AVERAGE(OFFSET($H$3,0,0,'Données projet'!$E$10+1,1))</f>
        <v>417.99456559608217</v>
      </c>
      <c r="AO168" s="59">
        <f t="shared" si="144"/>
        <v>651.41353014863932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39.340422758452668</v>
      </c>
      <c r="AV168" s="21">
        <f>EXP(-LN(2)/25)*AV167+(1-EXP(-LN(2)/25))/(LN(2)/25)*Calculateur!AQ168*Calculateur!AS168*VLOOKUP('Données projet'!$B$10,Paramètres!$A$1:$I$89,3,0)*0.475*44/12</f>
        <v>1.0969344915751791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40.437357250027844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236.00000000000003</v>
      </c>
      <c r="BE168" s="13">
        <f>BD168*VLOOKUP('Données projet'!$B$11,Paramètres!$A$1:$I$89,3,0)*VLOOKUP('Données projet'!$B$11,Paramètres!$A$1:$I$89,5,0)</f>
        <v>206.16960000000006</v>
      </c>
      <c r="BF168" s="13">
        <f t="shared" si="167"/>
        <v>51.097652263007333</v>
      </c>
      <c r="BG168" s="20">
        <f t="shared" si="168"/>
        <v>448.07379769140448</v>
      </c>
      <c r="BH168" s="59">
        <f t="shared" si="116"/>
        <v>741.40713102473774</v>
      </c>
      <c r="BI168" s="59">
        <f ca="1">AVERAGE(OFFSET($BH$3,0,0,'Données projet'!$E$11+1,1))-AVERAGE(OFFSET($H$3,0,0,'Données projet'!$E$11+1,1))</f>
        <v>247.61330734992077</v>
      </c>
      <c r="BJ168" s="59">
        <f t="shared" si="146"/>
        <v>278.55937893537259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12.291639086364611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12.291639086364611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382.55387448074327</v>
      </c>
      <c r="T169" s="59">
        <f t="shared" si="142"/>
        <v>476.29465646955543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0.94525619278324347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12.922029044128807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425.99999999999983</v>
      </c>
      <c r="AJ169" s="13">
        <f>AI169*VLOOKUP('Données projet'!$B$10,Paramètres!$A$1:$I$89,3,0)*VLOOKUP('Données projet'!$B$10,Paramètres!$A$1:$I$89,5,0)</f>
        <v>232.59599999999992</v>
      </c>
      <c r="AK169" s="13">
        <f t="shared" si="164"/>
        <v>56.843630236302218</v>
      </c>
      <c r="AL169" s="20">
        <f t="shared" si="165"/>
        <v>504.10735599489294</v>
      </c>
      <c r="AM169" s="59">
        <f t="shared" si="113"/>
        <v>797.4406893282262</v>
      </c>
      <c r="AN169" s="59">
        <f ca="1">AVERAGE(OFFSET($AM$3,0,0,'Données projet'!$E$10+1,1))-AVERAGE(OFFSET($H$3,0,0,'Données projet'!$E$10+1,1))</f>
        <v>417.99456559608217</v>
      </c>
      <c r="AO169" s="59">
        <f t="shared" si="144"/>
        <v>651.41353014863932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38.568981063447957</v>
      </c>
      <c r="AV169" s="21">
        <f>EXP(-LN(2)/25)*AV168+(1-EXP(-LN(2)/25))/(LN(2)/25)*Calculateur!AQ169*Calculateur!AS169*VLOOKUP('Données projet'!$B$10,Paramètres!$A$1:$I$89,3,0)*0.475*44/12</f>
        <v>1.066938760217778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39.635919823665738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236.00000000000003</v>
      </c>
      <c r="BE169" s="13">
        <f>BD169*VLOOKUP('Données projet'!$B$11,Paramètres!$A$1:$I$89,3,0)*VLOOKUP('Données projet'!$B$11,Paramètres!$A$1:$I$89,5,0)</f>
        <v>206.16960000000006</v>
      </c>
      <c r="BF169" s="13">
        <f t="shared" si="167"/>
        <v>51.097652263007333</v>
      </c>
      <c r="BG169" s="20">
        <f t="shared" si="168"/>
        <v>448.07379769140448</v>
      </c>
      <c r="BH169" s="59">
        <f t="shared" si="116"/>
        <v>741.40713102473774</v>
      </c>
      <c r="BI169" s="59">
        <f ca="1">AVERAGE(OFFSET($BH$3,0,0,'Données projet'!$E$11+1,1))-AVERAGE(OFFSET($H$3,0,0,'Données projet'!$E$11+1,1))</f>
        <v>247.61330734992077</v>
      </c>
      <c r="BJ169" s="59">
        <f t="shared" si="146"/>
        <v>278.55937893537259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12.050607541040561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12.050607541040561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382.55387448074327</v>
      </c>
      <c r="T170" s="59">
        <f t="shared" si="142"/>
        <v>476.29465646955543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0.91940811248272292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12.661323753323519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425.99999999999983</v>
      </c>
      <c r="AJ170" s="13">
        <f>AI170*VLOOKUP('Données projet'!$B$10,Paramètres!$A$1:$I$89,3,0)*VLOOKUP('Données projet'!$B$10,Paramètres!$A$1:$I$89,5,0)</f>
        <v>232.59599999999992</v>
      </c>
      <c r="AK170" s="13">
        <f t="shared" si="164"/>
        <v>56.843630236302218</v>
      </c>
      <c r="AL170" s="20">
        <f t="shared" si="165"/>
        <v>504.10735599489294</v>
      </c>
      <c r="AM170" s="59">
        <f t="shared" si="113"/>
        <v>797.4406893282262</v>
      </c>
      <c r="AN170" s="59">
        <f ca="1">AVERAGE(OFFSET($AM$3,0,0,'Données projet'!$E$10+1,1))-AVERAGE(OFFSET($H$3,0,0,'Données projet'!$E$10+1,1))</f>
        <v>417.99456559608217</v>
      </c>
      <c r="AO170" s="59">
        <f t="shared" si="144"/>
        <v>651.41353014863932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37.812666869549318</v>
      </c>
      <c r="AV170" s="21">
        <f>EXP(-LN(2)/25)*AV169+(1-EXP(-LN(2)/25))/(LN(2)/25)*Calculateur!AQ170*Calculateur!AS170*VLOOKUP('Données projet'!$B$10,Paramètres!$A$1:$I$89,3,0)*0.475*44/12</f>
        <v>1.037763263711752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38.850430133261071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236.00000000000003</v>
      </c>
      <c r="BE170" s="13">
        <f>BD170*VLOOKUP('Données projet'!$B$11,Paramètres!$A$1:$I$89,3,0)*VLOOKUP('Données projet'!$B$11,Paramètres!$A$1:$I$89,5,0)</f>
        <v>206.16960000000006</v>
      </c>
      <c r="BF170" s="13">
        <f t="shared" si="167"/>
        <v>51.097652263007333</v>
      </c>
      <c r="BG170" s="20">
        <f t="shared" si="168"/>
        <v>448.07379769140448</v>
      </c>
      <c r="BH170" s="59">
        <f t="shared" si="116"/>
        <v>741.40713102473774</v>
      </c>
      <c r="BI170" s="59">
        <f ca="1">AVERAGE(OFFSET($BH$3,0,0,'Données projet'!$E$11+1,1))-AVERAGE(OFFSET($H$3,0,0,'Données projet'!$E$11+1,1))</f>
        <v>247.61330734992077</v>
      </c>
      <c r="BJ170" s="59">
        <f t="shared" si="146"/>
        <v>278.55937893537259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11.814302477305588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11.814302477305588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382.55387448074327</v>
      </c>
      <c r="T171" s="59">
        <f t="shared" si="142"/>
        <v>476.29465646955543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0.89426684929731159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12.405930686282586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425.99999999999983</v>
      </c>
      <c r="AJ171" s="13">
        <f>AI171*VLOOKUP('Données projet'!$B$10,Paramètres!$A$1:$I$89,3,0)*VLOOKUP('Données projet'!$B$10,Paramètres!$A$1:$I$89,5,0)</f>
        <v>232.59599999999992</v>
      </c>
      <c r="AK171" s="13">
        <f t="shared" si="164"/>
        <v>56.843630236302218</v>
      </c>
      <c r="AL171" s="20">
        <f t="shared" si="165"/>
        <v>504.10735599489294</v>
      </c>
      <c r="AM171" s="59">
        <f t="shared" si="113"/>
        <v>797.4406893282262</v>
      </c>
      <c r="AN171" s="59">
        <f ca="1">AVERAGE(OFFSET($AM$3,0,0,'Données projet'!$E$10+1,1))-AVERAGE(OFFSET($H$3,0,0,'Données projet'!$E$10+1,1))</f>
        <v>417.99456559608217</v>
      </c>
      <c r="AO171" s="59">
        <f t="shared" si="144"/>
        <v>651.41353014863932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37.07118353568692</v>
      </c>
      <c r="AV171" s="21">
        <f>EXP(-LN(2)/25)*AV170+(1-EXP(-LN(2)/25))/(LN(2)/25)*Calculateur!AQ171*Calculateur!AS171*VLOOKUP('Données projet'!$B$10,Paramètres!$A$1:$I$89,3,0)*0.475*44/12</f>
        <v>1.0093855726919558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38.080569108378874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236.00000000000003</v>
      </c>
      <c r="BE171" s="13">
        <f>BD171*VLOOKUP('Données projet'!$B$11,Paramètres!$A$1:$I$89,3,0)*VLOOKUP('Données projet'!$B$11,Paramètres!$A$1:$I$89,5,0)</f>
        <v>206.16960000000006</v>
      </c>
      <c r="BF171" s="13">
        <f t="shared" si="167"/>
        <v>51.097652263007333</v>
      </c>
      <c r="BG171" s="20">
        <f t="shared" si="168"/>
        <v>448.07379769140448</v>
      </c>
      <c r="BH171" s="59">
        <f t="shared" si="116"/>
        <v>741.40713102473774</v>
      </c>
      <c r="BI171" s="59">
        <f ca="1">AVERAGE(OFFSET($BH$3,0,0,'Données projet'!$E$11+1,1))-AVERAGE(OFFSET($H$3,0,0,'Données projet'!$E$11+1,1))</f>
        <v>247.61330734992077</v>
      </c>
      <c r="BJ171" s="59">
        <f t="shared" si="146"/>
        <v>278.55937893537259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11.582631211738603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11.582631211738603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382.55387448074327</v>
      </c>
      <c r="T172" s="59">
        <f t="shared" si="142"/>
        <v>476.29465646955543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0.86981307527582685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12.155740205839454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425.99999999999983</v>
      </c>
      <c r="AJ172" s="13">
        <f>AI172*VLOOKUP('Données projet'!$B$10,Paramètres!$A$1:$I$89,3,0)*VLOOKUP('Données projet'!$B$10,Paramètres!$A$1:$I$89,5,0)</f>
        <v>232.59599999999992</v>
      </c>
      <c r="AK172" s="13">
        <f t="shared" si="164"/>
        <v>56.843630236302218</v>
      </c>
      <c r="AL172" s="20">
        <f t="shared" si="165"/>
        <v>504.10735599489294</v>
      </c>
      <c r="AM172" s="59">
        <f t="shared" si="113"/>
        <v>797.4406893282262</v>
      </c>
      <c r="AN172" s="59">
        <f ca="1">AVERAGE(OFFSET($AM$3,0,0,'Données projet'!$E$10+1,1))-AVERAGE(OFFSET($H$3,0,0,'Données projet'!$E$10+1,1))</f>
        <v>417.99456559608217</v>
      </c>
      <c r="AO172" s="59">
        <f t="shared" si="144"/>
        <v>651.41353014863932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36.344240237741388</v>
      </c>
      <c r="AV172" s="21">
        <f>EXP(-LN(2)/25)*AV171+(1-EXP(-LN(2)/25))/(LN(2)/25)*Calculateur!AQ172*Calculateur!AS172*VLOOKUP('Données projet'!$B$10,Paramètres!$A$1:$I$89,3,0)*0.475*44/12</f>
        <v>0.98178387112541399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37.326024108866804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236.00000000000003</v>
      </c>
      <c r="BE172" s="13">
        <f>BD172*VLOOKUP('Données projet'!$B$11,Paramètres!$A$1:$I$89,3,0)*VLOOKUP('Données projet'!$B$11,Paramètres!$A$1:$I$89,5,0)</f>
        <v>206.16960000000006</v>
      </c>
      <c r="BF172" s="13">
        <f t="shared" si="167"/>
        <v>51.097652263007333</v>
      </c>
      <c r="BG172" s="20">
        <f t="shared" si="168"/>
        <v>448.07379769140448</v>
      </c>
      <c r="BH172" s="59">
        <f t="shared" si="116"/>
        <v>741.40713102473774</v>
      </c>
      <c r="BI172" s="59">
        <f ca="1">AVERAGE(OFFSET($BH$3,0,0,'Données projet'!$E$11+1,1))-AVERAGE(OFFSET($H$3,0,0,'Données projet'!$E$11+1,1))</f>
        <v>247.61330734992077</v>
      </c>
      <c r="BJ172" s="59">
        <f t="shared" si="146"/>
        <v>278.55937893537259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11.355502878383867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11.355502878383867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382.55387448074327</v>
      </c>
      <c r="T173" s="59">
        <f t="shared" si="142"/>
        <v>476.29465646955543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0.84602799099092774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11.910644974260039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425.99999999999983</v>
      </c>
      <c r="AJ173" s="13">
        <f>AI173*VLOOKUP('Données projet'!$B$10,Paramètres!$A$1:$I$89,3,0)*VLOOKUP('Données projet'!$B$10,Paramètres!$A$1:$I$89,5,0)</f>
        <v>232.59599999999992</v>
      </c>
      <c r="AK173" s="13">
        <f t="shared" si="164"/>
        <v>56.843630236302218</v>
      </c>
      <c r="AL173" s="20">
        <f t="shared" si="165"/>
        <v>504.10735599489294</v>
      </c>
      <c r="AM173" s="59">
        <f t="shared" si="113"/>
        <v>797.4406893282262</v>
      </c>
      <c r="AN173" s="59">
        <f ca="1">AVERAGE(OFFSET($AM$3,0,0,'Données projet'!$E$10+1,1))-AVERAGE(OFFSET($H$3,0,0,'Données projet'!$E$10+1,1))</f>
        <v>417.99456559608217</v>
      </c>
      <c r="AO173" s="59">
        <f t="shared" si="144"/>
        <v>651.41353014863932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35.631551854476939</v>
      </c>
      <c r="AV173" s="21">
        <f>EXP(-LN(2)/25)*AV172+(1-EXP(-LN(2)/25))/(LN(2)/25)*Calculateur!AQ173*Calculateur!AS173*VLOOKUP('Données projet'!$B$10,Paramètres!$A$1:$I$89,3,0)*0.475*44/12</f>
        <v>0.9549369395397197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36.58648879401666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236.00000000000003</v>
      </c>
      <c r="BE173" s="13">
        <f>BD173*VLOOKUP('Données projet'!$B$11,Paramètres!$A$1:$I$89,3,0)*VLOOKUP('Données projet'!$B$11,Paramètres!$A$1:$I$89,5,0)</f>
        <v>206.16960000000006</v>
      </c>
      <c r="BF173" s="13">
        <f t="shared" si="167"/>
        <v>51.097652263007333</v>
      </c>
      <c r="BG173" s="20">
        <f t="shared" si="168"/>
        <v>448.07379769140448</v>
      </c>
      <c r="BH173" s="59">
        <f t="shared" si="116"/>
        <v>741.40713102473774</v>
      </c>
      <c r="BI173" s="59">
        <f ca="1">AVERAGE(OFFSET($BH$3,0,0,'Données projet'!$E$11+1,1))-AVERAGE(OFFSET($H$3,0,0,'Données projet'!$E$11+1,1))</f>
        <v>247.61330734992077</v>
      </c>
      <c r="BJ173" s="59">
        <f t="shared" si="146"/>
        <v>278.55937893537259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11.132828393111613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11.132828393111613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382.55387448074327</v>
      </c>
      <c r="T174" s="59">
        <f t="shared" si="142"/>
        <v>476.29465646955543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0.82289331108660235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11.670539904063782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425.99999999999983</v>
      </c>
      <c r="AJ174" s="13">
        <f>AI174*VLOOKUP('Données projet'!$B$10,Paramètres!$A$1:$I$89,3,0)*VLOOKUP('Données projet'!$B$10,Paramètres!$A$1:$I$89,5,0)</f>
        <v>232.59599999999992</v>
      </c>
      <c r="AK174" s="13">
        <f t="shared" si="164"/>
        <v>56.843630236302218</v>
      </c>
      <c r="AL174" s="20">
        <f t="shared" si="165"/>
        <v>504.10735599489294</v>
      </c>
      <c r="AM174" s="59">
        <f t="shared" si="113"/>
        <v>797.4406893282262</v>
      </c>
      <c r="AN174" s="59">
        <f ca="1">AVERAGE(OFFSET($AM$3,0,0,'Données projet'!$E$10+1,1))-AVERAGE(OFFSET($H$3,0,0,'Données projet'!$E$10+1,1))</f>
        <v>417.99456559608217</v>
      </c>
      <c r="AO174" s="59">
        <f t="shared" si="144"/>
        <v>651.41353014863932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34.93283885571131</v>
      </c>
      <c r="AV174" s="21">
        <f>EXP(-LN(2)/25)*AV173+(1-EXP(-LN(2)/25))/(LN(2)/25)*Calculateur!AQ174*Calculateur!AS174*VLOOKUP('Données projet'!$B$10,Paramètres!$A$1:$I$89,3,0)*0.475*44/12</f>
        <v>0.92882413871005498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35.861662994421366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236.00000000000003</v>
      </c>
      <c r="BE174" s="13">
        <f>BD174*VLOOKUP('Données projet'!$B$11,Paramètres!$A$1:$I$89,3,0)*VLOOKUP('Données projet'!$B$11,Paramètres!$A$1:$I$89,5,0)</f>
        <v>206.16960000000006</v>
      </c>
      <c r="BF174" s="13">
        <f t="shared" si="167"/>
        <v>51.097652263007333</v>
      </c>
      <c r="BG174" s="20">
        <f t="shared" si="168"/>
        <v>448.07379769140448</v>
      </c>
      <c r="BH174" s="59">
        <f t="shared" si="116"/>
        <v>741.40713102473774</v>
      </c>
      <c r="BI174" s="59">
        <f ca="1">AVERAGE(OFFSET($BH$3,0,0,'Données projet'!$E$11+1,1))-AVERAGE(OFFSET($H$3,0,0,'Données projet'!$E$11+1,1))</f>
        <v>247.61330734992077</v>
      </c>
      <c r="BJ174" s="59">
        <f t="shared" si="146"/>
        <v>278.55937893537259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10.914520418677522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10.914520418677522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382.55387448074327</v>
      </c>
      <c r="T175" s="59">
        <f t="shared" si="142"/>
        <v>476.29465646955543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0.80039125022086077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11.435322109920863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425.99999999999983</v>
      </c>
      <c r="AJ175" s="13">
        <f>AI175*VLOOKUP('Données projet'!$B$10,Paramètres!$A$1:$I$89,3,0)*VLOOKUP('Données projet'!$B$10,Paramètres!$A$1:$I$89,5,0)</f>
        <v>232.59599999999992</v>
      </c>
      <c r="AK175" s="13">
        <f t="shared" si="164"/>
        <v>56.843630236302218</v>
      </c>
      <c r="AL175" s="20">
        <f t="shared" si="165"/>
        <v>504.10735599489294</v>
      </c>
      <c r="AM175" s="59">
        <f t="shared" si="113"/>
        <v>797.4406893282262</v>
      </c>
      <c r="AN175" s="59">
        <f ca="1">AVERAGE(OFFSET($AM$3,0,0,'Données projet'!$E$10+1,1))-AVERAGE(OFFSET($H$3,0,0,'Données projet'!$E$10+1,1))</f>
        <v>417.99456559608217</v>
      </c>
      <c r="AO175" s="59">
        <f t="shared" si="144"/>
        <v>651.41353014863932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34.247827192678628</v>
      </c>
      <c r="AV175" s="21">
        <f>EXP(-LN(2)/25)*AV174+(1-EXP(-LN(2)/25))/(LN(2)/25)*Calculateur!AQ175*Calculateur!AS175*VLOOKUP('Données projet'!$B$10,Paramètres!$A$1:$I$89,3,0)*0.475*44/12</f>
        <v>0.90342539379228992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35.151252586470918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236.00000000000003</v>
      </c>
      <c r="BE175" s="13">
        <f>BD175*VLOOKUP('Données projet'!$B$11,Paramètres!$A$1:$I$89,3,0)*VLOOKUP('Données projet'!$B$11,Paramètres!$A$1:$I$89,5,0)</f>
        <v>206.16960000000006</v>
      </c>
      <c r="BF175" s="13">
        <f t="shared" si="167"/>
        <v>51.097652263007333</v>
      </c>
      <c r="BG175" s="20">
        <f t="shared" si="168"/>
        <v>448.07379769140448</v>
      </c>
      <c r="BH175" s="59">
        <f t="shared" si="116"/>
        <v>741.40713102473774</v>
      </c>
      <c r="BI175" s="59">
        <f ca="1">AVERAGE(OFFSET($BH$3,0,0,'Données projet'!$E$11+1,1))-AVERAGE(OFFSET($H$3,0,0,'Données projet'!$E$11+1,1))</f>
        <v>247.61330734992077</v>
      </c>
      <c r="BJ175" s="59">
        <f t="shared" si="146"/>
        <v>278.55937893537259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10.700493330467367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10.700493330467367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382.55387448074327</v>
      </c>
      <c r="T176" s="59">
        <f t="shared" si="142"/>
        <v>476.29465646955543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0.77850450939282478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11.204890861601429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425.99999999999983</v>
      </c>
      <c r="AJ176" s="13">
        <f>AI176*VLOOKUP('Données projet'!$B$10,Paramètres!$A$1:$I$89,3,0)*VLOOKUP('Données projet'!$B$10,Paramètres!$A$1:$I$89,5,0)</f>
        <v>232.59599999999992</v>
      </c>
      <c r="AK176" s="13">
        <f t="shared" si="164"/>
        <v>56.843630236302218</v>
      </c>
      <c r="AL176" s="20">
        <f t="shared" si="165"/>
        <v>504.10735599489294</v>
      </c>
      <c r="AM176" s="59">
        <f t="shared" si="113"/>
        <v>797.4406893282262</v>
      </c>
      <c r="AN176" s="59">
        <f ca="1">AVERAGE(OFFSET($AM$3,0,0,'Données projet'!$E$10+1,1))-AVERAGE(OFFSET($H$3,0,0,'Données projet'!$E$10+1,1))</f>
        <v>417.99456559608217</v>
      </c>
      <c r="AO176" s="59">
        <f t="shared" si="144"/>
        <v>651.41353014863932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33.576248190542159</v>
      </c>
      <c r="AV176" s="21">
        <f>EXP(-LN(2)/25)*AV175+(1-EXP(-LN(2)/25))/(LN(2)/25)*Calculateur!AQ176*Calculateur!AS176*VLOOKUP('Données projet'!$B$10,Paramètres!$A$1:$I$89,3,0)*0.475*44/12</f>
        <v>0.87872117888996315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34.454969369432121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236.00000000000003</v>
      </c>
      <c r="BE176" s="13">
        <f>BD176*VLOOKUP('Données projet'!$B$11,Paramètres!$A$1:$I$89,3,0)*VLOOKUP('Données projet'!$B$11,Paramètres!$A$1:$I$89,5,0)</f>
        <v>206.16960000000006</v>
      </c>
      <c r="BF176" s="13">
        <f t="shared" si="167"/>
        <v>51.097652263007333</v>
      </c>
      <c r="BG176" s="20">
        <f t="shared" si="168"/>
        <v>448.07379769140448</v>
      </c>
      <c r="BH176" s="59">
        <f t="shared" si="116"/>
        <v>741.40713102473774</v>
      </c>
      <c r="BI176" s="59">
        <f ca="1">AVERAGE(OFFSET($BH$3,0,0,'Données projet'!$E$11+1,1))-AVERAGE(OFFSET($H$3,0,0,'Données projet'!$E$11+1,1))</f>
        <v>247.61330734992077</v>
      </c>
      <c r="BJ176" s="59">
        <f t="shared" si="146"/>
        <v>278.55937893537259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10.49066318291338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10.49066318291338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382.55387448074327</v>
      </c>
      <c r="T177" s="59">
        <f t="shared" si="142"/>
        <v>476.29465646955543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0.75721626264370512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10.979147537953228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425.99999999999983</v>
      </c>
      <c r="AJ177" s="13">
        <f>AI177*VLOOKUP('Données projet'!$B$10,Paramètres!$A$1:$I$89,3,0)*VLOOKUP('Données projet'!$B$10,Paramètres!$A$1:$I$89,5,0)</f>
        <v>232.59599999999992</v>
      </c>
      <c r="AK177" s="13">
        <f t="shared" si="164"/>
        <v>56.843630236302218</v>
      </c>
      <c r="AL177" s="20">
        <f t="shared" si="165"/>
        <v>504.10735599489294</v>
      </c>
      <c r="AM177" s="59">
        <f t="shared" si="113"/>
        <v>797.4406893282262</v>
      </c>
      <c r="AN177" s="59">
        <f ca="1">AVERAGE(OFFSET($AM$3,0,0,'Données projet'!$E$10+1,1))-AVERAGE(OFFSET($H$3,0,0,'Données projet'!$E$10+1,1))</f>
        <v>417.99456559608217</v>
      </c>
      <c r="AO177" s="59">
        <f t="shared" si="144"/>
        <v>651.41353014863932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32.917838443014844</v>
      </c>
      <c r="AV177" s="21">
        <f>EXP(-LN(2)/25)*AV176+(1-EXP(-LN(2)/25))/(LN(2)/25)*Calculateur!AQ177*Calculateur!AS177*VLOOKUP('Données projet'!$B$10,Paramètres!$A$1:$I$89,3,0)*0.475*44/12</f>
        <v>0.85469250204327862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33.772530945058122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236.00000000000003</v>
      </c>
      <c r="BE177" s="13">
        <f>BD177*VLOOKUP('Données projet'!$B$11,Paramètres!$A$1:$I$89,3,0)*VLOOKUP('Données projet'!$B$11,Paramètres!$A$1:$I$89,5,0)</f>
        <v>206.16960000000006</v>
      </c>
      <c r="BF177" s="13">
        <f t="shared" si="167"/>
        <v>51.097652263007333</v>
      </c>
      <c r="BG177" s="20">
        <f t="shared" si="168"/>
        <v>448.07379769140448</v>
      </c>
      <c r="BH177" s="59">
        <f t="shared" si="116"/>
        <v>741.40713102473774</v>
      </c>
      <c r="BI177" s="59">
        <f ca="1">AVERAGE(OFFSET($BH$3,0,0,'Données projet'!$E$11+1,1))-AVERAGE(OFFSET($H$3,0,0,'Données projet'!$E$11+1,1))</f>
        <v>247.61330734992077</v>
      </c>
      <c r="BJ177" s="59">
        <f t="shared" si="146"/>
        <v>278.55937893537259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10.284947676569173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10.284947676569173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382.55387448074327</v>
      </c>
      <c r="T178" s="59">
        <f t="shared" si="142"/>
        <v>476.29465646955543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0.73651014412144034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10.75799558188459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425.99999999999983</v>
      </c>
      <c r="AJ178" s="13">
        <f>AI178*VLOOKUP('Données projet'!$B$10,Paramètres!$A$1:$I$89,3,0)*VLOOKUP('Données projet'!$B$10,Paramètres!$A$1:$I$89,5,0)</f>
        <v>232.59599999999992</v>
      </c>
      <c r="AK178" s="13">
        <f t="shared" si="164"/>
        <v>56.843630236302218</v>
      </c>
      <c r="AL178" s="20">
        <f t="shared" si="165"/>
        <v>504.10735599489294</v>
      </c>
      <c r="AM178" s="59">
        <f t="shared" si="113"/>
        <v>797.4406893282262</v>
      </c>
      <c r="AN178" s="59">
        <f ca="1">AVERAGE(OFFSET($AM$3,0,0,'Données projet'!$E$10+1,1))-AVERAGE(OFFSET($H$3,0,0,'Données projet'!$E$10+1,1))</f>
        <v>417.99456559608217</v>
      </c>
      <c r="AO178" s="59">
        <f t="shared" si="144"/>
        <v>651.41353014863932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32.272339709046243</v>
      </c>
      <c r="AV178" s="21">
        <f>EXP(-LN(2)/25)*AV177+(1-EXP(-LN(2)/25))/(LN(2)/25)*Calculateur!AQ178*Calculateur!AS178*VLOOKUP('Données projet'!$B$10,Paramètres!$A$1:$I$89,3,0)*0.475*44/12</f>
        <v>0.83132089062857994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33.103660599674825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236.00000000000003</v>
      </c>
      <c r="BE178" s="13">
        <f>BD178*VLOOKUP('Données projet'!$B$11,Paramètres!$A$1:$I$89,3,0)*VLOOKUP('Données projet'!$B$11,Paramètres!$A$1:$I$89,5,0)</f>
        <v>206.16960000000006</v>
      </c>
      <c r="BF178" s="13">
        <f t="shared" si="167"/>
        <v>51.097652263007333</v>
      </c>
      <c r="BG178" s="20">
        <f t="shared" si="168"/>
        <v>448.07379769140448</v>
      </c>
      <c r="BH178" s="59">
        <f t="shared" si="116"/>
        <v>741.40713102473774</v>
      </c>
      <c r="BI178" s="59">
        <f ca="1">AVERAGE(OFFSET($BH$3,0,0,'Données projet'!$E$11+1,1))-AVERAGE(OFFSET($H$3,0,0,'Données projet'!$E$11+1,1))</f>
        <v>247.61330734992077</v>
      </c>
      <c r="BJ178" s="59">
        <f t="shared" si="146"/>
        <v>278.55937893537259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10.083266125830308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10.083266125830308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382.55387448074327</v>
      </c>
      <c r="T179" s="59">
        <f t="shared" si="142"/>
        <v>476.29465646955543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0.71637023549905443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10.541340456330225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425.99999999999983</v>
      </c>
      <c r="AJ179" s="13">
        <f>AI179*VLOOKUP('Données projet'!$B$10,Paramètres!$A$1:$I$89,3,0)*VLOOKUP('Données projet'!$B$10,Paramètres!$A$1:$I$89,5,0)</f>
        <v>232.59599999999992</v>
      </c>
      <c r="AK179" s="13">
        <f t="shared" si="164"/>
        <v>56.843630236302218</v>
      </c>
      <c r="AL179" s="20">
        <f t="shared" si="165"/>
        <v>504.10735599489294</v>
      </c>
      <c r="AM179" s="59">
        <f t="shared" si="113"/>
        <v>797.4406893282262</v>
      </c>
      <c r="AN179" s="59">
        <f ca="1">AVERAGE(OFFSET($AM$3,0,0,'Données projet'!$E$10+1,1))-AVERAGE(OFFSET($H$3,0,0,'Données projet'!$E$10+1,1))</f>
        <v>417.99456559608217</v>
      </c>
      <c r="AO179" s="59">
        <f t="shared" si="144"/>
        <v>651.41353014863932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31.639498811535418</v>
      </c>
      <c r="AV179" s="21">
        <f>EXP(-LN(2)/25)*AV178+(1-EXP(-LN(2)/25))/(LN(2)/25)*Calculateur!AQ179*Calculateur!AS179*VLOOKUP('Données projet'!$B$10,Paramètres!$A$1:$I$89,3,0)*0.475*44/12</f>
        <v>0.80858837715707577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32.448087188692497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236.00000000000003</v>
      </c>
      <c r="BE179" s="13">
        <f>BD179*VLOOKUP('Données projet'!$B$11,Paramètres!$A$1:$I$89,3,0)*VLOOKUP('Données projet'!$B$11,Paramètres!$A$1:$I$89,5,0)</f>
        <v>206.16960000000006</v>
      </c>
      <c r="BF179" s="13">
        <f t="shared" si="167"/>
        <v>51.097652263007333</v>
      </c>
      <c r="BG179" s="20">
        <f t="shared" si="168"/>
        <v>448.07379769140448</v>
      </c>
      <c r="BH179" s="59">
        <f t="shared" si="116"/>
        <v>741.40713102473774</v>
      </c>
      <c r="BI179" s="59">
        <f ca="1">AVERAGE(OFFSET($BH$3,0,0,'Données projet'!$E$11+1,1))-AVERAGE(OFFSET($H$3,0,0,'Données projet'!$E$11+1,1))</f>
        <v>247.61330734992077</v>
      </c>
      <c r="BJ179" s="59">
        <f t="shared" si="146"/>
        <v>278.55937893537259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9.8855394272878314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9.8855394272878314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382.55387448074327</v>
      </c>
      <c r="T180" s="59">
        <f t="shared" si="142"/>
        <v>476.29465646955543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0.69678105373705934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10.329089601177841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425.99999999999983</v>
      </c>
      <c r="AJ180" s="13">
        <f>AI180*VLOOKUP('Données projet'!$B$10,Paramètres!$A$1:$I$89,3,0)*VLOOKUP('Données projet'!$B$10,Paramètres!$A$1:$I$89,5,0)</f>
        <v>232.59599999999992</v>
      </c>
      <c r="AK180" s="13">
        <f t="shared" si="164"/>
        <v>56.843630236302218</v>
      </c>
      <c r="AL180" s="20">
        <f t="shared" si="165"/>
        <v>504.10735599489294</v>
      </c>
      <c r="AM180" s="59">
        <f t="shared" si="113"/>
        <v>797.4406893282262</v>
      </c>
      <c r="AN180" s="59">
        <f ca="1">AVERAGE(OFFSET($AM$3,0,0,'Données projet'!$E$10+1,1))-AVERAGE(OFFSET($H$3,0,0,'Données projet'!$E$10+1,1))</f>
        <v>417.99456559608217</v>
      </c>
      <c r="AO180" s="59">
        <f t="shared" si="144"/>
        <v>651.41353014863932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31.019067538029947</v>
      </c>
      <c r="AV180" s="21">
        <f>EXP(-LN(2)/25)*AV179+(1-EXP(-LN(2)/25))/(LN(2)/25)*Calculateur!AQ180*Calculateur!AS180*VLOOKUP('Données projet'!$B$10,Paramètres!$A$1:$I$89,3,0)*0.475*44/12</f>
        <v>0.78647748546190088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31.805545023491849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236.00000000000003</v>
      </c>
      <c r="BE180" s="13">
        <f>BD180*VLOOKUP('Données projet'!$B$11,Paramètres!$A$1:$I$89,3,0)*VLOOKUP('Données projet'!$B$11,Paramètres!$A$1:$I$89,5,0)</f>
        <v>206.16960000000006</v>
      </c>
      <c r="BF180" s="13">
        <f t="shared" si="167"/>
        <v>51.097652263007333</v>
      </c>
      <c r="BG180" s="20">
        <f t="shared" si="168"/>
        <v>448.07379769140448</v>
      </c>
      <c r="BH180" s="59">
        <f t="shared" si="116"/>
        <v>741.40713102473774</v>
      </c>
      <c r="BI180" s="59">
        <f ca="1">AVERAGE(OFFSET($BH$3,0,0,'Données projet'!$E$11+1,1))-AVERAGE(OFFSET($H$3,0,0,'Données projet'!$E$11+1,1))</f>
        <v>247.61330734992077</v>
      </c>
      <c r="BJ180" s="59">
        <f t="shared" si="146"/>
        <v>278.55937893537259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9.6916900287023964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9.6916900287023964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382.55387448074327</v>
      </c>
      <c r="T181" s="59">
        <f t="shared" si="142"/>
        <v>476.29465646955543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0.67772753918049633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10.121152391134059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425.99999999999983</v>
      </c>
      <c r="AJ181" s="13">
        <f>AI181*VLOOKUP('Données projet'!$B$10,Paramètres!$A$1:$I$89,3,0)*VLOOKUP('Données projet'!$B$10,Paramètres!$A$1:$I$89,5,0)</f>
        <v>232.59599999999992</v>
      </c>
      <c r="AK181" s="13">
        <f t="shared" si="164"/>
        <v>56.843630236302218</v>
      </c>
      <c r="AL181" s="20">
        <f t="shared" si="165"/>
        <v>504.10735599489294</v>
      </c>
      <c r="AM181" s="59">
        <f t="shared" si="113"/>
        <v>797.4406893282262</v>
      </c>
      <c r="AN181" s="59">
        <f ca="1">AVERAGE(OFFSET($AM$3,0,0,'Données projet'!$E$10+1,1))-AVERAGE(OFFSET($H$3,0,0,'Données projet'!$E$10+1,1))</f>
        <v>417.99456559608217</v>
      </c>
      <c r="AO181" s="59">
        <f t="shared" si="144"/>
        <v>651.41353014863932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30.410802543372206</v>
      </c>
      <c r="AV181" s="21">
        <f>EXP(-LN(2)/25)*AV180+(1-EXP(-LN(2)/25))/(LN(2)/25)*Calculateur!AQ181*Calculateur!AS181*VLOOKUP('Données projet'!$B$10,Paramètres!$A$1:$I$89,3,0)*0.475*44/12</f>
        <v>0.76497121726289175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31.175773760635099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236.00000000000003</v>
      </c>
      <c r="BE181" s="13">
        <f>BD181*VLOOKUP('Données projet'!$B$11,Paramètres!$A$1:$I$89,3,0)*VLOOKUP('Données projet'!$B$11,Paramètres!$A$1:$I$89,5,0)</f>
        <v>206.16960000000006</v>
      </c>
      <c r="BF181" s="13">
        <f t="shared" si="167"/>
        <v>51.097652263007333</v>
      </c>
      <c r="BG181" s="20">
        <f t="shared" si="168"/>
        <v>448.07379769140448</v>
      </c>
      <c r="BH181" s="59">
        <f t="shared" si="116"/>
        <v>741.40713102473774</v>
      </c>
      <c r="BI181" s="59">
        <f ca="1">AVERAGE(OFFSET($BH$3,0,0,'Données projet'!$E$11+1,1))-AVERAGE(OFFSET($H$3,0,0,'Données projet'!$E$11+1,1))</f>
        <v>247.61330734992077</v>
      </c>
      <c r="BJ181" s="59">
        <f t="shared" si="146"/>
        <v>278.55937893537259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9.5016418985867634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9.5016418985867634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382.55387448074327</v>
      </c>
      <c r="T182" s="59">
        <f t="shared" si="142"/>
        <v>476.29465646955543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0.65919504398146334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9.9174400945086312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425.99999999999983</v>
      </c>
      <c r="AJ182" s="13">
        <f>AI182*VLOOKUP('Données projet'!$B$10,Paramètres!$A$1:$I$89,3,0)*VLOOKUP('Données projet'!$B$10,Paramètres!$A$1:$I$89,5,0)</f>
        <v>232.59599999999992</v>
      </c>
      <c r="AK182" s="13">
        <f t="shared" si="164"/>
        <v>56.843630236302218</v>
      </c>
      <c r="AL182" s="20">
        <f t="shared" si="165"/>
        <v>504.10735599489294</v>
      </c>
      <c r="AM182" s="59">
        <f t="shared" si="113"/>
        <v>797.4406893282262</v>
      </c>
      <c r="AN182" s="59">
        <f ca="1">AVERAGE(OFFSET($AM$3,0,0,'Données projet'!$E$10+1,1))-AVERAGE(OFFSET($H$3,0,0,'Données projet'!$E$10+1,1))</f>
        <v>417.99456559608217</v>
      </c>
      <c r="AO182" s="59">
        <f t="shared" si="144"/>
        <v>651.41353014863932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29.814465254254692</v>
      </c>
      <c r="AV182" s="21">
        <f>EXP(-LN(2)/25)*AV181+(1-EXP(-LN(2)/25))/(LN(2)/25)*Calculateur!AQ182*Calculateur!AS182*VLOOKUP('Données projet'!$B$10,Paramètres!$A$1:$I$89,3,0)*0.475*44/12</f>
        <v>0.74405303909874998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30.55851829335344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236.00000000000003</v>
      </c>
      <c r="BE182" s="13">
        <f>BD182*VLOOKUP('Données projet'!$B$11,Paramètres!$A$1:$I$89,3,0)*VLOOKUP('Données projet'!$B$11,Paramètres!$A$1:$I$89,5,0)</f>
        <v>206.16960000000006</v>
      </c>
      <c r="BF182" s="13">
        <f t="shared" si="167"/>
        <v>51.097652263007333</v>
      </c>
      <c r="BG182" s="20">
        <f t="shared" si="168"/>
        <v>448.07379769140448</v>
      </c>
      <c r="BH182" s="59">
        <f t="shared" si="116"/>
        <v>741.40713102473774</v>
      </c>
      <c r="BI182" s="59">
        <f ca="1">AVERAGE(OFFSET($BH$3,0,0,'Données projet'!$E$11+1,1))-AVERAGE(OFFSET($H$3,0,0,'Données projet'!$E$11+1,1))</f>
        <v>247.61330734992077</v>
      </c>
      <c r="BJ182" s="59">
        <f t="shared" si="146"/>
        <v>278.55937893537259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9.3153204963847838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9.3153204963847838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382.55387448074327</v>
      </c>
      <c r="T183" s="59">
        <f t="shared" si="142"/>
        <v>476.29465646955543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0.64116932083822942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9.7178658328964467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425.99999999999983</v>
      </c>
      <c r="AJ183" s="13">
        <f>AI183*VLOOKUP('Données projet'!$B$10,Paramètres!$A$1:$I$89,3,0)*VLOOKUP('Données projet'!$B$10,Paramètres!$A$1:$I$89,5,0)</f>
        <v>232.59599999999992</v>
      </c>
      <c r="AK183" s="13">
        <f t="shared" si="164"/>
        <v>56.843630236302218</v>
      </c>
      <c r="AL183" s="20">
        <f t="shared" si="165"/>
        <v>504.10735599489294</v>
      </c>
      <c r="AM183" s="59">
        <f t="shared" si="113"/>
        <v>797.4406893282262</v>
      </c>
      <c r="AN183" s="59">
        <f ca="1">AVERAGE(OFFSET($AM$3,0,0,'Données projet'!$E$10+1,1))-AVERAGE(OFFSET($H$3,0,0,'Données projet'!$E$10+1,1))</f>
        <v>417.99456559608217</v>
      </c>
      <c r="AO183" s="59">
        <f t="shared" si="144"/>
        <v>651.41353014863932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29.22982177564694</v>
      </c>
      <c r="AV183" s="21">
        <f>EXP(-LN(2)/25)*AV182+(1-EXP(-LN(2)/25))/(LN(2)/25)*Calculateur!AQ183*Calculateur!AS183*VLOOKUP('Données projet'!$B$10,Paramètres!$A$1:$I$89,3,0)*0.475*44/12</f>
        <v>0.72370686961654584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29.953528645263486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236.00000000000003</v>
      </c>
      <c r="BE183" s="13">
        <f>BD183*VLOOKUP('Données projet'!$B$11,Paramètres!$A$1:$I$89,3,0)*VLOOKUP('Données projet'!$B$11,Paramètres!$A$1:$I$89,5,0)</f>
        <v>206.16960000000006</v>
      </c>
      <c r="BF183" s="13">
        <f t="shared" si="167"/>
        <v>51.097652263007333</v>
      </c>
      <c r="BG183" s="20">
        <f t="shared" si="168"/>
        <v>448.07379769140448</v>
      </c>
      <c r="BH183" s="59">
        <f t="shared" si="116"/>
        <v>741.40713102473774</v>
      </c>
      <c r="BI183" s="59">
        <f ca="1">AVERAGE(OFFSET($BH$3,0,0,'Données projet'!$E$11+1,1))-AVERAGE(OFFSET($H$3,0,0,'Données projet'!$E$11+1,1))</f>
        <v>247.61330734992077</v>
      </c>
      <c r="BJ183" s="59">
        <f t="shared" si="146"/>
        <v>278.55937893537259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9.1326527432351519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9.1326527432351519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382.55387448074327</v>
      </c>
      <c r="T184" s="59">
        <f t="shared" si="142"/>
        <v>476.29465646955543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0.62363651204227888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9.5223445417372492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425.99999999999983</v>
      </c>
      <c r="AJ184" s="13">
        <f>AI184*VLOOKUP('Données projet'!$B$10,Paramètres!$A$1:$I$89,3,0)*VLOOKUP('Données projet'!$B$10,Paramètres!$A$1:$I$89,5,0)</f>
        <v>232.59599999999992</v>
      </c>
      <c r="AK184" s="13">
        <f t="shared" si="164"/>
        <v>56.843630236302218</v>
      </c>
      <c r="AL184" s="20">
        <f t="shared" si="165"/>
        <v>504.10735599489294</v>
      </c>
      <c r="AM184" s="59">
        <f t="shared" si="113"/>
        <v>797.4406893282262</v>
      </c>
      <c r="AN184" s="59">
        <f ca="1">AVERAGE(OFFSET($AM$3,0,0,'Données projet'!$E$10+1,1))-AVERAGE(OFFSET($H$3,0,0,'Données projet'!$E$10+1,1))</f>
        <v>417.99456559608217</v>
      </c>
      <c r="AO184" s="59">
        <f t="shared" si="144"/>
        <v>651.41353014863932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28.656642799057376</v>
      </c>
      <c r="AV184" s="21">
        <f>EXP(-LN(2)/25)*AV183+(1-EXP(-LN(2)/25))/(LN(2)/25)*Calculateur!AQ184*Calculateur!AS184*VLOOKUP('Données projet'!$B$10,Paramètres!$A$1:$I$89,3,0)*0.475*44/12</f>
        <v>0.70391706720879121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29.360559866266168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236.00000000000003</v>
      </c>
      <c r="BE184" s="13">
        <f>BD184*VLOOKUP('Données projet'!$B$11,Paramètres!$A$1:$I$89,3,0)*VLOOKUP('Données projet'!$B$11,Paramètres!$A$1:$I$89,5,0)</f>
        <v>206.16960000000006</v>
      </c>
      <c r="BF184" s="13">
        <f t="shared" si="167"/>
        <v>51.097652263007333</v>
      </c>
      <c r="BG184" s="20">
        <f t="shared" si="168"/>
        <v>448.07379769140448</v>
      </c>
      <c r="BH184" s="59">
        <f t="shared" si="116"/>
        <v>741.40713102473774</v>
      </c>
      <c r="BI184" s="59">
        <f ca="1">AVERAGE(OFFSET($BH$3,0,0,'Données projet'!$E$11+1,1))-AVERAGE(OFFSET($H$3,0,0,'Données projet'!$E$11+1,1))</f>
        <v>247.61330734992077</v>
      </c>
      <c r="BJ184" s="59">
        <f t="shared" si="146"/>
        <v>278.55937893537259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8.9535669933084563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8.9535669933084563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382.55387448074327</v>
      </c>
      <c r="T185" s="59">
        <f t="shared" si="142"/>
        <v>476.29465646955543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0.60658313882486392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9.330792931733475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425.99999999999983</v>
      </c>
      <c r="AJ185" s="13">
        <f>AI185*VLOOKUP('Données projet'!$B$10,Paramètres!$A$1:$I$89,3,0)*VLOOKUP('Données projet'!$B$10,Paramètres!$A$1:$I$89,5,0)</f>
        <v>232.59599999999992</v>
      </c>
      <c r="AK185" s="13">
        <f t="shared" si="164"/>
        <v>56.843630236302218</v>
      </c>
      <c r="AL185" s="20">
        <f t="shared" si="165"/>
        <v>504.10735599489294</v>
      </c>
      <c r="AM185" s="59">
        <f t="shared" si="113"/>
        <v>797.4406893282262</v>
      </c>
      <c r="AN185" s="59">
        <f ca="1">AVERAGE(OFFSET($AM$3,0,0,'Données projet'!$E$10+1,1))-AVERAGE(OFFSET($H$3,0,0,'Données projet'!$E$10+1,1))</f>
        <v>417.99456559608217</v>
      </c>
      <c r="AO185" s="59">
        <f t="shared" si="144"/>
        <v>651.41353014863932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28.094703512594076</v>
      </c>
      <c r="AV185" s="21">
        <f>EXP(-LN(2)/25)*AV184+(1-EXP(-LN(2)/25))/(LN(2)/25)*Calculateur!AQ185*Calculateur!AS185*VLOOKUP('Données projet'!$B$10,Paramètres!$A$1:$I$89,3,0)*0.475*44/12</f>
        <v>0.68466841798857703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28.779371930582652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236.00000000000003</v>
      </c>
      <c r="BE185" s="13">
        <f>BD185*VLOOKUP('Données projet'!$B$11,Paramètres!$A$1:$I$89,3,0)*VLOOKUP('Données projet'!$B$11,Paramètres!$A$1:$I$89,5,0)</f>
        <v>206.16960000000006</v>
      </c>
      <c r="BF185" s="13">
        <f t="shared" si="167"/>
        <v>51.097652263007333</v>
      </c>
      <c r="BG185" s="20">
        <f t="shared" si="168"/>
        <v>448.07379769140448</v>
      </c>
      <c r="BH185" s="59">
        <f t="shared" si="116"/>
        <v>741.40713102473774</v>
      </c>
      <c r="BI185" s="59">
        <f ca="1">AVERAGE(OFFSET($BH$3,0,0,'Données projet'!$E$11+1,1))-AVERAGE(OFFSET($H$3,0,0,'Données projet'!$E$11+1,1))</f>
        <v>247.61330734992077</v>
      </c>
      <c r="BJ185" s="59">
        <f t="shared" si="146"/>
        <v>278.55937893537259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8.7779930057063016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8.7779930057063016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382.55387448074327</v>
      </c>
      <c r="T186" s="59">
        <f t="shared" si="142"/>
        <v>476.29465646955543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0.58999609099487715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9.1431294511070949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425.99999999999983</v>
      </c>
      <c r="AJ186" s="13">
        <f>AI186*VLOOKUP('Données projet'!$B$10,Paramètres!$A$1:$I$89,3,0)*VLOOKUP('Données projet'!$B$10,Paramètres!$A$1:$I$89,5,0)</f>
        <v>232.59599999999992</v>
      </c>
      <c r="AK186" s="13">
        <f t="shared" si="164"/>
        <v>56.843630236302218</v>
      </c>
      <c r="AL186" s="20">
        <f t="shared" si="165"/>
        <v>504.10735599489294</v>
      </c>
      <c r="AM186" s="59">
        <f t="shared" si="113"/>
        <v>797.4406893282262</v>
      </c>
      <c r="AN186" s="59">
        <f ca="1">AVERAGE(OFFSET($AM$3,0,0,'Données projet'!$E$10+1,1))-AVERAGE(OFFSET($H$3,0,0,'Données projet'!$E$10+1,1))</f>
        <v>417.99456559608217</v>
      </c>
      <c r="AO186" s="59">
        <f t="shared" si="144"/>
        <v>651.41353014863932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27.543783512789201</v>
      </c>
      <c r="AV186" s="21">
        <f>EXP(-LN(2)/25)*AV185+(1-EXP(-LN(2)/25))/(LN(2)/25)*Calculateur!AQ186*Calculateur!AS186*VLOOKUP('Données projet'!$B$10,Paramètres!$A$1:$I$89,3,0)*0.475*44/12</f>
        <v>0.66594612409353215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28.209729636882734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236.00000000000003</v>
      </c>
      <c r="BE186" s="13">
        <f>BD186*VLOOKUP('Données projet'!$B$11,Paramètres!$A$1:$I$89,3,0)*VLOOKUP('Données projet'!$B$11,Paramètres!$A$1:$I$89,5,0)</f>
        <v>206.16960000000006</v>
      </c>
      <c r="BF186" s="13">
        <f t="shared" si="167"/>
        <v>51.097652263007333</v>
      </c>
      <c r="BG186" s="20">
        <f t="shared" si="168"/>
        <v>448.07379769140448</v>
      </c>
      <c r="BH186" s="59">
        <f t="shared" si="116"/>
        <v>741.40713102473774</v>
      </c>
      <c r="BI186" s="59">
        <f ca="1">AVERAGE(OFFSET($BH$3,0,0,'Données projet'!$E$11+1,1))-AVERAGE(OFFSET($H$3,0,0,'Données projet'!$E$11+1,1))</f>
        <v>247.61330734992077</v>
      </c>
      <c r="BJ186" s="59">
        <f t="shared" si="146"/>
        <v>278.55937893537259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8.6058619169114667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8.6058619169114667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382.55387448074327</v>
      </c>
      <c r="T187" s="59">
        <f t="shared" si="142"/>
        <v>476.29465646955543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0.57386261686007622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8.9592742486767172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425.99999999999983</v>
      </c>
      <c r="AJ187" s="13">
        <f>AI187*VLOOKUP('Données projet'!$B$10,Paramètres!$A$1:$I$89,3,0)*VLOOKUP('Données projet'!$B$10,Paramètres!$A$1:$I$89,5,0)</f>
        <v>232.59599999999992</v>
      </c>
      <c r="AK187" s="13">
        <f t="shared" si="164"/>
        <v>56.843630236302218</v>
      </c>
      <c r="AL187" s="20">
        <f t="shared" si="165"/>
        <v>504.10735599489294</v>
      </c>
      <c r="AM187" s="59">
        <f t="shared" si="113"/>
        <v>797.4406893282262</v>
      </c>
      <c r="AN187" s="59">
        <f ca="1">AVERAGE(OFFSET($AM$3,0,0,'Données projet'!$E$10+1,1))-AVERAGE(OFFSET($H$3,0,0,'Données projet'!$E$10+1,1))</f>
        <v>417.99456559608217</v>
      </c>
      <c r="AO187" s="59">
        <f t="shared" si="144"/>
        <v>651.41353014863932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27.003666718152481</v>
      </c>
      <c r="AV187" s="21">
        <f>EXP(-LN(2)/25)*AV186+(1-EXP(-LN(2)/25))/(LN(2)/25)*Calculateur!AQ187*Calculateur!AS187*VLOOKUP('Données projet'!$B$10,Paramètres!$A$1:$I$89,3,0)*0.475*44/12</f>
        <v>0.64773579230960987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27.651402510462091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236.00000000000003</v>
      </c>
      <c r="BE187" s="13">
        <f>BD187*VLOOKUP('Données projet'!$B$11,Paramètres!$A$1:$I$89,3,0)*VLOOKUP('Données projet'!$B$11,Paramètres!$A$1:$I$89,5,0)</f>
        <v>206.16960000000006</v>
      </c>
      <c r="BF187" s="13">
        <f t="shared" si="167"/>
        <v>51.097652263007333</v>
      </c>
      <c r="BG187" s="20">
        <f t="shared" si="168"/>
        <v>448.07379769140448</v>
      </c>
      <c r="BH187" s="59">
        <f t="shared" si="116"/>
        <v>741.40713102473774</v>
      </c>
      <c r="BI187" s="59">
        <f ca="1">AVERAGE(OFFSET($BH$3,0,0,'Données projet'!$E$11+1,1))-AVERAGE(OFFSET($H$3,0,0,'Données projet'!$E$11+1,1))</f>
        <v>247.61330734992077</v>
      </c>
      <c r="BJ187" s="59">
        <f t="shared" si="146"/>
        <v>278.55937893537259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8.4371062137782999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8.4371062137782999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382.55387448074327</v>
      </c>
      <c r="T188" s="59">
        <f t="shared" si="142"/>
        <v>476.29465646955543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0.55817031342391399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8.7791491377367024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425.99999999999983</v>
      </c>
      <c r="AJ188" s="13">
        <f>AI188*VLOOKUP('Données projet'!$B$10,Paramètres!$A$1:$I$89,3,0)*VLOOKUP('Données projet'!$B$10,Paramètres!$A$1:$I$89,5,0)</f>
        <v>232.59599999999992</v>
      </c>
      <c r="AK188" s="13">
        <f t="shared" si="164"/>
        <v>56.843630236302218</v>
      </c>
      <c r="AL188" s="20">
        <f t="shared" si="165"/>
        <v>504.10735599489294</v>
      </c>
      <c r="AM188" s="59">
        <f t="shared" si="113"/>
        <v>797.4406893282262</v>
      </c>
      <c r="AN188" s="59">
        <f ca="1">AVERAGE(OFFSET($AM$3,0,0,'Données projet'!$E$10+1,1))-AVERAGE(OFFSET($H$3,0,0,'Données projet'!$E$10+1,1))</f>
        <v>417.99456559608217</v>
      </c>
      <c r="AO188" s="59">
        <f t="shared" si="144"/>
        <v>651.41353014863932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26.474141284419872</v>
      </c>
      <c r="AV188" s="21">
        <f>EXP(-LN(2)/25)*AV187+(1-EXP(-LN(2)/25))/(LN(2)/25)*Calculateur!AQ188*Calculateur!AS188*VLOOKUP('Données projet'!$B$10,Paramètres!$A$1:$I$89,3,0)*0.475*44/12</f>
        <v>0.6300234230059587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27.104164707425831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236.00000000000003</v>
      </c>
      <c r="BE188" s="13">
        <f>BD188*VLOOKUP('Données projet'!$B$11,Paramètres!$A$1:$I$89,3,0)*VLOOKUP('Données projet'!$B$11,Paramètres!$A$1:$I$89,5,0)</f>
        <v>206.16960000000006</v>
      </c>
      <c r="BF188" s="13">
        <f t="shared" si="167"/>
        <v>51.097652263007333</v>
      </c>
      <c r="BG188" s="20">
        <f t="shared" si="168"/>
        <v>448.07379769140448</v>
      </c>
      <c r="BH188" s="59">
        <f t="shared" si="116"/>
        <v>741.40713102473774</v>
      </c>
      <c r="BI188" s="59">
        <f ca="1">AVERAGE(OFFSET($BH$3,0,0,'Données projet'!$E$11+1,1))-AVERAGE(OFFSET($H$3,0,0,'Données projet'!$E$11+1,1))</f>
        <v>247.61330734992077</v>
      </c>
      <c r="BJ188" s="59">
        <f t="shared" si="146"/>
        <v>278.55937893537259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8.2716597070527609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8.2716597070527609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382.55387448074327</v>
      </c>
      <c r="T189" s="59">
        <f t="shared" si="142"/>
        <v>476.29465646955543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0.54290711685043602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8.6026775607204122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425.99999999999983</v>
      </c>
      <c r="AJ189" s="13">
        <f>AI189*VLOOKUP('Données projet'!$B$10,Paramètres!$A$1:$I$89,3,0)*VLOOKUP('Données projet'!$B$10,Paramètres!$A$1:$I$89,5,0)</f>
        <v>232.59599999999992</v>
      </c>
      <c r="AK189" s="13">
        <f t="shared" si="164"/>
        <v>56.843630236302218</v>
      </c>
      <c r="AL189" s="20">
        <f t="shared" si="165"/>
        <v>504.10735599489294</v>
      </c>
      <c r="AM189" s="59">
        <f t="shared" si="113"/>
        <v>797.4406893282262</v>
      </c>
      <c r="AN189" s="59">
        <f ca="1">AVERAGE(OFFSET($AM$3,0,0,'Données projet'!$E$10+1,1))-AVERAGE(OFFSET($H$3,0,0,'Données projet'!$E$10+1,1))</f>
        <v>417.99456559608217</v>
      </c>
      <c r="AO189" s="59">
        <f t="shared" si="144"/>
        <v>651.41353014863932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25.954999521464135</v>
      </c>
      <c r="AV189" s="21">
        <f>EXP(-LN(2)/25)*AV188+(1-EXP(-LN(2)/25))/(LN(2)/25)*Calculateur!AQ189*Calculateur!AS189*VLOOKUP('Données projet'!$B$10,Paramètres!$A$1:$I$89,3,0)*0.475*44/12</f>
        <v>0.61279539937236893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26.567794920836505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236.00000000000003</v>
      </c>
      <c r="BE189" s="13">
        <f>BD189*VLOOKUP('Données projet'!$B$11,Paramètres!$A$1:$I$89,3,0)*VLOOKUP('Données projet'!$B$11,Paramètres!$A$1:$I$89,5,0)</f>
        <v>206.16960000000006</v>
      </c>
      <c r="BF189" s="13">
        <f t="shared" si="167"/>
        <v>51.097652263007333</v>
      </c>
      <c r="BG189" s="20">
        <f t="shared" si="168"/>
        <v>448.07379769140448</v>
      </c>
      <c r="BH189" s="59">
        <f t="shared" si="116"/>
        <v>741.40713102473774</v>
      </c>
      <c r="BI189" s="59">
        <f ca="1">AVERAGE(OFFSET($BH$3,0,0,'Données projet'!$E$11+1,1))-AVERAGE(OFFSET($H$3,0,0,'Données projet'!$E$11+1,1))</f>
        <v>247.61330734992077</v>
      </c>
      <c r="BJ189" s="59">
        <f t="shared" si="146"/>
        <v>278.55937893537259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8.1094575054117044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8.1094575054117044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382.55387448074327</v>
      </c>
      <c r="T190" s="59">
        <f t="shared" si="142"/>
        <v>476.29465646955543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0.52806129318991646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8.4297845546301602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425.99999999999983</v>
      </c>
      <c r="AJ190" s="13">
        <f>AI190*VLOOKUP('Données projet'!$B$10,Paramètres!$A$1:$I$89,3,0)*VLOOKUP('Données projet'!$B$10,Paramètres!$A$1:$I$89,5,0)</f>
        <v>232.59599999999992</v>
      </c>
      <c r="AK190" s="13">
        <f t="shared" si="164"/>
        <v>56.843630236302218</v>
      </c>
      <c r="AL190" s="20">
        <f t="shared" si="165"/>
        <v>504.10735599489294</v>
      </c>
      <c r="AM190" s="59">
        <f t="shared" si="113"/>
        <v>797.4406893282262</v>
      </c>
      <c r="AN190" s="59">
        <f ca="1">AVERAGE(OFFSET($AM$3,0,0,'Données projet'!$E$10+1,1))-AVERAGE(OFFSET($H$3,0,0,'Données projet'!$E$10+1,1))</f>
        <v>417.99456559608217</v>
      </c>
      <c r="AO190" s="59">
        <f t="shared" si="144"/>
        <v>651.41353014863932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25.446037811834753</v>
      </c>
      <c r="AV190" s="21">
        <f>EXP(-LN(2)/25)*AV189+(1-EXP(-LN(2)/25))/(LN(2)/25)*Calculateur!AQ190*Calculateur!AS190*VLOOKUP('Données projet'!$B$10,Paramètres!$A$1:$I$89,3,0)*0.475*44/12</f>
        <v>0.59603847695102197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26.042076288785776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236.00000000000003</v>
      </c>
      <c r="BE190" s="13">
        <f>BD190*VLOOKUP('Données projet'!$B$11,Paramètres!$A$1:$I$89,3,0)*VLOOKUP('Données projet'!$B$11,Paramètres!$A$1:$I$89,5,0)</f>
        <v>206.16960000000006</v>
      </c>
      <c r="BF190" s="13">
        <f t="shared" si="167"/>
        <v>51.097652263007333</v>
      </c>
      <c r="BG190" s="20">
        <f t="shared" si="168"/>
        <v>448.07379769140448</v>
      </c>
      <c r="BH190" s="59">
        <f t="shared" si="116"/>
        <v>741.40713102473774</v>
      </c>
      <c r="BI190" s="59">
        <f ca="1">AVERAGE(OFFSET($BH$3,0,0,'Données projet'!$E$11+1,1))-AVERAGE(OFFSET($H$3,0,0,'Données projet'!$E$11+1,1))</f>
        <v>247.61330734992077</v>
      </c>
      <c r="BJ190" s="59">
        <f t="shared" si="146"/>
        <v>278.55937893537259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7.9504359900112549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7.9504359900112549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382.55387448074327</v>
      </c>
      <c r="T191" s="59">
        <f t="shared" si="142"/>
        <v>476.29465646955543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0.51362142935810173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8.2603967172167998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425.99999999999983</v>
      </c>
      <c r="AJ191" s="13">
        <f>AI191*VLOOKUP('Données projet'!$B$10,Paramètres!$A$1:$I$89,3,0)*VLOOKUP('Données projet'!$B$10,Paramètres!$A$1:$I$89,5,0)</f>
        <v>232.59599999999992</v>
      </c>
      <c r="AK191" s="13">
        <f t="shared" si="164"/>
        <v>56.843630236302218</v>
      </c>
      <c r="AL191" s="20">
        <f t="shared" si="165"/>
        <v>504.10735599489294</v>
      </c>
      <c r="AM191" s="59">
        <f t="shared" si="113"/>
        <v>797.4406893282262</v>
      </c>
      <c r="AN191" s="59">
        <f ca="1">AVERAGE(OFFSET($AM$3,0,0,'Données projet'!$E$10+1,1))-AVERAGE(OFFSET($H$3,0,0,'Données projet'!$E$10+1,1))</f>
        <v>417.99456559608217</v>
      </c>
      <c r="AO191" s="59">
        <f t="shared" si="144"/>
        <v>651.41353014863932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24.94705653089521</v>
      </c>
      <c r="AV191" s="21">
        <f>EXP(-LN(2)/25)*AV190+(1-EXP(-LN(2)/25))/(LN(2)/25)*Calculateur!AQ191*Calculateur!AS191*VLOOKUP('Données projet'!$B$10,Paramètres!$A$1:$I$89,3,0)*0.475*44/12</f>
        <v>0.57973977345449501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25.526796304349705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236.00000000000003</v>
      </c>
      <c r="BE191" s="13">
        <f>BD191*VLOOKUP('Données projet'!$B$11,Paramètres!$A$1:$I$89,3,0)*VLOOKUP('Données projet'!$B$11,Paramètres!$A$1:$I$89,5,0)</f>
        <v>206.16960000000006</v>
      </c>
      <c r="BF191" s="13">
        <f t="shared" si="167"/>
        <v>51.097652263007333</v>
      </c>
      <c r="BG191" s="20">
        <f t="shared" si="168"/>
        <v>448.07379769140448</v>
      </c>
      <c r="BH191" s="59">
        <f t="shared" si="116"/>
        <v>741.40713102473774</v>
      </c>
      <c r="BI191" s="59">
        <f ca="1">AVERAGE(OFFSET($BH$3,0,0,'Données projet'!$E$11+1,1))-AVERAGE(OFFSET($H$3,0,0,'Données projet'!$E$11+1,1))</f>
        <v>247.61330734992077</v>
      </c>
      <c r="BJ191" s="59">
        <f t="shared" si="146"/>
        <v>278.55937893537259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7.7945327895342604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7.7945327895342604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382.55387448074327</v>
      </c>
      <c r="T192" s="59">
        <f t="shared" si="142"/>
        <v>476.29465646955543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0.49957642436212735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8.0944421738922792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425.99999999999983</v>
      </c>
      <c r="AJ192" s="13">
        <f>AI192*VLOOKUP('Données projet'!$B$10,Paramètres!$A$1:$I$89,3,0)*VLOOKUP('Données projet'!$B$10,Paramètres!$A$1:$I$89,5,0)</f>
        <v>232.59599999999992</v>
      </c>
      <c r="AK192" s="13">
        <f t="shared" si="164"/>
        <v>56.843630236302218</v>
      </c>
      <c r="AL192" s="20">
        <f t="shared" si="165"/>
        <v>504.10735599489294</v>
      </c>
      <c r="AM192" s="59">
        <f t="shared" si="113"/>
        <v>797.4406893282262</v>
      </c>
      <c r="AN192" s="59">
        <f ca="1">AVERAGE(OFFSET($AM$3,0,0,'Données projet'!$E$10+1,1))-AVERAGE(OFFSET($H$3,0,0,'Données projet'!$E$10+1,1))</f>
        <v>417.99456559608217</v>
      </c>
      <c r="AO192" s="59">
        <f t="shared" si="144"/>
        <v>651.41353014863932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24.457859968526364</v>
      </c>
      <c r="AV192" s="21">
        <f>EXP(-LN(2)/25)*AV191+(1-EXP(-LN(2)/25))/(LN(2)/25)*Calculateur!AQ192*Calculateur!AS192*VLOOKUP('Données projet'!$B$10,Paramètres!$A$1:$I$89,3,0)*0.475*44/12</f>
        <v>0.56388675886219219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25.021746727388557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236.00000000000003</v>
      </c>
      <c r="BE192" s="13">
        <f>BD192*VLOOKUP('Données projet'!$B$11,Paramètres!$A$1:$I$89,3,0)*VLOOKUP('Données projet'!$B$11,Paramètres!$A$1:$I$89,5,0)</f>
        <v>206.16960000000006</v>
      </c>
      <c r="BF192" s="13">
        <f t="shared" si="167"/>
        <v>51.097652263007333</v>
      </c>
      <c r="BG192" s="20">
        <f t="shared" si="168"/>
        <v>448.07379769140448</v>
      </c>
      <c r="BH192" s="59">
        <f t="shared" si="116"/>
        <v>741.40713102473774</v>
      </c>
      <c r="BI192" s="59">
        <f ca="1">AVERAGE(OFFSET($BH$3,0,0,'Données projet'!$E$11+1,1))-AVERAGE(OFFSET($H$3,0,0,'Données projet'!$E$11+1,1))</f>
        <v>247.61330734992077</v>
      </c>
      <c r="BJ192" s="59">
        <f t="shared" si="146"/>
        <v>278.55937893537259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7.6416867557270578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7.6416867557270578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382.55387448074327</v>
      </c>
      <c r="T193" s="59">
        <f t="shared" si="142"/>
        <v>476.29465646955543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0.4859154807663626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7.9318505453589232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425.99999999999983</v>
      </c>
      <c r="AJ193" s="13">
        <f>AI193*VLOOKUP('Données projet'!$B$10,Paramètres!$A$1:$I$89,3,0)*VLOOKUP('Données projet'!$B$10,Paramètres!$A$1:$I$89,5,0)</f>
        <v>232.59599999999992</v>
      </c>
      <c r="AK193" s="13">
        <f t="shared" si="164"/>
        <v>56.843630236302218</v>
      </c>
      <c r="AL193" s="20">
        <f t="shared" si="165"/>
        <v>504.10735599489294</v>
      </c>
      <c r="AM193" s="59">
        <f t="shared" si="113"/>
        <v>797.4406893282262</v>
      </c>
      <c r="AN193" s="59">
        <f ca="1">AVERAGE(OFFSET($AM$3,0,0,'Données projet'!$E$10+1,1))-AVERAGE(OFFSET($H$3,0,0,'Données projet'!$E$10+1,1))</f>
        <v>417.99456559608217</v>
      </c>
      <c r="AO193" s="59">
        <f t="shared" si="144"/>
        <v>651.41353014863932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23.978256252365131</v>
      </c>
      <c r="AV193" s="21">
        <f>EXP(-LN(2)/25)*AV192+(1-EXP(-LN(2)/25))/(LN(2)/25)*Calculateur!AQ193*Calculateur!AS193*VLOOKUP('Données projet'!$B$10,Paramètres!$A$1:$I$89,3,0)*0.475*44/12</f>
        <v>0.54846724578758965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24.52672349815272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236.00000000000003</v>
      </c>
      <c r="BE193" s="13">
        <f>BD193*VLOOKUP('Données projet'!$B$11,Paramètres!$A$1:$I$89,3,0)*VLOOKUP('Données projet'!$B$11,Paramètres!$A$1:$I$89,5,0)</f>
        <v>206.16960000000006</v>
      </c>
      <c r="BF193" s="13">
        <f t="shared" si="167"/>
        <v>51.097652263007333</v>
      </c>
      <c r="BG193" s="20">
        <f t="shared" si="168"/>
        <v>448.07379769140448</v>
      </c>
      <c r="BH193" s="59">
        <f t="shared" si="116"/>
        <v>741.40713102473774</v>
      </c>
      <c r="BI193" s="59">
        <f ca="1">AVERAGE(OFFSET($BH$3,0,0,'Données projet'!$E$11+1,1))-AVERAGE(OFFSET($H$3,0,0,'Données projet'!$E$11+1,1))</f>
        <v>247.61330734992077</v>
      </c>
      <c r="BJ193" s="59">
        <f t="shared" si="146"/>
        <v>278.55937893537259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7.4918379394159391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7.4918379394159391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382.55387448074327</v>
      </c>
      <c r="T194" s="59">
        <f t="shared" si="142"/>
        <v>476.29465646955543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0.47262809639162184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7.7725529159394684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425.99999999999983</v>
      </c>
      <c r="AJ194" s="13">
        <f>AI194*VLOOKUP('Données projet'!$B$10,Paramètres!$A$1:$I$89,3,0)*VLOOKUP('Données projet'!$B$10,Paramètres!$A$1:$I$89,5,0)</f>
        <v>232.59599999999992</v>
      </c>
      <c r="AK194" s="13">
        <f t="shared" si="164"/>
        <v>56.843630236302218</v>
      </c>
      <c r="AL194" s="20">
        <f t="shared" si="165"/>
        <v>504.10735599489294</v>
      </c>
      <c r="AM194" s="59">
        <f t="shared" si="113"/>
        <v>797.4406893282262</v>
      </c>
      <c r="AN194" s="59">
        <f ca="1">AVERAGE(OFFSET($AM$3,0,0,'Données projet'!$E$10+1,1))-AVERAGE(OFFSET($H$3,0,0,'Données projet'!$E$10+1,1))</f>
        <v>417.99456559608217</v>
      </c>
      <c r="AO194" s="59">
        <f t="shared" si="144"/>
        <v>651.41353014863932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23.508057272548438</v>
      </c>
      <c r="AV194" s="21">
        <f>EXP(-LN(2)/25)*AV193+(1-EXP(-LN(2)/25))/(LN(2)/25)*Calculateur!AQ194*Calculateur!AS194*VLOOKUP('Données projet'!$B$10,Paramètres!$A$1:$I$89,3,0)*0.475*44/12</f>
        <v>0.53346938010888911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24.041526652657328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236.00000000000003</v>
      </c>
      <c r="BE194" s="13">
        <f>BD194*VLOOKUP('Données projet'!$B$11,Paramètres!$A$1:$I$89,3,0)*VLOOKUP('Données projet'!$B$11,Paramètres!$A$1:$I$89,5,0)</f>
        <v>206.16960000000006</v>
      </c>
      <c r="BF194" s="13">
        <f t="shared" si="167"/>
        <v>51.097652263007333</v>
      </c>
      <c r="BG194" s="20">
        <f t="shared" si="168"/>
        <v>448.07379769140448</v>
      </c>
      <c r="BH194" s="59">
        <f t="shared" si="116"/>
        <v>741.40713102473774</v>
      </c>
      <c r="BI194" s="59">
        <f ca="1">AVERAGE(OFFSET($BH$3,0,0,'Données projet'!$E$11+1,1))-AVERAGE(OFFSET($H$3,0,0,'Données projet'!$E$11+1,1))</f>
        <v>247.61330734992077</v>
      </c>
      <c r="BJ194" s="59">
        <f t="shared" si="146"/>
        <v>278.55937893537259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7.3449275669939285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7.3449275669939285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382.55387448074327</v>
      </c>
      <c r="T195" s="59">
        <f t="shared" si="142"/>
        <v>476.29465646955543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0.45970405624136157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7.6164818025923653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425.99999999999983</v>
      </c>
      <c r="AJ195" s="13">
        <f>AI195*VLOOKUP('Données projet'!$B$10,Paramètres!$A$1:$I$89,3,0)*VLOOKUP('Données projet'!$B$10,Paramètres!$A$1:$I$89,5,0)</f>
        <v>232.59599999999992</v>
      </c>
      <c r="AK195" s="13">
        <f t="shared" si="164"/>
        <v>56.843630236302218</v>
      </c>
      <c r="AL195" s="20">
        <f t="shared" si="165"/>
        <v>504.10735599489294</v>
      </c>
      <c r="AM195" s="59">
        <f t="shared" si="113"/>
        <v>797.4406893282262</v>
      </c>
      <c r="AN195" s="59">
        <f ca="1">AVERAGE(OFFSET($AM$3,0,0,'Données projet'!$E$10+1,1))-AVERAGE(OFFSET($H$3,0,0,'Données projet'!$E$10+1,1))</f>
        <v>417.99456559608217</v>
      </c>
      <c r="AO195" s="59">
        <f t="shared" si="144"/>
        <v>651.41353014863932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23.047078607932889</v>
      </c>
      <c r="AV195" s="21">
        <f>EXP(-LN(2)/25)*AV194+(1-EXP(-LN(2)/25))/(LN(2)/25)*Calculateur!AQ195*Calculateur!AS195*VLOOKUP('Données projet'!$B$10,Paramètres!$A$1:$I$89,3,0)*0.475*44/12</f>
        <v>0.5188816318558761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23.565960239788765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236.00000000000003</v>
      </c>
      <c r="BE195" s="13">
        <f>BD195*VLOOKUP('Données projet'!$B$11,Paramètres!$A$1:$I$89,3,0)*VLOOKUP('Données projet'!$B$11,Paramètres!$A$1:$I$89,5,0)</f>
        <v>206.16960000000006</v>
      </c>
      <c r="BF195" s="13">
        <f t="shared" si="167"/>
        <v>51.097652263007333</v>
      </c>
      <c r="BG195" s="20">
        <f t="shared" si="168"/>
        <v>448.07379769140448</v>
      </c>
      <c r="BH195" s="59">
        <f t="shared" si="116"/>
        <v>741.40713102473774</v>
      </c>
      <c r="BI195" s="59">
        <f ca="1">AVERAGE(OFFSET($BH$3,0,0,'Données projet'!$E$11+1,1))-AVERAGE(OFFSET($H$3,0,0,'Données projet'!$E$11+1,1))</f>
        <v>247.61330734992077</v>
      </c>
      <c r="BJ195" s="59">
        <f t="shared" si="146"/>
        <v>278.55937893537259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7.2008980173686341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7.2008980173686341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382.55387448074327</v>
      </c>
      <c r="T196" s="59">
        <f t="shared" si="142"/>
        <v>476.29465646955543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0.44713342464865591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7.4635711245971139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425.99999999999983</v>
      </c>
      <c r="AJ196" s="13">
        <f>AI196*VLOOKUP('Données projet'!$B$10,Paramètres!$A$1:$I$89,3,0)*VLOOKUP('Données projet'!$B$10,Paramètres!$A$1:$I$89,5,0)</f>
        <v>232.59599999999992</v>
      </c>
      <c r="AK196" s="13">
        <f t="shared" si="164"/>
        <v>56.843630236302218</v>
      </c>
      <c r="AL196" s="20">
        <f t="shared" si="165"/>
        <v>504.10735599489294</v>
      </c>
      <c r="AM196" s="59">
        <f t="shared" ref="AM196:AM203" si="193">AL196+(AD196+AE196)*44/12</f>
        <v>797.4406893282262</v>
      </c>
      <c r="AN196" s="59">
        <f ca="1">AVERAGE(OFFSET($AM$3,0,0,'Données projet'!$E$10+1,1))-AVERAGE(OFFSET($H$3,0,0,'Données projet'!$E$10+1,1))</f>
        <v>417.99456559608217</v>
      </c>
      <c r="AO196" s="59">
        <f t="shared" si="144"/>
        <v>651.41353014863932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22.595139453761231</v>
      </c>
      <c r="AV196" s="21">
        <f>EXP(-LN(2)/25)*AV195+(1-EXP(-LN(2)/25))/(LN(2)/25)*Calculateur!AQ196*Calculateur!AS196*VLOOKUP('Données projet'!$B$10,Paramètres!$A$1:$I$89,3,0)*0.475*44/12</f>
        <v>0.50469278634597803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23.099832240107208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236.00000000000003</v>
      </c>
      <c r="BE196" s="13">
        <f>BD196*VLOOKUP('Données projet'!$B$11,Paramètres!$A$1:$I$89,3,0)*VLOOKUP('Données projet'!$B$11,Paramètres!$A$1:$I$89,5,0)</f>
        <v>206.16960000000006</v>
      </c>
      <c r="BF196" s="13">
        <f t="shared" si="167"/>
        <v>51.097652263007333</v>
      </c>
      <c r="BG196" s="20">
        <f t="shared" si="168"/>
        <v>448.07379769140448</v>
      </c>
      <c r="BH196" s="59">
        <f t="shared" ref="BH196:BH203" si="194">BG196+(AY196+AZ196)*44/12</f>
        <v>741.40713102473774</v>
      </c>
      <c r="BI196" s="59">
        <f ca="1">AVERAGE(OFFSET($BH$3,0,0,'Données projet'!$E$11+1,1))-AVERAGE(OFFSET($H$3,0,0,'Données projet'!$E$11+1,1))</f>
        <v>247.61330734992077</v>
      </c>
      <c r="BJ196" s="59">
        <f t="shared" si="146"/>
        <v>278.55937893537259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7.0596927993621401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7.0596927993621401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382.55387448074327</v>
      </c>
      <c r="T197" s="59">
        <f t="shared" ref="T197:T203" si="204">$T$3</f>
        <v>476.29465646955543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0.43490653763791354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7.3137561738948031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425.99999999999983</v>
      </c>
      <c r="AJ197" s="13">
        <f>AI197*VLOOKUP('Données projet'!$B$10,Paramètres!$A$1:$I$89,3,0)*VLOOKUP('Données projet'!$B$10,Paramètres!$A$1:$I$89,5,0)</f>
        <v>232.59599999999992</v>
      </c>
      <c r="AK197" s="13">
        <f t="shared" si="164"/>
        <v>56.843630236302218</v>
      </c>
      <c r="AL197" s="20">
        <f t="shared" si="165"/>
        <v>504.10735599489294</v>
      </c>
      <c r="AM197" s="59">
        <f t="shared" si="193"/>
        <v>797.4406893282262</v>
      </c>
      <c r="AN197" s="59">
        <f ca="1">AVERAGE(OFFSET($AM$3,0,0,'Données projet'!$E$10+1,1))-AVERAGE(OFFSET($H$3,0,0,'Données projet'!$E$10+1,1))</f>
        <v>417.99456559608217</v>
      </c>
      <c r="AO197" s="59">
        <f t="shared" ref="AO197:AO203" si="205">$AO$3</f>
        <v>651.41353014863932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22.152062550747214</v>
      </c>
      <c r="AV197" s="21">
        <f>EXP(-LN(2)/25)*AV196+(1-EXP(-LN(2)/25))/(LN(2)/25)*Calculateur!AQ197*Calculateur!AS197*VLOOKUP('Données projet'!$B$10,Paramètres!$A$1:$I$89,3,0)*0.475*44/12</f>
        <v>0.4908919355627071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22.642954486309922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236.00000000000003</v>
      </c>
      <c r="BE197" s="13">
        <f>BD197*VLOOKUP('Données projet'!$B$11,Paramètres!$A$1:$I$89,3,0)*VLOOKUP('Données projet'!$B$11,Paramètres!$A$1:$I$89,5,0)</f>
        <v>206.16960000000006</v>
      </c>
      <c r="BF197" s="13">
        <f t="shared" si="167"/>
        <v>51.097652263007333</v>
      </c>
      <c r="BG197" s="20">
        <f t="shared" si="168"/>
        <v>448.07379769140448</v>
      </c>
      <c r="BH197" s="59">
        <f t="shared" si="194"/>
        <v>741.40713102473774</v>
      </c>
      <c r="BI197" s="59">
        <f ca="1">AVERAGE(OFFSET($BH$3,0,0,'Données projet'!$E$11+1,1))-AVERAGE(OFFSET($H$3,0,0,'Données projet'!$E$11+1,1))</f>
        <v>247.61330734992077</v>
      </c>
      <c r="BJ197" s="59">
        <f t="shared" ref="BJ197:BJ203" si="206">$BJ$3</f>
        <v>278.55937893537259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6.9212565295540749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6.9212565295540749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382.55387448074327</v>
      </c>
      <c r="T198" s="59">
        <f t="shared" si="204"/>
        <v>476.29465646955543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0.42301399549546398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7.1669735860693446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425.99999999999983</v>
      </c>
      <c r="AJ198" s="13">
        <f>AI198*VLOOKUP('Données projet'!$B$10,Paramètres!$A$1:$I$89,3,0)*VLOOKUP('Données projet'!$B$10,Paramètres!$A$1:$I$89,5,0)</f>
        <v>232.59599999999992</v>
      </c>
      <c r="AK198" s="13">
        <f t="shared" si="164"/>
        <v>56.843630236302218</v>
      </c>
      <c r="AL198" s="20">
        <f t="shared" si="165"/>
        <v>504.10735599489294</v>
      </c>
      <c r="AM198" s="59">
        <f t="shared" si="193"/>
        <v>797.4406893282262</v>
      </c>
      <c r="AN198" s="59">
        <f ca="1">AVERAGE(OFFSET($AM$3,0,0,'Données projet'!$E$10+1,1))-AVERAGE(OFFSET($H$3,0,0,'Données projet'!$E$10+1,1))</f>
        <v>417.99456559608217</v>
      </c>
      <c r="AO198" s="59">
        <f t="shared" si="205"/>
        <v>651.41353014863932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21.717674115551073</v>
      </c>
      <c r="AV198" s="21">
        <f>EXP(-LN(2)/25)*AV197+(1-EXP(-LN(2)/25))/(LN(2)/25)*Calculateur!AQ198*Calculateur!AS198*VLOOKUP('Données projet'!$B$10,Paramètres!$A$1:$I$89,3,0)*0.475*44/12</f>
        <v>0.47746846976985996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22.195142585320934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236.00000000000003</v>
      </c>
      <c r="BE198" s="13">
        <f>BD198*VLOOKUP('Données projet'!$B$11,Paramètres!$A$1:$I$89,3,0)*VLOOKUP('Données projet'!$B$11,Paramètres!$A$1:$I$89,5,0)</f>
        <v>206.16960000000006</v>
      </c>
      <c r="BF198" s="13">
        <f t="shared" si="167"/>
        <v>51.097652263007333</v>
      </c>
      <c r="BG198" s="20">
        <f t="shared" si="168"/>
        <v>448.07379769140448</v>
      </c>
      <c r="BH198" s="59">
        <f t="shared" si="194"/>
        <v>741.40713102473774</v>
      </c>
      <c r="BI198" s="59">
        <f ca="1">AVERAGE(OFFSET($BH$3,0,0,'Données projet'!$E$11+1,1))-AVERAGE(OFFSET($H$3,0,0,'Données projet'!$E$11+1,1))</f>
        <v>247.61330734992077</v>
      </c>
      <c r="BJ198" s="59">
        <f t="shared" si="206"/>
        <v>278.55937893537259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6.7855349105591589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6.7855349105591589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382.55387448074327</v>
      </c>
      <c r="T199" s="59">
        <f t="shared" si="204"/>
        <v>476.29465646955543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0.41144665554330129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7.0231613119552128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425.99999999999983</v>
      </c>
      <c r="AJ199" s="13">
        <f>AI199*VLOOKUP('Données projet'!$B$10,Paramètres!$A$1:$I$89,3,0)*VLOOKUP('Données projet'!$B$10,Paramètres!$A$1:$I$89,5,0)</f>
        <v>232.59599999999992</v>
      </c>
      <c r="AK199" s="13">
        <f t="shared" si="164"/>
        <v>56.843630236302218</v>
      </c>
      <c r="AL199" s="20">
        <f t="shared" si="165"/>
        <v>504.10735599489294</v>
      </c>
      <c r="AM199" s="59">
        <f t="shared" si="193"/>
        <v>797.4406893282262</v>
      </c>
      <c r="AN199" s="59">
        <f ca="1">AVERAGE(OFFSET($AM$3,0,0,'Données projet'!$E$10+1,1))-AVERAGE(OFFSET($H$3,0,0,'Données projet'!$E$10+1,1))</f>
        <v>417.99456559608217</v>
      </c>
      <c r="AO199" s="59">
        <f t="shared" si="205"/>
        <v>651.41353014863932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21.291803772618348</v>
      </c>
      <c r="AV199" s="21">
        <f>EXP(-LN(2)/25)*AV198+(1-EXP(-LN(2)/25))/(LN(2)/25)*Calculateur!AQ199*Calculateur!AS199*VLOOKUP('Données projet'!$B$10,Paramètres!$A$1:$I$89,3,0)*0.475*44/12</f>
        <v>0.4644120693550276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21.756215841973376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236.00000000000003</v>
      </c>
      <c r="BE199" s="13">
        <f>BD199*VLOOKUP('Données projet'!$B$11,Paramètres!$A$1:$I$89,3,0)*VLOOKUP('Données projet'!$B$11,Paramètres!$A$1:$I$89,5,0)</f>
        <v>206.16960000000006</v>
      </c>
      <c r="BF199" s="13">
        <f t="shared" si="167"/>
        <v>51.097652263007333</v>
      </c>
      <c r="BG199" s="20">
        <f t="shared" si="168"/>
        <v>448.07379769140448</v>
      </c>
      <c r="BH199" s="59">
        <f t="shared" si="194"/>
        <v>741.40713102473774</v>
      </c>
      <c r="BI199" s="59">
        <f ca="1">AVERAGE(OFFSET($BH$3,0,0,'Données projet'!$E$11+1,1))-AVERAGE(OFFSET($H$3,0,0,'Données projet'!$E$11+1,1))</f>
        <v>247.61330734992077</v>
      </c>
      <c r="BJ199" s="59">
        <f t="shared" si="206"/>
        <v>278.55937893537259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6.6524747097307202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6.6524747097307202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382.55387448074327</v>
      </c>
      <c r="T200" s="59">
        <f t="shared" si="204"/>
        <v>476.29465646955543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0.4001956251104305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6.8822585898578437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425.99999999999983</v>
      </c>
      <c r="AJ200" s="13">
        <f>AI200*VLOOKUP('Données projet'!$B$10,Paramètres!$A$1:$I$89,3,0)*VLOOKUP('Données projet'!$B$10,Paramètres!$A$1:$I$89,5,0)</f>
        <v>232.59599999999992</v>
      </c>
      <c r="AK200" s="13">
        <f t="shared" si="164"/>
        <v>56.843630236302218</v>
      </c>
      <c r="AL200" s="20">
        <f t="shared" si="165"/>
        <v>504.10735599489294</v>
      </c>
      <c r="AM200" s="59">
        <f t="shared" si="193"/>
        <v>797.4406893282262</v>
      </c>
      <c r="AN200" s="59">
        <f ca="1">AVERAGE(OFFSET($AM$3,0,0,'Données projet'!$E$10+1,1))-AVERAGE(OFFSET($H$3,0,0,'Données projet'!$E$10+1,1))</f>
        <v>417.99456559608217</v>
      </c>
      <c r="AO200" s="59">
        <f t="shared" si="205"/>
        <v>651.41353014863932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20.874284487355272</v>
      </c>
      <c r="AV200" s="21">
        <f>EXP(-LN(2)/25)*AV199+(1-EXP(-LN(2)/25))/(LN(2)/25)*Calculateur!AQ200*Calculateur!AS200*VLOOKUP('Données projet'!$B$10,Paramètres!$A$1:$I$89,3,0)*0.475*44/12</f>
        <v>0.45171269689614507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21.325997184251417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236.00000000000003</v>
      </c>
      <c r="BE200" s="13">
        <f>BD200*VLOOKUP('Données projet'!$B$11,Paramètres!$A$1:$I$89,3,0)*VLOOKUP('Données projet'!$B$11,Paramètres!$A$1:$I$89,5,0)</f>
        <v>206.16960000000006</v>
      </c>
      <c r="BF200" s="13">
        <f t="shared" si="167"/>
        <v>51.097652263007333</v>
      </c>
      <c r="BG200" s="20">
        <f t="shared" si="168"/>
        <v>448.07379769140448</v>
      </c>
      <c r="BH200" s="59">
        <f t="shared" si="194"/>
        <v>741.40713102473774</v>
      </c>
      <c r="BI200" s="59">
        <f ca="1">AVERAGE(OFFSET($BH$3,0,0,'Données projet'!$E$11+1,1))-AVERAGE(OFFSET($H$3,0,0,'Données projet'!$E$11+1,1))</f>
        <v>247.61330734992077</v>
      </c>
      <c r="BJ200" s="59">
        <f t="shared" si="206"/>
        <v>278.55937893537259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6.5220237382818178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6.5220237382818178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382.55387448074327</v>
      </c>
      <c r="T201" s="59">
        <f t="shared" si="204"/>
        <v>476.29465646955543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0.3892522546964125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6.7442059183731455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425.99999999999983</v>
      </c>
      <c r="AJ201" s="13">
        <f>AI201*VLOOKUP('Données projet'!$B$10,Paramètres!$A$1:$I$89,3,0)*VLOOKUP('Données projet'!$B$10,Paramètres!$A$1:$I$89,5,0)</f>
        <v>232.59599999999992</v>
      </c>
      <c r="AK201" s="13">
        <f t="shared" si="164"/>
        <v>56.843630236302218</v>
      </c>
      <c r="AL201" s="20">
        <f t="shared" si="165"/>
        <v>504.10735599489294</v>
      </c>
      <c r="AM201" s="59">
        <f t="shared" si="193"/>
        <v>797.4406893282262</v>
      </c>
      <c r="AN201" s="59">
        <f ca="1">AVERAGE(OFFSET($AM$3,0,0,'Données projet'!$E$10+1,1))-AVERAGE(OFFSET($H$3,0,0,'Données projet'!$E$10+1,1))</f>
        <v>417.99456559608217</v>
      </c>
      <c r="AO201" s="59">
        <f t="shared" si="205"/>
        <v>651.41353014863932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20.464952500614586</v>
      </c>
      <c r="AV201" s="21">
        <f>EXP(-LN(2)/25)*AV200+(1-EXP(-LN(2)/25))/(LN(2)/25)*Calculateur!AQ201*Calculateur!AS201*VLOOKUP('Données projet'!$B$10,Paramètres!$A$1:$I$89,3,0)*0.475*44/12</f>
        <v>0.43936058944498163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20.904313090059567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236.00000000000003</v>
      </c>
      <c r="BE201" s="13">
        <f>BD201*VLOOKUP('Données projet'!$B$11,Paramètres!$A$1:$I$89,3,0)*VLOOKUP('Données projet'!$B$11,Paramètres!$A$1:$I$89,5,0)</f>
        <v>206.16960000000006</v>
      </c>
      <c r="BF201" s="13">
        <f t="shared" si="167"/>
        <v>51.097652263007333</v>
      </c>
      <c r="BG201" s="20">
        <f t="shared" si="168"/>
        <v>448.07379769140448</v>
      </c>
      <c r="BH201" s="59">
        <f t="shared" si="194"/>
        <v>741.40713102473774</v>
      </c>
      <c r="BI201" s="59">
        <f ca="1">AVERAGE(OFFSET($BH$3,0,0,'Données projet'!$E$11+1,1))-AVERAGE(OFFSET($H$3,0,0,'Données projet'!$E$11+1,1))</f>
        <v>247.61330734992077</v>
      </c>
      <c r="BJ201" s="59">
        <f t="shared" si="206"/>
        <v>278.55937893537259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6.3941308308157927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6.3941308308157927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382.55387448074327</v>
      </c>
      <c r="T202" s="59">
        <f t="shared" si="204"/>
        <v>476.29465646955543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0.37860813132185267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6.6089450297928831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425.99999999999983</v>
      </c>
      <c r="AJ202" s="13">
        <f>AI202*VLOOKUP('Données projet'!$B$10,Paramètres!$A$1:$I$89,3,0)*VLOOKUP('Données projet'!$B$10,Paramètres!$A$1:$I$89,5,0)</f>
        <v>232.59599999999992</v>
      </c>
      <c r="AK202" s="13">
        <f t="shared" si="164"/>
        <v>56.843630236302218</v>
      </c>
      <c r="AL202" s="20">
        <f t="shared" si="165"/>
        <v>504.10735599489294</v>
      </c>
      <c r="AM202" s="59">
        <f t="shared" si="193"/>
        <v>797.4406893282262</v>
      </c>
      <c r="AN202" s="59">
        <f ca="1">AVERAGE(OFFSET($AM$3,0,0,'Données projet'!$E$10+1,1))-AVERAGE(OFFSET($H$3,0,0,'Données projet'!$E$10+1,1))</f>
        <v>417.99456559608217</v>
      </c>
      <c r="AO202" s="59">
        <f t="shared" si="205"/>
        <v>651.41353014863932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20.063647264466027</v>
      </c>
      <c r="AV202" s="21">
        <f>EXP(-LN(2)/25)*AV201+(1-EXP(-LN(2)/25))/(LN(2)/25)*Calculateur!AQ202*Calculateur!AS202*VLOOKUP('Données projet'!$B$10,Paramètres!$A$1:$I$89,3,0)*0.475*44/12</f>
        <v>0.42734625102163937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20.490993515487666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236.00000000000003</v>
      </c>
      <c r="BE202" s="13">
        <f>BD202*VLOOKUP('Données projet'!$B$11,Paramètres!$A$1:$I$89,3,0)*VLOOKUP('Données projet'!$B$11,Paramètres!$A$1:$I$89,5,0)</f>
        <v>206.16960000000006</v>
      </c>
      <c r="BF202" s="13">
        <f t="shared" si="167"/>
        <v>51.097652263007333</v>
      </c>
      <c r="BG202" s="20">
        <f t="shared" si="168"/>
        <v>448.07379769140448</v>
      </c>
      <c r="BH202" s="59">
        <f t="shared" si="194"/>
        <v>741.40713102473774</v>
      </c>
      <c r="BI202" s="59">
        <f ca="1">AVERAGE(OFFSET($BH$3,0,0,'Données projet'!$E$11+1,1))-AVERAGE(OFFSET($H$3,0,0,'Données projet'!$E$11+1,1))</f>
        <v>247.61330734992077</v>
      </c>
      <c r="BJ202" s="59">
        <f t="shared" si="206"/>
        <v>278.55937893537259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6.2687458252582058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6.2687458252582058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382.55387448074327</v>
      </c>
      <c r="T203" s="59">
        <f t="shared" si="204"/>
        <v>476.29465646955543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0.36825507206072028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6.4764188640830103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425.99999999999983</v>
      </c>
      <c r="AJ203" s="13">
        <f>AI203*VLOOKUP('Données projet'!$B$10,Paramètres!$A$1:$I$89,3,0)*VLOOKUP('Données projet'!$B$10,Paramètres!$A$1:$I$89,5,0)</f>
        <v>232.59599999999992</v>
      </c>
      <c r="AK203" s="13">
        <f t="shared" si="164"/>
        <v>56.843630236302218</v>
      </c>
      <c r="AL203" s="20">
        <f t="shared" si="165"/>
        <v>504.10735599489294</v>
      </c>
      <c r="AM203" s="59">
        <f t="shared" si="193"/>
        <v>797.4406893282262</v>
      </c>
      <c r="AN203" s="59">
        <f ca="1">AVERAGE(OFFSET($AM$3,0,0,'Données projet'!$E$10+1,1))-AVERAGE(OFFSET($H$3,0,0,'Données projet'!$E$10+1,1))</f>
        <v>417.99456559608217</v>
      </c>
      <c r="AO203" s="59">
        <f t="shared" si="205"/>
        <v>651.41353014863932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19.670211379226316</v>
      </c>
      <c r="AV203" s="21">
        <f>EXP(-LN(2)/25)*AV202+(1-EXP(-LN(2)/25))/(LN(2)/25)*Calculateur!AQ203*Calculateur!AS203*VLOOKUP('Données projet'!$B$10,Paramètres!$A$1:$I$89,3,0)*0.475*44/12</f>
        <v>0.41566044531429003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20.085871824540607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236.00000000000003</v>
      </c>
      <c r="BE203" s="13">
        <f>BD203*VLOOKUP('Données projet'!$B$11,Paramètres!$A$1:$I$89,3,0)*VLOOKUP('Données projet'!$B$11,Paramètres!$A$1:$I$89,5,0)</f>
        <v>206.16960000000006</v>
      </c>
      <c r="BF203" s="13">
        <f t="shared" si="167"/>
        <v>51.097652263007333</v>
      </c>
      <c r="BG203" s="20">
        <f t="shared" si="168"/>
        <v>448.07379769140448</v>
      </c>
      <c r="BH203" s="59">
        <f t="shared" si="194"/>
        <v>741.40713102473774</v>
      </c>
      <c r="BI203" s="59">
        <f ca="1">AVERAGE(OFFSET($BH$3,0,0,'Données projet'!$E$11+1,1))-AVERAGE(OFFSET($H$3,0,0,'Données projet'!$E$11+1,1))</f>
        <v>247.61330734992077</v>
      </c>
      <c r="BJ203" s="59">
        <f t="shared" si="206"/>
        <v>278.55937893537259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6.1458195431823013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6.1458195431823013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1.3070441688874561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1.4714192565876152</v>
      </c>
      <c r="BA205" s="81">
        <f>EXP(LN('Données projet'!B88)/'Données projet'!A88)</f>
        <v>1.2765231539157764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2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3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2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4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4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3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2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3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0.63</v>
      </c>
      <c r="C6" s="145">
        <f ca="1">IF(OR('Données projet'!B9="",'Données projet'!C9="",'Données projet'!C9=0%),0,Calculateur!S3)</f>
        <v>382.55387448074327</v>
      </c>
      <c r="D6" s="145">
        <f>IF(OR('Données projet'!B9="",'Données projet'!C9="",'Données projet'!C9=0%),0,Calculateur!T3)</f>
        <v>476.29465646955543</v>
      </c>
      <c r="E6" s="145">
        <f ca="1">MIN(C6,D6)</f>
        <v>382.55387448074327</v>
      </c>
      <c r="F6" s="145">
        <f ca="1">E6*B6</f>
        <v>241.00894092286828</v>
      </c>
      <c r="G6" s="145">
        <f ca="1">F6*(100%-'Données projet'!$C$24)*(100%-'Données projet'!$C$25)*(100%-'Données projet'!$C$26)*(100%-'Données projet'!$C$27)</f>
        <v>216.90804683058144</v>
      </c>
      <c r="H6" s="146">
        <f>IF(OR('Données projet'!B9="",'Données projet'!C9="",'Données projet'!C9=0%),0,AVERAGE(Calculateur!$AC$3:$AC$33)*B6)</f>
        <v>2.9444248168728322</v>
      </c>
      <c r="I6" s="147">
        <f>H6*(100%-'Données projet'!$C$24)*(100%-'Données projet'!$C$25)*(100%-'Données projet'!$C$26)*(100%-'Données projet'!$C$27)</f>
        <v>2.6499823351855492</v>
      </c>
      <c r="J6" s="148">
        <f>IF(OR('Données projet'!B9="",'Données projet'!C9="",'Données projet'!C9=0%),0,SUM(Calculateur!$V$3:$V$33)*VLOOKUP('Données projet'!$B$9,Paramètres!$A$1:$I$89,9,0)*B6)</f>
        <v>29.257199999999997</v>
      </c>
      <c r="K6" s="149">
        <f>J6*(100%-'Données projet'!$C$24)*(100%-'Données projet'!$C$25)*(100%-'Données projet'!$C$26)*(100%-'Données projet'!$C$27)</f>
        <v>26.331479999999999</v>
      </c>
      <c r="L6" s="150">
        <f ca="1">G6+I6+K6</f>
        <v>245.88950916576698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0.18000000000000002</v>
      </c>
      <c r="C7" s="145">
        <f ca="1">IF(OR('Données projet'!B10="",'Données projet'!C10="",'Données projet'!C10=0%),0,Calculateur!AN3)</f>
        <v>417.99456559608217</v>
      </c>
      <c r="D7" s="145">
        <f>IF(OR('Données projet'!B10="",'Données projet'!C10="",'Données projet'!C10=0%),0,Calculateur!AO3)</f>
        <v>651.41353014863932</v>
      </c>
      <c r="E7" s="145">
        <f t="shared" ref="E7:E15" ca="1" si="0">MIN(C7,D7)</f>
        <v>417.99456559608217</v>
      </c>
      <c r="F7" s="145">
        <f t="shared" ref="F7:F15" ca="1" si="1">E7*B7</f>
        <v>75.239021807294804</v>
      </c>
      <c r="G7" s="145">
        <f ca="1">F7*(100%-'Données projet'!$C$24)*(100%-'Données projet'!$C$25)*(100%-'Données projet'!$C$26)*(100%-'Données projet'!$C$27)</f>
        <v>67.715119626565325</v>
      </c>
      <c r="H7" s="153">
        <f>IF(OR('Données projet'!B10="",'Données projet'!C10="",'Données projet'!C10=0%),0,AVERAGE(Calculateur!$AX$3:$AX$33)*B7)</f>
        <v>0.26893881090266419</v>
      </c>
      <c r="I7" s="147">
        <f>H7*(100%-'Données projet'!$C$24)*(100%-'Données projet'!$C$25)*(100%-'Données projet'!$C$26)*(100%-'Données projet'!$C$27)</f>
        <v>0.24204492981239778</v>
      </c>
      <c r="J7" s="148">
        <f>IF(OR('Données projet'!B10="",'Données projet'!C10="",'Données projet'!C10=0%),0,SUM(Calculateur!$AQ$3:$AQ$33)*VLOOKUP('Données projet'!$B$10,Paramètres!$A$1:$I$89,9,0)*B7)</f>
        <v>8.2818000000000005</v>
      </c>
      <c r="K7" s="149">
        <f>J7*(100%-'Données projet'!$C$24)*(100%-'Données projet'!$C$25)*(100%-'Données projet'!$C$26)*(100%-'Données projet'!$C$27)</f>
        <v>7.4536200000000008</v>
      </c>
      <c r="L7" s="150">
        <f t="shared" ref="L7:L15" ca="1" si="2">G7+I7+K7</f>
        <v>75.41078455637772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rouge d'Amérique</v>
      </c>
      <c r="B8" s="152">
        <f>'Données projet'!D11</f>
        <v>9.0000000000000011E-2</v>
      </c>
      <c r="C8" s="145">
        <f ca="1">IF(OR('Données projet'!B11="",'Données projet'!C11="",'Données projet'!C11=0%),0,Calculateur!BI3)</f>
        <v>247.61330734992077</v>
      </c>
      <c r="D8" s="145">
        <f>IF(OR('Données projet'!B11="",'Données projet'!C11="",'Données projet'!C11=0%),0,Calculateur!BJ3)</f>
        <v>278.55937893537259</v>
      </c>
      <c r="E8" s="145">
        <f t="shared" ca="1" si="0"/>
        <v>247.61330734992077</v>
      </c>
      <c r="F8" s="145">
        <f t="shared" ca="1" si="1"/>
        <v>22.285197661492873</v>
      </c>
      <c r="G8" s="145">
        <f ca="1">F8*(100%-'Données projet'!$C$24)*(100%-'Données projet'!$C$25)*(100%-'Données projet'!$C$26)*(100%-'Données projet'!$C$27)</f>
        <v>20.056677895343586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2.7900000000000005</v>
      </c>
      <c r="K8" s="149">
        <f>J8*(100%-'Données projet'!$C$24)*(100%-'Données projet'!$C$25)*(100%-'Données projet'!$C$26)*(100%-'Données projet'!$C$27)</f>
        <v>2.5110000000000006</v>
      </c>
      <c r="L8" s="150">
        <f t="shared" ca="1" si="2"/>
        <v>22.567677895343586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338.53316039165594</v>
      </c>
      <c r="G16" s="164">
        <f t="shared" ca="1" si="3"/>
        <v>304.67984435249036</v>
      </c>
      <c r="H16" s="165">
        <f t="shared" si="3"/>
        <v>3.2133636277754962</v>
      </c>
      <c r="I16" s="165">
        <f t="shared" si="3"/>
        <v>2.8920272649979468</v>
      </c>
      <c r="J16" s="166">
        <f t="shared" si="3"/>
        <v>40.329000000000001</v>
      </c>
      <c r="K16" s="166">
        <f t="shared" si="3"/>
        <v>36.296100000000003</v>
      </c>
      <c r="L16" s="167">
        <f t="shared" ca="1" si="3"/>
        <v>343.86797161748831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M40" sqref="M40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3" t="s">
        <v>315</v>
      </c>
      <c r="I4" s="273"/>
      <c r="K4" s="297" t="s">
        <v>253</v>
      </c>
      <c r="L4" s="298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7" t="s">
        <v>310</v>
      </c>
      <c r="S7" s="308"/>
      <c r="T7" s="308"/>
      <c r="U7" s="308"/>
      <c r="V7" s="30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-2248.8154694201357</v>
      </c>
      <c r="U10" s="176">
        <f>'Données projet'!D9</f>
        <v>0.63</v>
      </c>
      <c r="V10" s="175">
        <f>U10*T10</f>
        <v>-1416.7537457346855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-2218.8799834075071</v>
      </c>
      <c r="U11" s="176">
        <f>'Données projet'!D10</f>
        <v>0.18000000000000002</v>
      </c>
      <c r="V11" s="175">
        <f t="shared" ref="V11" si="0">U11*T11</f>
        <v>-399.39839701335131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rouge d'Amérique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-2079.3273654739228</v>
      </c>
      <c r="U12" s="176">
        <f>'Données projet'!D11</f>
        <v>9.0000000000000011E-2</v>
      </c>
      <c r="V12" s="175">
        <f t="shared" ref="V12:V19" si="1">U12*T12</f>
        <v>-187.13946289265309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0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0"/>
      <c r="H16" s="188"/>
      <c r="I16" s="189"/>
      <c r="J16" s="200"/>
      <c r="K16" s="206"/>
      <c r="L16" s="297" t="s">
        <v>254</v>
      </c>
      <c r="M16" s="298"/>
      <c r="N16" s="2">
        <v>50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2572.67</v>
      </c>
      <c r="F17" s="228"/>
      <c r="G17" s="300"/>
      <c r="J17" s="200"/>
      <c r="K17" s="206"/>
      <c r="L17" s="270" t="s">
        <v>289</v>
      </c>
      <c r="M17" s="272"/>
      <c r="N17" s="173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0"/>
      <c r="J18" s="200"/>
      <c r="K18" s="206"/>
      <c r="L18" s="270" t="s">
        <v>255</v>
      </c>
      <c r="M18" s="272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0"/>
      <c r="H19" s="210" t="s">
        <v>178</v>
      </c>
      <c r="I19" s="210" t="s">
        <v>287</v>
      </c>
      <c r="J19" s="91"/>
      <c r="K19" s="171"/>
      <c r="L19" s="297" t="s">
        <v>288</v>
      </c>
      <c r="M19" s="298"/>
      <c r="N19" s="177">
        <f>N17*N18</f>
        <v>750.0000000000008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0"/>
      <c r="H20" s="188">
        <v>0</v>
      </c>
      <c r="I20" s="189">
        <v>4140.96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480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19</v>
      </c>
      <c r="B23" s="179">
        <f>'Données projet'!D36</f>
        <v>0</v>
      </c>
      <c r="C23" s="191">
        <v>10</v>
      </c>
      <c r="D23" s="180">
        <f>B23*C23</f>
        <v>0</v>
      </c>
      <c r="E23" s="191"/>
      <c r="F23" s="228"/>
      <c r="H23" s="188">
        <v>3</v>
      </c>
      <c r="I23" s="189">
        <v>480</v>
      </c>
      <c r="K23" s="206"/>
      <c r="L23" s="299" t="s">
        <v>260</v>
      </c>
      <c r="M23" s="299"/>
      <c r="N23" s="299"/>
      <c r="O23" s="23"/>
      <c r="P23" s="23"/>
      <c r="Q23" s="232"/>
      <c r="R23" s="23"/>
      <c r="S23" s="36" t="s">
        <v>264</v>
      </c>
      <c r="T23" s="31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-6917.7082067135616</v>
      </c>
      <c r="U23" s="312"/>
      <c r="V23" s="31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54</v>
      </c>
      <c r="C24" s="191">
        <v>10</v>
      </c>
      <c r="D24" s="180">
        <f t="shared" ref="D24:D42" si="2">B24*C24</f>
        <v>540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3">
        <f ca="1">'Scénario référence'!$B$8*$M$30*'Données projet'!$C$5+('Scénario référence'!B9+'Scénario référence'!B10+'Scénario référence'!F8+'Scénario référence'!F9)*$N$19/(1+M4)^N16*'Données projet'!$C$5</f>
        <v>74.729013726815282</v>
      </c>
      <c r="U24" s="313"/>
      <c r="V24" s="31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54</v>
      </c>
      <c r="C25" s="191">
        <v>10</v>
      </c>
      <c r="D25" s="180">
        <f t="shared" si="2"/>
        <v>540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4">
        <f ca="1">T23-T24</f>
        <v>-6992.4372204403771</v>
      </c>
      <c r="U25" s="314"/>
      <c r="V25" s="31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69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301" t="s">
        <v>258</v>
      </c>
      <c r="M26" s="302"/>
      <c r="N26" s="302"/>
      <c r="O26" s="302"/>
      <c r="P26" s="303"/>
      <c r="Q26" s="232"/>
      <c r="R26" s="23"/>
      <c r="S26" s="184" t="s">
        <v>265</v>
      </c>
      <c r="T26" s="311" t="str">
        <f ca="1">IF(T25&lt;0,"Votre projet est additionnel","Votre projet n'est pas additionnel")</f>
        <v>Votre projet est additionnel</v>
      </c>
      <c r="U26" s="311"/>
      <c r="V26" s="31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72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4"/>
      <c r="M27" s="305"/>
      <c r="N27" s="305"/>
      <c r="O27" s="305"/>
      <c r="P27" s="306"/>
      <c r="Q27" s="232"/>
      <c r="R27" s="23"/>
      <c r="S27" s="310" t="s">
        <v>267</v>
      </c>
      <c r="T27" s="310"/>
      <c r="U27" s="310"/>
      <c r="V27" s="31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66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48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35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2504.5700000000002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18</v>
      </c>
      <c r="B55" s="179">
        <f>'Données projet'!D63</f>
        <v>0</v>
      </c>
      <c r="C55" s="189">
        <v>10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0</v>
      </c>
      <c r="C56" s="189">
        <v>10</v>
      </c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107</v>
      </c>
      <c r="C57" s="189">
        <v>10</v>
      </c>
      <c r="D57" s="177">
        <f t="shared" si="4"/>
        <v>1070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119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121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123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54</v>
      </c>
      <c r="B61" s="179">
        <f>'Données projet'!D69</f>
        <v>119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112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66</v>
      </c>
      <c r="B63" s="179">
        <f>'Données projet'!D71</f>
        <v>109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72</v>
      </c>
      <c r="B64" s="179">
        <f>'Données projet'!D72</f>
        <v>101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78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rouge d'Amérique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2723.16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50</v>
      </c>
      <c r="C85" s="189">
        <v>15</v>
      </c>
      <c r="D85" s="177">
        <f>B85*C85</f>
        <v>750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37</v>
      </c>
      <c r="C86" s="189">
        <v>15</v>
      </c>
      <c r="D86" s="177">
        <f t="shared" ref="D86:D104" si="6">B86*C86</f>
        <v>555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37</v>
      </c>
      <c r="C87" s="189">
        <v>15</v>
      </c>
      <c r="D87" s="177">
        <f t="shared" si="6"/>
        <v>555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36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33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31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28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25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22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17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15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2023-09-19T13:57:53Z</dcterms:modified>
</cp:coreProperties>
</file>